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Music\lock\omor-jari\حقوق\97\12\صورت وضعیت\"/>
    </mc:Choice>
  </mc:AlternateContent>
  <xr:revisionPtr revIDLastSave="0" documentId="13_ncr:1_{35B4BFBF-9F1A-48B2-9ABE-5F5765C2F4C5}" xr6:coauthVersionLast="43" xr6:coauthVersionMax="43" xr10:uidLastSave="{00000000-0000-0000-0000-000000000000}"/>
  <bookViews>
    <workbookView xWindow="-120" yWindow="-120" windowWidth="20640" windowHeight="11160" xr2:uid="{EB923B2B-9B1D-4CB3-99D8-7703A42751FA}"/>
  </bookViews>
  <sheets>
    <sheet name="97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2" i="1"/>
  <c r="A758" i="1" l="1"/>
  <c r="B758" i="1"/>
  <c r="C758" i="1"/>
  <c r="D758" i="1"/>
  <c r="E758" i="1"/>
  <c r="A1143" i="1"/>
  <c r="B1143" i="1"/>
  <c r="C1143" i="1"/>
  <c r="D1143" i="1"/>
  <c r="E1143" i="1"/>
  <c r="A379" i="1"/>
  <c r="B379" i="1"/>
  <c r="C379" i="1"/>
  <c r="D379" i="1"/>
  <c r="E379" i="1"/>
  <c r="A380" i="1"/>
  <c r="B380" i="1"/>
  <c r="C380" i="1"/>
  <c r="D380" i="1"/>
  <c r="E380" i="1"/>
  <c r="A365" i="1"/>
  <c r="B365" i="1"/>
  <c r="C365" i="1"/>
  <c r="D365" i="1"/>
  <c r="E365" i="1"/>
  <c r="A366" i="1"/>
  <c r="B366" i="1"/>
  <c r="C366" i="1"/>
  <c r="D366" i="1"/>
  <c r="E366" i="1"/>
  <c r="A500" i="1"/>
  <c r="B500" i="1"/>
  <c r="C500" i="1"/>
  <c r="D500" i="1"/>
  <c r="E500" i="1"/>
  <c r="A506" i="1"/>
  <c r="B506" i="1"/>
  <c r="C506" i="1"/>
  <c r="D506" i="1"/>
  <c r="E506" i="1"/>
  <c r="A509" i="1"/>
  <c r="B509" i="1"/>
  <c r="C509" i="1"/>
  <c r="D509" i="1"/>
  <c r="E509" i="1"/>
  <c r="A520" i="1"/>
  <c r="B520" i="1"/>
  <c r="C520" i="1"/>
  <c r="D520" i="1"/>
  <c r="E520" i="1"/>
  <c r="A647" i="1"/>
  <c r="B647" i="1"/>
  <c r="C647" i="1"/>
  <c r="D647" i="1"/>
  <c r="E647" i="1"/>
  <c r="A649" i="1"/>
  <c r="B649" i="1"/>
  <c r="C649" i="1"/>
  <c r="D649" i="1"/>
  <c r="E649" i="1"/>
  <c r="A1142" i="1"/>
  <c r="B1142" i="1"/>
  <c r="C1142" i="1"/>
  <c r="D1142" i="1"/>
  <c r="E1142" i="1"/>
  <c r="A749" i="1"/>
  <c r="B749" i="1"/>
  <c r="C749" i="1"/>
  <c r="D749" i="1"/>
  <c r="E749" i="1"/>
  <c r="A425" i="1"/>
  <c r="B425" i="1"/>
  <c r="C425" i="1"/>
  <c r="D425" i="1"/>
  <c r="E425" i="1"/>
  <c r="A403" i="1"/>
  <c r="B403" i="1"/>
  <c r="C403" i="1"/>
  <c r="D403" i="1"/>
  <c r="E403" i="1"/>
  <c r="A406" i="1"/>
  <c r="B406" i="1"/>
  <c r="C406" i="1"/>
  <c r="D406" i="1"/>
  <c r="E406" i="1"/>
  <c r="A453" i="1"/>
  <c r="B453" i="1"/>
  <c r="C453" i="1"/>
  <c r="D453" i="1"/>
  <c r="E453" i="1"/>
  <c r="A388" i="1"/>
  <c r="B388" i="1"/>
  <c r="C388" i="1"/>
  <c r="D388" i="1"/>
  <c r="E388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496" i="1"/>
  <c r="B496" i="1"/>
  <c r="C496" i="1"/>
  <c r="D496" i="1"/>
  <c r="E496" i="1"/>
  <c r="A552" i="1"/>
  <c r="B552" i="1"/>
  <c r="C552" i="1"/>
  <c r="D552" i="1"/>
  <c r="E552" i="1"/>
  <c r="A773" i="1"/>
  <c r="B773" i="1"/>
  <c r="C773" i="1"/>
  <c r="D773" i="1"/>
  <c r="E773" i="1"/>
  <c r="A761" i="1"/>
  <c r="B761" i="1"/>
  <c r="C761" i="1"/>
  <c r="D761" i="1"/>
  <c r="E761" i="1"/>
  <c r="A940" i="1"/>
  <c r="B940" i="1"/>
  <c r="C940" i="1"/>
  <c r="D940" i="1"/>
  <c r="E940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782" i="1"/>
  <c r="B782" i="1"/>
  <c r="C782" i="1"/>
  <c r="D782" i="1"/>
  <c r="E782" i="1"/>
  <c r="A943" i="1"/>
  <c r="B943" i="1"/>
  <c r="C943" i="1"/>
  <c r="D943" i="1"/>
  <c r="E943" i="1"/>
  <c r="A503" i="1"/>
  <c r="B503" i="1"/>
  <c r="C503" i="1"/>
  <c r="D503" i="1"/>
  <c r="E503" i="1"/>
  <c r="A505" i="1"/>
  <c r="B505" i="1"/>
  <c r="C505" i="1"/>
  <c r="D505" i="1"/>
  <c r="E505" i="1"/>
  <c r="A517" i="1"/>
  <c r="B517" i="1"/>
  <c r="C517" i="1"/>
  <c r="D517" i="1"/>
  <c r="E517" i="1"/>
  <c r="A457" i="1"/>
  <c r="B457" i="1"/>
  <c r="C457" i="1"/>
  <c r="D457" i="1"/>
  <c r="E457" i="1"/>
  <c r="A51" i="1"/>
  <c r="B51" i="1"/>
  <c r="C51" i="1"/>
  <c r="D51" i="1"/>
  <c r="E51" i="1"/>
  <c r="A24" i="1"/>
  <c r="B24" i="1"/>
  <c r="C24" i="1"/>
  <c r="D24" i="1"/>
  <c r="E24" i="1"/>
  <c r="A2" i="1"/>
  <c r="B2" i="1"/>
  <c r="C2" i="1"/>
  <c r="D2" i="1"/>
  <c r="E2" i="1"/>
  <c r="A48" i="1"/>
  <c r="B48" i="1"/>
  <c r="C48" i="1"/>
  <c r="D48" i="1"/>
  <c r="E48" i="1"/>
  <c r="A1098" i="1"/>
  <c r="B1098" i="1"/>
  <c r="C1098" i="1"/>
  <c r="D1098" i="1"/>
  <c r="E1098" i="1"/>
  <c r="A1100" i="1"/>
  <c r="B1100" i="1"/>
  <c r="C1100" i="1"/>
  <c r="D1100" i="1"/>
  <c r="E1100" i="1"/>
  <c r="A1132" i="1"/>
  <c r="B1132" i="1"/>
  <c r="C1132" i="1"/>
  <c r="D1132" i="1"/>
  <c r="E1132" i="1"/>
  <c r="A881" i="1"/>
  <c r="B881" i="1"/>
  <c r="C881" i="1"/>
  <c r="D881" i="1"/>
  <c r="E881" i="1"/>
  <c r="A735" i="1"/>
  <c r="B735" i="1"/>
  <c r="C735" i="1"/>
  <c r="D735" i="1"/>
  <c r="E735" i="1"/>
  <c r="A732" i="1"/>
  <c r="B732" i="1"/>
  <c r="C732" i="1"/>
  <c r="D732" i="1"/>
  <c r="E732" i="1"/>
  <c r="A733" i="1"/>
  <c r="B733" i="1"/>
  <c r="C733" i="1"/>
  <c r="D733" i="1"/>
  <c r="E733" i="1"/>
  <c r="A734" i="1"/>
  <c r="B734" i="1"/>
  <c r="C734" i="1"/>
  <c r="D734" i="1"/>
  <c r="E734" i="1"/>
  <c r="A919" i="1"/>
  <c r="B919" i="1"/>
  <c r="C919" i="1"/>
  <c r="D919" i="1"/>
  <c r="E919" i="1"/>
  <c r="A781" i="1"/>
  <c r="B781" i="1"/>
  <c r="C781" i="1"/>
  <c r="D781" i="1"/>
  <c r="E781" i="1"/>
  <c r="A514" i="1"/>
  <c r="B514" i="1"/>
  <c r="C514" i="1"/>
  <c r="D514" i="1"/>
  <c r="E514" i="1"/>
  <c r="A497" i="1"/>
  <c r="B497" i="1"/>
  <c r="C497" i="1"/>
  <c r="D497" i="1"/>
  <c r="E497" i="1"/>
  <c r="A333" i="1"/>
  <c r="B333" i="1"/>
  <c r="C333" i="1"/>
  <c r="D333" i="1"/>
  <c r="E333" i="1"/>
  <c r="A331" i="1"/>
  <c r="B331" i="1"/>
  <c r="C331" i="1"/>
  <c r="D331" i="1"/>
  <c r="E331" i="1"/>
  <c r="A502" i="1"/>
  <c r="B502" i="1"/>
  <c r="C502" i="1"/>
  <c r="D502" i="1"/>
  <c r="E502" i="1"/>
  <c r="A611" i="1"/>
  <c r="B611" i="1"/>
  <c r="C611" i="1"/>
  <c r="D611" i="1"/>
  <c r="E611" i="1"/>
  <c r="A598" i="1"/>
  <c r="B598" i="1"/>
  <c r="C598" i="1"/>
  <c r="D598" i="1"/>
  <c r="E598" i="1"/>
  <c r="A572" i="1"/>
  <c r="B572" i="1"/>
  <c r="C572" i="1"/>
  <c r="D572" i="1"/>
  <c r="E572" i="1"/>
  <c r="A551" i="1"/>
  <c r="B551" i="1"/>
  <c r="C551" i="1"/>
  <c r="D551" i="1"/>
  <c r="E551" i="1"/>
  <c r="A573" i="1"/>
  <c r="B573" i="1"/>
  <c r="C573" i="1"/>
  <c r="D573" i="1"/>
  <c r="E573" i="1"/>
  <c r="A728" i="1"/>
  <c r="B728" i="1"/>
  <c r="C728" i="1"/>
  <c r="D728" i="1"/>
  <c r="E728" i="1"/>
  <c r="A725" i="1"/>
  <c r="B725" i="1"/>
  <c r="C725" i="1"/>
  <c r="D725" i="1"/>
  <c r="E725" i="1"/>
  <c r="A717" i="1"/>
  <c r="B717" i="1"/>
  <c r="C717" i="1"/>
  <c r="D717" i="1"/>
  <c r="E717" i="1"/>
  <c r="A737" i="1"/>
  <c r="B737" i="1"/>
  <c r="C737" i="1"/>
  <c r="D737" i="1"/>
  <c r="E737" i="1"/>
  <c r="A779" i="1"/>
  <c r="B779" i="1"/>
  <c r="C779" i="1"/>
  <c r="D779" i="1"/>
  <c r="E779" i="1"/>
  <c r="A780" i="1"/>
  <c r="B780" i="1"/>
  <c r="C780" i="1"/>
  <c r="D780" i="1"/>
  <c r="E780" i="1"/>
  <c r="A992" i="1"/>
  <c r="B992" i="1"/>
  <c r="C992" i="1"/>
  <c r="D992" i="1"/>
  <c r="E992" i="1"/>
  <c r="A993" i="1"/>
  <c r="B993" i="1"/>
  <c r="C993" i="1"/>
  <c r="D993" i="1"/>
  <c r="E993" i="1"/>
  <c r="A577" i="1"/>
  <c r="B577" i="1"/>
  <c r="C577" i="1"/>
  <c r="D577" i="1"/>
  <c r="E577" i="1"/>
  <c r="A602" i="1"/>
  <c r="B602" i="1"/>
  <c r="C602" i="1"/>
  <c r="D602" i="1"/>
  <c r="E602" i="1"/>
  <c r="A23" i="1"/>
  <c r="B23" i="1"/>
  <c r="C23" i="1"/>
  <c r="D23" i="1"/>
  <c r="E23" i="1"/>
  <c r="A778" i="1"/>
  <c r="B778" i="1"/>
  <c r="C778" i="1"/>
  <c r="D778" i="1"/>
  <c r="E778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4" i="1"/>
  <c r="B654" i="1"/>
  <c r="C654" i="1"/>
  <c r="D654" i="1"/>
  <c r="E654" i="1"/>
  <c r="A672" i="1"/>
  <c r="B672" i="1"/>
  <c r="C672" i="1"/>
  <c r="D672" i="1"/>
  <c r="E672" i="1"/>
  <c r="A628" i="1"/>
  <c r="B628" i="1"/>
  <c r="C628" i="1"/>
  <c r="D628" i="1"/>
  <c r="E628" i="1"/>
  <c r="A652" i="1"/>
  <c r="B652" i="1"/>
  <c r="C652" i="1"/>
  <c r="D652" i="1"/>
  <c r="E652" i="1"/>
  <c r="A718" i="1"/>
  <c r="B718" i="1"/>
  <c r="C718" i="1"/>
  <c r="D718" i="1"/>
  <c r="E718" i="1"/>
  <c r="A777" i="1"/>
  <c r="B777" i="1"/>
  <c r="C777" i="1"/>
  <c r="D777" i="1"/>
  <c r="E777" i="1"/>
  <c r="A872" i="1"/>
  <c r="B872" i="1"/>
  <c r="C872" i="1"/>
  <c r="D872" i="1"/>
  <c r="E872" i="1"/>
  <c r="A576" i="1"/>
  <c r="B576" i="1"/>
  <c r="C576" i="1"/>
  <c r="D576" i="1"/>
  <c r="E576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45" i="1"/>
  <c r="B45" i="1"/>
  <c r="C45" i="1"/>
  <c r="D45" i="1"/>
  <c r="E45" i="1"/>
  <c r="A512" i="1"/>
  <c r="B512" i="1"/>
  <c r="C512" i="1"/>
  <c r="D512" i="1"/>
  <c r="E512" i="1"/>
  <c r="A513" i="1"/>
  <c r="B513" i="1"/>
  <c r="C513" i="1"/>
  <c r="D513" i="1"/>
  <c r="E513" i="1"/>
  <c r="A499" i="1"/>
  <c r="B499" i="1"/>
  <c r="C499" i="1"/>
  <c r="D499" i="1"/>
  <c r="E499" i="1"/>
  <c r="A504" i="1"/>
  <c r="B504" i="1"/>
  <c r="C504" i="1"/>
  <c r="D504" i="1"/>
  <c r="E504" i="1"/>
  <c r="A367" i="1"/>
  <c r="B367" i="1"/>
  <c r="C367" i="1"/>
  <c r="D367" i="1"/>
  <c r="E367" i="1"/>
  <c r="A452" i="1"/>
  <c r="B452" i="1"/>
  <c r="C452" i="1"/>
  <c r="D452" i="1"/>
  <c r="E452" i="1"/>
  <c r="A585" i="1"/>
  <c r="B585" i="1"/>
  <c r="C585" i="1"/>
  <c r="D585" i="1"/>
  <c r="E585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8" i="1"/>
  <c r="B8" i="1"/>
  <c r="C8" i="1"/>
  <c r="D8" i="1"/>
  <c r="E8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8" i="1"/>
  <c r="B318" i="1"/>
  <c r="C318" i="1"/>
  <c r="D318" i="1"/>
  <c r="E318" i="1"/>
  <c r="A615" i="1"/>
  <c r="B615" i="1"/>
  <c r="C615" i="1"/>
  <c r="D615" i="1"/>
  <c r="E615" i="1"/>
  <c r="A515" i="1"/>
  <c r="B515" i="1"/>
  <c r="C515" i="1"/>
  <c r="D515" i="1"/>
  <c r="E515" i="1"/>
  <c r="A518" i="1"/>
  <c r="B518" i="1"/>
  <c r="C518" i="1"/>
  <c r="D518" i="1"/>
  <c r="E518" i="1"/>
  <c r="A519" i="1"/>
  <c r="B519" i="1"/>
  <c r="C519" i="1"/>
  <c r="D519" i="1"/>
  <c r="E519" i="1"/>
  <c r="A511" i="1"/>
  <c r="B511" i="1"/>
  <c r="C511" i="1"/>
  <c r="D511" i="1"/>
  <c r="E511" i="1"/>
  <c r="A622" i="1"/>
  <c r="B622" i="1"/>
  <c r="C622" i="1"/>
  <c r="D622" i="1"/>
  <c r="E622" i="1"/>
  <c r="A369" i="1"/>
  <c r="B369" i="1"/>
  <c r="C369" i="1"/>
  <c r="D369" i="1"/>
  <c r="E369" i="1"/>
  <c r="A606" i="1"/>
  <c r="B606" i="1"/>
  <c r="C606" i="1"/>
  <c r="D606" i="1"/>
  <c r="E606" i="1"/>
  <c r="A586" i="1"/>
  <c r="B586" i="1"/>
  <c r="C586" i="1"/>
  <c r="D586" i="1"/>
  <c r="E586" i="1"/>
  <c r="A600" i="1"/>
  <c r="B600" i="1"/>
  <c r="C600" i="1"/>
  <c r="D600" i="1"/>
  <c r="E600" i="1"/>
  <c r="A601" i="1"/>
  <c r="B601" i="1"/>
  <c r="C601" i="1"/>
  <c r="D601" i="1"/>
  <c r="E601" i="1"/>
  <c r="A608" i="1"/>
  <c r="B608" i="1"/>
  <c r="C608" i="1"/>
  <c r="D608" i="1"/>
  <c r="E608" i="1"/>
  <c r="A618" i="1"/>
  <c r="B618" i="1"/>
  <c r="C618" i="1"/>
  <c r="D618" i="1"/>
  <c r="E618" i="1"/>
  <c r="A616" i="1"/>
  <c r="B616" i="1"/>
  <c r="C616" i="1"/>
  <c r="D616" i="1"/>
  <c r="E616" i="1"/>
  <c r="A35" i="1"/>
  <c r="B35" i="1"/>
  <c r="C35" i="1"/>
  <c r="D35" i="1"/>
  <c r="E35" i="1"/>
  <c r="A745" i="1"/>
  <c r="B745" i="1"/>
  <c r="C745" i="1"/>
  <c r="D745" i="1"/>
  <c r="E745" i="1"/>
  <c r="A746" i="1"/>
  <c r="B746" i="1"/>
  <c r="C746" i="1"/>
  <c r="D746" i="1"/>
  <c r="E746" i="1"/>
  <c r="A724" i="1"/>
  <c r="B724" i="1"/>
  <c r="C724" i="1"/>
  <c r="D724" i="1"/>
  <c r="E724" i="1"/>
  <c r="A775" i="1"/>
  <c r="B775" i="1"/>
  <c r="C775" i="1"/>
  <c r="D775" i="1"/>
  <c r="E775" i="1"/>
  <c r="A776" i="1"/>
  <c r="B776" i="1"/>
  <c r="C776" i="1"/>
  <c r="D776" i="1"/>
  <c r="E776" i="1"/>
  <c r="A762" i="1"/>
  <c r="B762" i="1"/>
  <c r="C762" i="1"/>
  <c r="D762" i="1"/>
  <c r="E762" i="1"/>
  <c r="A879" i="1"/>
  <c r="B879" i="1"/>
  <c r="C879" i="1"/>
  <c r="D879" i="1"/>
  <c r="E879" i="1"/>
  <c r="A744" i="1"/>
  <c r="B744" i="1"/>
  <c r="C744" i="1"/>
  <c r="D744" i="1"/>
  <c r="E744" i="1"/>
  <c r="A638" i="1"/>
  <c r="B638" i="1"/>
  <c r="C638" i="1"/>
  <c r="D638" i="1"/>
  <c r="E638" i="1"/>
  <c r="A621" i="1"/>
  <c r="B621" i="1"/>
  <c r="C621" i="1"/>
  <c r="D621" i="1"/>
  <c r="E621" i="1"/>
  <c r="A591" i="1"/>
  <c r="B591" i="1"/>
  <c r="C591" i="1"/>
  <c r="D591" i="1"/>
  <c r="E591" i="1"/>
  <c r="A589" i="1"/>
  <c r="B589" i="1"/>
  <c r="C589" i="1"/>
  <c r="D589" i="1"/>
  <c r="E589" i="1"/>
  <c r="A620" i="1"/>
  <c r="B620" i="1"/>
  <c r="C620" i="1"/>
  <c r="D620" i="1"/>
  <c r="E620" i="1"/>
  <c r="A637" i="1"/>
  <c r="B637" i="1"/>
  <c r="C637" i="1"/>
  <c r="D637" i="1"/>
  <c r="E637" i="1"/>
  <c r="A753" i="1"/>
  <c r="B753" i="1"/>
  <c r="C753" i="1"/>
  <c r="D753" i="1"/>
  <c r="E753" i="1"/>
  <c r="A751" i="1"/>
  <c r="B751" i="1"/>
  <c r="C751" i="1"/>
  <c r="D751" i="1"/>
  <c r="E751" i="1"/>
  <c r="A748" i="1"/>
  <c r="B748" i="1"/>
  <c r="C748" i="1"/>
  <c r="D748" i="1"/>
  <c r="E748" i="1"/>
  <c r="A766" i="1"/>
  <c r="B766" i="1"/>
  <c r="C766" i="1"/>
  <c r="D766" i="1"/>
  <c r="E766" i="1"/>
  <c r="A767" i="1"/>
  <c r="B767" i="1"/>
  <c r="C767" i="1"/>
  <c r="D767" i="1"/>
  <c r="E767" i="1"/>
  <c r="A739" i="1"/>
  <c r="B739" i="1"/>
  <c r="C739" i="1"/>
  <c r="D739" i="1"/>
  <c r="E739" i="1"/>
  <c r="A947" i="1"/>
  <c r="B947" i="1"/>
  <c r="C947" i="1"/>
  <c r="D947" i="1"/>
  <c r="E947" i="1"/>
  <c r="A1002" i="1"/>
  <c r="B1002" i="1"/>
  <c r="C1002" i="1"/>
  <c r="D1002" i="1"/>
  <c r="E1002" i="1"/>
  <c r="A1054" i="1"/>
  <c r="B1054" i="1"/>
  <c r="C1054" i="1"/>
  <c r="D1054" i="1"/>
  <c r="E1054" i="1"/>
  <c r="A982" i="1"/>
  <c r="B982" i="1"/>
  <c r="C982" i="1"/>
  <c r="D982" i="1"/>
  <c r="E982" i="1"/>
  <c r="A985" i="1"/>
  <c r="B985" i="1"/>
  <c r="C985" i="1"/>
  <c r="D985" i="1"/>
  <c r="E985" i="1"/>
  <c r="A977" i="1"/>
  <c r="B977" i="1"/>
  <c r="C977" i="1"/>
  <c r="D977" i="1"/>
  <c r="E977" i="1"/>
  <c r="A871" i="1"/>
  <c r="B871" i="1"/>
  <c r="C871" i="1"/>
  <c r="D871" i="1"/>
  <c r="E871" i="1"/>
  <c r="A874" i="1"/>
  <c r="B874" i="1"/>
  <c r="C874" i="1"/>
  <c r="D874" i="1"/>
  <c r="E874" i="1"/>
  <c r="A770" i="1"/>
  <c r="B770" i="1"/>
  <c r="C770" i="1"/>
  <c r="D770" i="1"/>
  <c r="E770" i="1"/>
  <c r="A772" i="1"/>
  <c r="B772" i="1"/>
  <c r="C772" i="1"/>
  <c r="D772" i="1"/>
  <c r="E772" i="1"/>
  <c r="A614" i="1"/>
  <c r="B614" i="1"/>
  <c r="C614" i="1"/>
  <c r="D614" i="1"/>
  <c r="E614" i="1"/>
  <c r="A617" i="1"/>
  <c r="B617" i="1"/>
  <c r="C617" i="1"/>
  <c r="D617" i="1"/>
  <c r="E617" i="1"/>
  <c r="A607" i="1"/>
  <c r="B607" i="1"/>
  <c r="C607" i="1"/>
  <c r="D607" i="1"/>
  <c r="E607" i="1"/>
  <c r="A609" i="1"/>
  <c r="B609" i="1"/>
  <c r="C609" i="1"/>
  <c r="D609" i="1"/>
  <c r="E609" i="1"/>
  <c r="A610" i="1"/>
  <c r="B610" i="1"/>
  <c r="C610" i="1"/>
  <c r="D610" i="1"/>
  <c r="E610" i="1"/>
  <c r="A595" i="1"/>
  <c r="B595" i="1"/>
  <c r="C595" i="1"/>
  <c r="D595" i="1"/>
  <c r="E595" i="1"/>
  <c r="A580" i="1"/>
  <c r="B580" i="1"/>
  <c r="C580" i="1"/>
  <c r="D580" i="1"/>
  <c r="E580" i="1"/>
  <c r="A523" i="1"/>
  <c r="B523" i="1"/>
  <c r="C523" i="1"/>
  <c r="D523" i="1"/>
  <c r="E523" i="1"/>
  <c r="A456" i="1"/>
  <c r="B456" i="1"/>
  <c r="C456" i="1"/>
  <c r="D456" i="1"/>
  <c r="E456" i="1"/>
  <c r="A352" i="1"/>
  <c r="B352" i="1"/>
  <c r="C352" i="1"/>
  <c r="D352" i="1"/>
  <c r="E352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8" i="1"/>
  <c r="B248" i="1"/>
  <c r="C248" i="1"/>
  <c r="D248" i="1"/>
  <c r="E248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3" i="1"/>
  <c r="B3" i="1"/>
  <c r="C3" i="1"/>
  <c r="D3" i="1"/>
  <c r="E3" i="1"/>
  <c r="A29" i="1"/>
  <c r="B29" i="1"/>
  <c r="C29" i="1"/>
  <c r="D29" i="1"/>
  <c r="E29" i="1"/>
  <c r="A50" i="1"/>
  <c r="B50" i="1"/>
  <c r="C50" i="1"/>
  <c r="D50" i="1"/>
  <c r="E50" i="1"/>
  <c r="A243" i="1"/>
  <c r="B243" i="1"/>
  <c r="C243" i="1"/>
  <c r="D243" i="1"/>
  <c r="E243" i="1"/>
  <c r="A303" i="1"/>
  <c r="B303" i="1"/>
  <c r="C303" i="1"/>
  <c r="D303" i="1"/>
  <c r="E303" i="1"/>
  <c r="A319" i="1"/>
  <c r="B319" i="1"/>
  <c r="C319" i="1"/>
  <c r="D319" i="1"/>
  <c r="E319" i="1"/>
  <c r="A317" i="1"/>
  <c r="B317" i="1"/>
  <c r="C317" i="1"/>
  <c r="D317" i="1"/>
  <c r="E317" i="1"/>
  <c r="A196" i="1"/>
  <c r="B196" i="1"/>
  <c r="C196" i="1"/>
  <c r="D196" i="1"/>
  <c r="E196" i="1"/>
  <c r="A316" i="1"/>
  <c r="B316" i="1"/>
  <c r="C316" i="1"/>
  <c r="D316" i="1"/>
  <c r="E316" i="1"/>
  <c r="A271" i="1"/>
  <c r="B271" i="1"/>
  <c r="C271" i="1"/>
  <c r="D271" i="1"/>
  <c r="E271" i="1"/>
  <c r="A351" i="1"/>
  <c r="B351" i="1"/>
  <c r="C351" i="1"/>
  <c r="D351" i="1"/>
  <c r="E351" i="1"/>
  <c r="A327" i="1"/>
  <c r="B327" i="1"/>
  <c r="C327" i="1"/>
  <c r="D327" i="1"/>
  <c r="E327" i="1"/>
  <c r="A400" i="1"/>
  <c r="B400" i="1"/>
  <c r="C400" i="1"/>
  <c r="D400" i="1"/>
  <c r="E400" i="1"/>
  <c r="A530" i="1"/>
  <c r="B530" i="1"/>
  <c r="C530" i="1"/>
  <c r="D530" i="1"/>
  <c r="E530" i="1"/>
  <c r="A604" i="1"/>
  <c r="B604" i="1"/>
  <c r="C604" i="1"/>
  <c r="D604" i="1"/>
  <c r="E604" i="1"/>
  <c r="A605" i="1"/>
  <c r="B605" i="1"/>
  <c r="C605" i="1"/>
  <c r="D605" i="1"/>
  <c r="E605" i="1"/>
  <c r="A613" i="1"/>
  <c r="B613" i="1"/>
  <c r="C613" i="1"/>
  <c r="D613" i="1"/>
  <c r="E613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999" i="1"/>
  <c r="B999" i="1"/>
  <c r="C999" i="1"/>
  <c r="D999" i="1"/>
  <c r="E999" i="1"/>
  <c r="A997" i="1"/>
  <c r="B997" i="1"/>
  <c r="C997" i="1"/>
  <c r="D997" i="1"/>
  <c r="E997" i="1"/>
  <c r="A996" i="1"/>
  <c r="B996" i="1"/>
  <c r="C996" i="1"/>
  <c r="D996" i="1"/>
  <c r="E996" i="1"/>
  <c r="A998" i="1"/>
  <c r="B998" i="1"/>
  <c r="C998" i="1"/>
  <c r="D998" i="1"/>
  <c r="E998" i="1"/>
  <c r="A1097" i="1"/>
  <c r="B1097" i="1"/>
  <c r="C1097" i="1"/>
  <c r="D1097" i="1"/>
  <c r="E1097" i="1"/>
  <c r="A942" i="1"/>
  <c r="B942" i="1"/>
  <c r="C942" i="1"/>
  <c r="D942" i="1"/>
  <c r="E942" i="1"/>
  <c r="A944" i="1"/>
  <c r="B944" i="1"/>
  <c r="C944" i="1"/>
  <c r="D944" i="1"/>
  <c r="E944" i="1"/>
  <c r="A941" i="1"/>
  <c r="B941" i="1"/>
  <c r="C941" i="1"/>
  <c r="D941" i="1"/>
  <c r="E941" i="1"/>
  <c r="A946" i="1"/>
  <c r="B946" i="1"/>
  <c r="C946" i="1"/>
  <c r="D946" i="1"/>
  <c r="E946" i="1"/>
  <c r="A945" i="1"/>
  <c r="B945" i="1"/>
  <c r="C945" i="1"/>
  <c r="D945" i="1"/>
  <c r="E945" i="1"/>
  <c r="A769" i="1"/>
  <c r="B769" i="1"/>
  <c r="C769" i="1"/>
  <c r="D769" i="1"/>
  <c r="E769" i="1"/>
  <c r="A920" i="1"/>
  <c r="B920" i="1"/>
  <c r="C920" i="1"/>
  <c r="D920" i="1"/>
  <c r="E920" i="1"/>
  <c r="A976" i="1"/>
  <c r="B976" i="1"/>
  <c r="C976" i="1"/>
  <c r="D976" i="1"/>
  <c r="E976" i="1"/>
  <c r="A991" i="1"/>
  <c r="B991" i="1"/>
  <c r="C991" i="1"/>
  <c r="D991" i="1"/>
  <c r="E991" i="1"/>
  <c r="A994" i="1"/>
  <c r="B994" i="1"/>
  <c r="C994" i="1"/>
  <c r="D994" i="1"/>
  <c r="E994" i="1"/>
  <c r="A974" i="1"/>
  <c r="B974" i="1"/>
  <c r="C974" i="1"/>
  <c r="D974" i="1"/>
  <c r="E974" i="1"/>
  <c r="A988" i="1"/>
  <c r="B988" i="1"/>
  <c r="C988" i="1"/>
  <c r="D988" i="1"/>
  <c r="E988" i="1"/>
  <c r="A984" i="1"/>
  <c r="B984" i="1"/>
  <c r="C984" i="1"/>
  <c r="D984" i="1"/>
  <c r="E984" i="1"/>
  <c r="A979" i="1"/>
  <c r="B979" i="1"/>
  <c r="C979" i="1"/>
  <c r="D979" i="1"/>
  <c r="E979" i="1"/>
  <c r="A980" i="1"/>
  <c r="B980" i="1"/>
  <c r="C980" i="1"/>
  <c r="D980" i="1"/>
  <c r="E980" i="1"/>
  <c r="A755" i="1"/>
  <c r="B755" i="1"/>
  <c r="C755" i="1"/>
  <c r="D755" i="1"/>
  <c r="E755" i="1"/>
  <c r="A752" i="1"/>
  <c r="B752" i="1"/>
  <c r="C752" i="1"/>
  <c r="D752" i="1"/>
  <c r="E752" i="1"/>
  <c r="A685" i="1"/>
  <c r="B685" i="1"/>
  <c r="C685" i="1"/>
  <c r="D685" i="1"/>
  <c r="E685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0" i="1"/>
  <c r="B590" i="1"/>
  <c r="C590" i="1"/>
  <c r="D590" i="1"/>
  <c r="E590" i="1"/>
  <c r="A619" i="1"/>
  <c r="B619" i="1"/>
  <c r="C619" i="1"/>
  <c r="D619" i="1"/>
  <c r="E619" i="1"/>
  <c r="A596" i="1"/>
  <c r="B596" i="1"/>
  <c r="C596" i="1"/>
  <c r="D596" i="1"/>
  <c r="E596" i="1"/>
  <c r="A587" i="1"/>
  <c r="B587" i="1"/>
  <c r="C587" i="1"/>
  <c r="D587" i="1"/>
  <c r="E587" i="1"/>
  <c r="A760" i="1"/>
  <c r="B760" i="1"/>
  <c r="C760" i="1"/>
  <c r="D760" i="1"/>
  <c r="E760" i="1"/>
  <c r="A756" i="1"/>
  <c r="B756" i="1"/>
  <c r="C756" i="1"/>
  <c r="D756" i="1"/>
  <c r="E756" i="1"/>
  <c r="A740" i="1"/>
  <c r="B740" i="1"/>
  <c r="C740" i="1"/>
  <c r="D740" i="1"/>
  <c r="E740" i="1"/>
  <c r="A741" i="1"/>
  <c r="B741" i="1"/>
  <c r="C741" i="1"/>
  <c r="D741" i="1"/>
  <c r="E741" i="1"/>
  <c r="A742" i="1"/>
  <c r="B742" i="1"/>
  <c r="C742" i="1"/>
  <c r="D742" i="1"/>
  <c r="E742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757" i="1"/>
  <c r="B757" i="1"/>
  <c r="C757" i="1"/>
  <c r="D757" i="1"/>
  <c r="E757" i="1"/>
  <c r="A750" i="1"/>
  <c r="B750" i="1"/>
  <c r="C750" i="1"/>
  <c r="D750" i="1"/>
  <c r="E750" i="1"/>
  <c r="A348" i="1"/>
  <c r="B348" i="1"/>
  <c r="C348" i="1"/>
  <c r="D348" i="1"/>
  <c r="E348" i="1"/>
  <c r="A324" i="1"/>
  <c r="B324" i="1"/>
  <c r="C324" i="1"/>
  <c r="D324" i="1"/>
  <c r="E324" i="1"/>
  <c r="A325" i="1"/>
  <c r="B325" i="1"/>
  <c r="C325" i="1"/>
  <c r="D325" i="1"/>
  <c r="E325" i="1"/>
  <c r="A386" i="1"/>
  <c r="B386" i="1"/>
  <c r="C386" i="1"/>
  <c r="D386" i="1"/>
  <c r="E386" i="1"/>
  <c r="A387" i="1"/>
  <c r="B387" i="1"/>
  <c r="C387" i="1"/>
  <c r="D387" i="1"/>
  <c r="E387" i="1"/>
  <c r="A668" i="1"/>
  <c r="B668" i="1"/>
  <c r="C668" i="1"/>
  <c r="D668" i="1"/>
  <c r="E668" i="1"/>
  <c r="A768" i="1"/>
  <c r="B768" i="1"/>
  <c r="C768" i="1"/>
  <c r="D768" i="1"/>
  <c r="E768" i="1"/>
  <c r="A975" i="1"/>
  <c r="B975" i="1"/>
  <c r="C975" i="1"/>
  <c r="D975" i="1"/>
  <c r="E975" i="1"/>
  <c r="A972" i="1"/>
  <c r="B972" i="1"/>
  <c r="C972" i="1"/>
  <c r="D972" i="1"/>
  <c r="E972" i="1"/>
  <c r="A771" i="1"/>
  <c r="B771" i="1"/>
  <c r="C771" i="1"/>
  <c r="D771" i="1"/>
  <c r="E771" i="1"/>
  <c r="A301" i="1"/>
  <c r="B301" i="1"/>
  <c r="C301" i="1"/>
  <c r="D301" i="1"/>
  <c r="E301" i="1"/>
  <c r="A56" i="1"/>
  <c r="B56" i="1"/>
  <c r="C56" i="1"/>
  <c r="D56" i="1"/>
  <c r="E56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02" i="1"/>
  <c r="B302" i="1"/>
  <c r="C302" i="1"/>
  <c r="D302" i="1"/>
  <c r="E302" i="1"/>
  <c r="A205" i="1"/>
  <c r="B205" i="1"/>
  <c r="C205" i="1"/>
  <c r="D205" i="1"/>
  <c r="E205" i="1"/>
  <c r="A203" i="1"/>
  <c r="B203" i="1"/>
  <c r="C203" i="1"/>
  <c r="D203" i="1"/>
  <c r="E203" i="1"/>
  <c r="A187" i="1"/>
  <c r="B187" i="1"/>
  <c r="C187" i="1"/>
  <c r="D187" i="1"/>
  <c r="E187" i="1"/>
  <c r="A186" i="1"/>
  <c r="B186" i="1"/>
  <c r="C186" i="1"/>
  <c r="D186" i="1"/>
  <c r="E186" i="1"/>
  <c r="A183" i="1"/>
  <c r="B183" i="1"/>
  <c r="C183" i="1"/>
  <c r="D183" i="1"/>
  <c r="E183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635" i="1"/>
  <c r="B635" i="1"/>
  <c r="C635" i="1"/>
  <c r="D635" i="1"/>
  <c r="E635" i="1"/>
  <c r="A655" i="1"/>
  <c r="B655" i="1"/>
  <c r="C655" i="1"/>
  <c r="D655" i="1"/>
  <c r="E655" i="1"/>
  <c r="A648" i="1"/>
  <c r="B648" i="1"/>
  <c r="C648" i="1"/>
  <c r="D648" i="1"/>
  <c r="E648" i="1"/>
  <c r="A951" i="1"/>
  <c r="B951" i="1"/>
  <c r="C951" i="1"/>
  <c r="D951" i="1"/>
  <c r="E951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207" i="1"/>
  <c r="B207" i="1"/>
  <c r="C207" i="1"/>
  <c r="D207" i="1"/>
  <c r="E207" i="1"/>
  <c r="A206" i="1"/>
  <c r="B206" i="1"/>
  <c r="C206" i="1"/>
  <c r="D206" i="1"/>
  <c r="E206" i="1"/>
  <c r="A715" i="1"/>
  <c r="B715" i="1"/>
  <c r="C715" i="1"/>
  <c r="D715" i="1"/>
  <c r="E715" i="1"/>
  <c r="A747" i="1"/>
  <c r="B747" i="1"/>
  <c r="C747" i="1"/>
  <c r="D747" i="1"/>
  <c r="E747" i="1"/>
  <c r="A870" i="1"/>
  <c r="B870" i="1"/>
  <c r="C870" i="1"/>
  <c r="D870" i="1"/>
  <c r="E870" i="1"/>
  <c r="A666" i="1"/>
  <c r="B666" i="1"/>
  <c r="C666" i="1"/>
  <c r="D666" i="1"/>
  <c r="E666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566" i="1"/>
  <c r="B566" i="1"/>
  <c r="C566" i="1"/>
  <c r="D566" i="1"/>
  <c r="E566" i="1"/>
  <c r="A464" i="1"/>
  <c r="B464" i="1"/>
  <c r="C464" i="1"/>
  <c r="D464" i="1"/>
  <c r="E464" i="1"/>
  <c r="A175" i="1"/>
  <c r="B175" i="1"/>
  <c r="C175" i="1"/>
  <c r="D175" i="1"/>
  <c r="E175" i="1"/>
  <c r="A176" i="1"/>
  <c r="B176" i="1"/>
  <c r="C176" i="1"/>
  <c r="D176" i="1"/>
  <c r="E176" i="1"/>
  <c r="A233" i="1"/>
  <c r="B233" i="1"/>
  <c r="C233" i="1"/>
  <c r="D233" i="1"/>
  <c r="E233" i="1"/>
  <c r="A1000" i="1"/>
  <c r="B1000" i="1"/>
  <c r="C1000" i="1"/>
  <c r="D1000" i="1"/>
  <c r="E1000" i="1"/>
  <c r="A938" i="1"/>
  <c r="B938" i="1"/>
  <c r="C938" i="1"/>
  <c r="D938" i="1"/>
  <c r="E938" i="1"/>
  <c r="A1134" i="1"/>
  <c r="B1134" i="1"/>
  <c r="C1134" i="1"/>
  <c r="D1134" i="1"/>
  <c r="E1134" i="1"/>
  <c r="A650" i="1"/>
  <c r="B650" i="1"/>
  <c r="C650" i="1"/>
  <c r="D650" i="1"/>
  <c r="E650" i="1"/>
  <c r="A651" i="1"/>
  <c r="B651" i="1"/>
  <c r="C651" i="1"/>
  <c r="D651" i="1"/>
  <c r="E651" i="1"/>
  <c r="A368" i="1"/>
  <c r="B368" i="1"/>
  <c r="C368" i="1"/>
  <c r="D368" i="1"/>
  <c r="E368" i="1"/>
  <c r="A390" i="1"/>
  <c r="B390" i="1"/>
  <c r="C390" i="1"/>
  <c r="D390" i="1"/>
  <c r="E390" i="1"/>
  <c r="A370" i="1"/>
  <c r="B370" i="1"/>
  <c r="C370" i="1"/>
  <c r="D370" i="1"/>
  <c r="E370" i="1"/>
  <c r="A371" i="1"/>
  <c r="B371" i="1"/>
  <c r="C371" i="1"/>
  <c r="D371" i="1"/>
  <c r="E371" i="1"/>
  <c r="A454" i="1"/>
  <c r="B454" i="1"/>
  <c r="C454" i="1"/>
  <c r="D454" i="1"/>
  <c r="E454" i="1"/>
  <c r="A455" i="1"/>
  <c r="B455" i="1"/>
  <c r="C455" i="1"/>
  <c r="D455" i="1"/>
  <c r="E455" i="1"/>
  <c r="A364" i="1"/>
  <c r="B364" i="1"/>
  <c r="C364" i="1"/>
  <c r="D364" i="1"/>
  <c r="E364" i="1"/>
  <c r="A337" i="1"/>
  <c r="B337" i="1"/>
  <c r="C337" i="1"/>
  <c r="D337" i="1"/>
  <c r="E337" i="1"/>
  <c r="A335" i="1"/>
  <c r="B335" i="1"/>
  <c r="C335" i="1"/>
  <c r="D335" i="1"/>
  <c r="E335" i="1"/>
  <c r="A599" i="1"/>
  <c r="B599" i="1"/>
  <c r="C599" i="1"/>
  <c r="D599" i="1"/>
  <c r="E599" i="1"/>
  <c r="A646" i="1"/>
  <c r="B646" i="1"/>
  <c r="C646" i="1"/>
  <c r="D646" i="1"/>
  <c r="E646" i="1"/>
  <c r="A644" i="1"/>
  <c r="B644" i="1"/>
  <c r="C644" i="1"/>
  <c r="D644" i="1"/>
  <c r="E644" i="1"/>
  <c r="A645" i="1"/>
  <c r="B645" i="1"/>
  <c r="C645" i="1"/>
  <c r="D645" i="1"/>
  <c r="E645" i="1"/>
  <c r="A989" i="1"/>
  <c r="B989" i="1"/>
  <c r="C989" i="1"/>
  <c r="D989" i="1"/>
  <c r="E989" i="1"/>
  <c r="A973" i="1"/>
  <c r="B973" i="1"/>
  <c r="C973" i="1"/>
  <c r="D973" i="1"/>
  <c r="E973" i="1"/>
  <c r="A978" i="1"/>
  <c r="B978" i="1"/>
  <c r="C978" i="1"/>
  <c r="D978" i="1"/>
  <c r="E978" i="1"/>
  <c r="A981" i="1"/>
  <c r="B981" i="1"/>
  <c r="C981" i="1"/>
  <c r="D981" i="1"/>
  <c r="E981" i="1"/>
  <c r="A983" i="1"/>
  <c r="B983" i="1"/>
  <c r="C983" i="1"/>
  <c r="D983" i="1"/>
  <c r="E983" i="1"/>
  <c r="A986" i="1"/>
  <c r="B986" i="1"/>
  <c r="C986" i="1"/>
  <c r="D986" i="1"/>
  <c r="E986" i="1"/>
  <c r="A987" i="1"/>
  <c r="B987" i="1"/>
  <c r="C987" i="1"/>
  <c r="D987" i="1"/>
  <c r="E987" i="1"/>
  <c r="A521" i="1"/>
  <c r="B521" i="1"/>
  <c r="C521" i="1"/>
  <c r="D521" i="1"/>
  <c r="E521" i="1"/>
  <c r="A522" i="1"/>
  <c r="B522" i="1"/>
  <c r="C522" i="1"/>
  <c r="D522" i="1"/>
  <c r="E522" i="1"/>
  <c r="A574" i="1"/>
  <c r="B574" i="1"/>
  <c r="C574" i="1"/>
  <c r="D574" i="1"/>
  <c r="E574" i="1"/>
  <c r="A603" i="1"/>
  <c r="B603" i="1"/>
  <c r="C603" i="1"/>
  <c r="D603" i="1"/>
  <c r="E603" i="1"/>
  <c r="A882" i="1"/>
  <c r="B882" i="1"/>
  <c r="C882" i="1"/>
  <c r="D882" i="1"/>
  <c r="E882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3" i="1"/>
  <c r="B643" i="1"/>
  <c r="C643" i="1"/>
  <c r="D643" i="1"/>
  <c r="E643" i="1"/>
  <c r="A268" i="1"/>
  <c r="B268" i="1"/>
  <c r="C268" i="1"/>
  <c r="D268" i="1"/>
  <c r="E268" i="1"/>
  <c r="A259" i="1"/>
  <c r="B259" i="1"/>
  <c r="C259" i="1"/>
  <c r="D259" i="1"/>
  <c r="E259" i="1"/>
  <c r="A286" i="1"/>
  <c r="B286" i="1"/>
  <c r="C286" i="1"/>
  <c r="D286" i="1"/>
  <c r="E286" i="1"/>
  <c r="A931" i="1"/>
  <c r="B931" i="1"/>
  <c r="C931" i="1"/>
  <c r="D931" i="1"/>
  <c r="E931" i="1"/>
  <c r="A926" i="1"/>
  <c r="B926" i="1"/>
  <c r="C926" i="1"/>
  <c r="D926" i="1"/>
  <c r="E926" i="1"/>
  <c r="A185" i="1"/>
  <c r="B185" i="1"/>
  <c r="C185" i="1"/>
  <c r="D185" i="1"/>
  <c r="E185" i="1"/>
  <c r="A14" i="1"/>
  <c r="B14" i="1"/>
  <c r="C14" i="1"/>
  <c r="D14" i="1"/>
  <c r="E14" i="1"/>
  <c r="A357" i="1"/>
  <c r="B357" i="1"/>
  <c r="C357" i="1"/>
  <c r="D357" i="1"/>
  <c r="E357" i="1"/>
  <c r="A507" i="1"/>
  <c r="B507" i="1"/>
  <c r="C507" i="1"/>
  <c r="D507" i="1"/>
  <c r="E507" i="1"/>
  <c r="A510" i="1"/>
  <c r="B510" i="1"/>
  <c r="C510" i="1"/>
  <c r="D510" i="1"/>
  <c r="E510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159" i="1"/>
  <c r="B159" i="1"/>
  <c r="C159" i="1"/>
  <c r="D159" i="1"/>
  <c r="E159" i="1"/>
  <c r="A109" i="1"/>
  <c r="B109" i="1"/>
  <c r="C109" i="1"/>
  <c r="D109" i="1"/>
  <c r="E109" i="1"/>
  <c r="A167" i="1"/>
  <c r="B167" i="1"/>
  <c r="C167" i="1"/>
  <c r="D167" i="1"/>
  <c r="E167" i="1"/>
  <c r="A165" i="1"/>
  <c r="B165" i="1"/>
  <c r="C165" i="1"/>
  <c r="D165" i="1"/>
  <c r="E165" i="1"/>
  <c r="A420" i="1"/>
  <c r="B420" i="1"/>
  <c r="C420" i="1"/>
  <c r="D420" i="1"/>
  <c r="E420" i="1"/>
  <c r="A430" i="1"/>
  <c r="B430" i="1"/>
  <c r="C430" i="1"/>
  <c r="D430" i="1"/>
  <c r="E430" i="1"/>
  <c r="A255" i="1"/>
  <c r="B255" i="1"/>
  <c r="C255" i="1"/>
  <c r="D255" i="1"/>
  <c r="E255" i="1"/>
  <c r="A139" i="1"/>
  <c r="B139" i="1"/>
  <c r="C139" i="1"/>
  <c r="D139" i="1"/>
  <c r="E139" i="1"/>
  <c r="A151" i="1"/>
  <c r="B151" i="1"/>
  <c r="C151" i="1"/>
  <c r="D151" i="1"/>
  <c r="E151" i="1"/>
  <c r="A113" i="1"/>
  <c r="B113" i="1"/>
  <c r="C113" i="1"/>
  <c r="D113" i="1"/>
  <c r="E113" i="1"/>
  <c r="A101" i="1"/>
  <c r="B101" i="1"/>
  <c r="C101" i="1"/>
  <c r="D101" i="1"/>
  <c r="E101" i="1"/>
  <c r="A83" i="1"/>
  <c r="B83" i="1"/>
  <c r="C83" i="1"/>
  <c r="D83" i="1"/>
  <c r="E83" i="1"/>
  <c r="A146" i="1"/>
  <c r="B146" i="1"/>
  <c r="C146" i="1"/>
  <c r="D146" i="1"/>
  <c r="E146" i="1"/>
  <c r="A85" i="1"/>
  <c r="B85" i="1"/>
  <c r="C85" i="1"/>
  <c r="D85" i="1"/>
  <c r="E85" i="1"/>
  <c r="A404" i="1"/>
  <c r="B404" i="1"/>
  <c r="C404" i="1"/>
  <c r="D404" i="1"/>
  <c r="E404" i="1"/>
  <c r="A407" i="1"/>
  <c r="B407" i="1"/>
  <c r="C407" i="1"/>
  <c r="D407" i="1"/>
  <c r="E407" i="1"/>
  <c r="A415" i="1"/>
  <c r="B415" i="1"/>
  <c r="C415" i="1"/>
  <c r="D415" i="1"/>
  <c r="E415" i="1"/>
  <c r="A410" i="1"/>
  <c r="B410" i="1"/>
  <c r="C410" i="1"/>
  <c r="D410" i="1"/>
  <c r="E410" i="1"/>
  <c r="A411" i="1"/>
  <c r="B411" i="1"/>
  <c r="C411" i="1"/>
  <c r="D411" i="1"/>
  <c r="E411" i="1"/>
  <c r="A444" i="1"/>
  <c r="B444" i="1"/>
  <c r="C444" i="1"/>
  <c r="D444" i="1"/>
  <c r="E444" i="1"/>
  <c r="A440" i="1"/>
  <c r="B440" i="1"/>
  <c r="C440" i="1"/>
  <c r="D440" i="1"/>
  <c r="E440" i="1"/>
  <c r="A446" i="1"/>
  <c r="B446" i="1"/>
  <c r="C446" i="1"/>
  <c r="D446" i="1"/>
  <c r="E446" i="1"/>
  <c r="A422" i="1"/>
  <c r="B422" i="1"/>
  <c r="C422" i="1"/>
  <c r="D422" i="1"/>
  <c r="E422" i="1"/>
  <c r="A417" i="1"/>
  <c r="B417" i="1"/>
  <c r="C417" i="1"/>
  <c r="D417" i="1"/>
  <c r="E417" i="1"/>
  <c r="A799" i="1"/>
  <c r="B799" i="1"/>
  <c r="C799" i="1"/>
  <c r="D799" i="1"/>
  <c r="E799" i="1"/>
  <c r="A794" i="1"/>
  <c r="B794" i="1"/>
  <c r="C794" i="1"/>
  <c r="D794" i="1"/>
  <c r="E794" i="1"/>
  <c r="A791" i="1"/>
  <c r="B791" i="1"/>
  <c r="C791" i="1"/>
  <c r="D791" i="1"/>
  <c r="E791" i="1"/>
  <c r="A792" i="1"/>
  <c r="B792" i="1"/>
  <c r="C792" i="1"/>
  <c r="D792" i="1"/>
  <c r="E792" i="1"/>
  <c r="A787" i="1"/>
  <c r="B787" i="1"/>
  <c r="C787" i="1"/>
  <c r="D787" i="1"/>
  <c r="E787" i="1"/>
  <c r="A959" i="1"/>
  <c r="B959" i="1"/>
  <c r="C959" i="1"/>
  <c r="D959" i="1"/>
  <c r="E959" i="1"/>
  <c r="A474" i="1"/>
  <c r="B474" i="1"/>
  <c r="C474" i="1"/>
  <c r="D474" i="1"/>
  <c r="E474" i="1"/>
  <c r="A477" i="1"/>
  <c r="B477" i="1"/>
  <c r="C477" i="1"/>
  <c r="D477" i="1"/>
  <c r="E477" i="1"/>
  <c r="A484" i="1"/>
  <c r="B484" i="1"/>
  <c r="C484" i="1"/>
  <c r="D484" i="1"/>
  <c r="E484" i="1"/>
  <c r="A495" i="1"/>
  <c r="B495" i="1"/>
  <c r="C495" i="1"/>
  <c r="D495" i="1"/>
  <c r="E495" i="1"/>
  <c r="A1063" i="1"/>
  <c r="B1063" i="1"/>
  <c r="C1063" i="1"/>
  <c r="D1063" i="1"/>
  <c r="E1063" i="1"/>
  <c r="A1040" i="1"/>
  <c r="B1040" i="1"/>
  <c r="C1040" i="1"/>
  <c r="D1040" i="1"/>
  <c r="E1040" i="1"/>
  <c r="A588" i="1"/>
  <c r="B588" i="1"/>
  <c r="C588" i="1"/>
  <c r="D588" i="1"/>
  <c r="E588" i="1"/>
  <c r="A687" i="1"/>
  <c r="B687" i="1"/>
  <c r="C687" i="1"/>
  <c r="D687" i="1"/>
  <c r="E6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824" i="1"/>
  <c r="B824" i="1"/>
  <c r="C824" i="1"/>
  <c r="D824" i="1"/>
  <c r="E824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0" i="1"/>
  <c r="B1050" i="1"/>
  <c r="C1050" i="1"/>
  <c r="D1050" i="1"/>
  <c r="E1050" i="1"/>
  <c r="A1052" i="1"/>
  <c r="B1052" i="1"/>
  <c r="C1052" i="1"/>
  <c r="D1052" i="1"/>
  <c r="E1052" i="1"/>
  <c r="A1053" i="1"/>
  <c r="B1053" i="1"/>
  <c r="C1053" i="1"/>
  <c r="D1053" i="1"/>
  <c r="E1053" i="1"/>
  <c r="A1039" i="1"/>
  <c r="B1039" i="1"/>
  <c r="C1039" i="1"/>
  <c r="D1039" i="1"/>
  <c r="E1039" i="1"/>
  <c r="A1051" i="1"/>
  <c r="B1051" i="1"/>
  <c r="C1051" i="1"/>
  <c r="D1051" i="1"/>
  <c r="E1051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38" i="1"/>
  <c r="B1038" i="1"/>
  <c r="C1038" i="1"/>
  <c r="D1038" i="1"/>
  <c r="E1038" i="1"/>
  <c r="A1041" i="1"/>
  <c r="B1041" i="1"/>
  <c r="C1041" i="1"/>
  <c r="D1041" i="1"/>
  <c r="E1041" i="1"/>
  <c r="A1042" i="1"/>
  <c r="B1042" i="1"/>
  <c r="C1042" i="1"/>
  <c r="D1042" i="1"/>
  <c r="E1042" i="1"/>
  <c r="A1043" i="1"/>
  <c r="B1043" i="1"/>
  <c r="C1043" i="1"/>
  <c r="D1043" i="1"/>
  <c r="E1043" i="1"/>
  <c r="A1044" i="1"/>
  <c r="B1044" i="1"/>
  <c r="C1044" i="1"/>
  <c r="D1044" i="1"/>
  <c r="E1044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1031" i="1"/>
  <c r="B1031" i="1"/>
  <c r="C1031" i="1"/>
  <c r="D1031" i="1"/>
  <c r="E1031" i="1"/>
  <c r="A1032" i="1"/>
  <c r="B1032" i="1"/>
  <c r="C1032" i="1"/>
  <c r="D1032" i="1"/>
  <c r="E103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19" i="1"/>
  <c r="B1019" i="1"/>
  <c r="C1019" i="1"/>
  <c r="D1019" i="1"/>
  <c r="E1019" i="1"/>
  <c r="A1020" i="1"/>
  <c r="B1020" i="1"/>
  <c r="C1020" i="1"/>
  <c r="D1020" i="1"/>
  <c r="E1020" i="1"/>
  <c r="A1021" i="1"/>
  <c r="B1021" i="1"/>
  <c r="C1021" i="1"/>
  <c r="D1021" i="1"/>
  <c r="E1021" i="1"/>
  <c r="A1022" i="1"/>
  <c r="B1022" i="1"/>
  <c r="C1022" i="1"/>
  <c r="D1022" i="1"/>
  <c r="E102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935" i="1"/>
  <c r="B935" i="1"/>
  <c r="C935" i="1"/>
  <c r="D935" i="1"/>
  <c r="E935" i="1"/>
  <c r="A936" i="1"/>
  <c r="B936" i="1"/>
  <c r="C936" i="1"/>
  <c r="D936" i="1"/>
  <c r="E936" i="1"/>
  <c r="A937" i="1"/>
  <c r="B937" i="1"/>
  <c r="C937" i="1"/>
  <c r="D937" i="1"/>
  <c r="E937" i="1"/>
  <c r="A995" i="1"/>
  <c r="B995" i="1"/>
  <c r="C995" i="1"/>
  <c r="D995" i="1"/>
  <c r="E995" i="1"/>
  <c r="A1060" i="1"/>
  <c r="B1060" i="1"/>
  <c r="C1060" i="1"/>
  <c r="D1060" i="1"/>
  <c r="E1060" i="1"/>
  <c r="A1061" i="1"/>
  <c r="B1061" i="1"/>
  <c r="C1061" i="1"/>
  <c r="D1061" i="1"/>
  <c r="E1061" i="1"/>
  <c r="A130" i="1"/>
  <c r="B130" i="1"/>
  <c r="C130" i="1"/>
  <c r="D130" i="1"/>
  <c r="E130" i="1"/>
  <c r="A381" i="1"/>
  <c r="B381" i="1"/>
  <c r="C381" i="1"/>
  <c r="D381" i="1"/>
  <c r="E381" i="1"/>
  <c r="A557" i="1"/>
  <c r="B557" i="1"/>
  <c r="C557" i="1"/>
  <c r="D557" i="1"/>
  <c r="E557" i="1"/>
  <c r="A969" i="1"/>
  <c r="B969" i="1"/>
  <c r="C969" i="1"/>
  <c r="D969" i="1"/>
  <c r="E969" i="1"/>
  <c r="A839" i="1"/>
  <c r="B839" i="1"/>
  <c r="C839" i="1"/>
  <c r="D839" i="1"/>
  <c r="E839" i="1"/>
  <c r="A968" i="1"/>
  <c r="B968" i="1"/>
  <c r="C968" i="1"/>
  <c r="D968" i="1"/>
  <c r="E968" i="1"/>
  <c r="A948" i="1"/>
  <c r="B948" i="1"/>
  <c r="C948" i="1"/>
  <c r="D948" i="1"/>
  <c r="E948" i="1"/>
  <c r="A949" i="1"/>
  <c r="B949" i="1"/>
  <c r="C949" i="1"/>
  <c r="D949" i="1"/>
  <c r="E949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29" i="1"/>
  <c r="B829" i="1"/>
  <c r="C829" i="1"/>
  <c r="D829" i="1"/>
  <c r="E829" i="1"/>
  <c r="A830" i="1"/>
  <c r="B830" i="1"/>
  <c r="C830" i="1"/>
  <c r="D830" i="1"/>
  <c r="E830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3" i="1"/>
  <c r="B823" i="1"/>
  <c r="C823" i="1"/>
  <c r="D823" i="1"/>
  <c r="E823" i="1"/>
  <c r="A841" i="1"/>
  <c r="B841" i="1"/>
  <c r="C841" i="1"/>
  <c r="D841" i="1"/>
  <c r="E841" i="1"/>
  <c r="A842" i="1"/>
  <c r="B842" i="1"/>
  <c r="C842" i="1"/>
  <c r="D842" i="1"/>
  <c r="E842" i="1"/>
  <c r="A814" i="1"/>
  <c r="B814" i="1"/>
  <c r="C814" i="1"/>
  <c r="D814" i="1"/>
  <c r="E814" i="1"/>
  <c r="A815" i="1"/>
  <c r="B815" i="1"/>
  <c r="C815" i="1"/>
  <c r="D815" i="1"/>
  <c r="E815" i="1"/>
  <c r="A817" i="1"/>
  <c r="B817" i="1"/>
  <c r="C817" i="1"/>
  <c r="D817" i="1"/>
  <c r="E817" i="1"/>
  <c r="A818" i="1"/>
  <c r="B818" i="1"/>
  <c r="C818" i="1"/>
  <c r="D818" i="1"/>
  <c r="E818" i="1"/>
  <c r="A820" i="1"/>
  <c r="B820" i="1"/>
  <c r="C820" i="1"/>
  <c r="D820" i="1"/>
  <c r="E820" i="1"/>
  <c r="A821" i="1"/>
  <c r="B821" i="1"/>
  <c r="C821" i="1"/>
  <c r="D821" i="1"/>
  <c r="E821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67" i="1"/>
  <c r="B867" i="1"/>
  <c r="C867" i="1"/>
  <c r="D867" i="1"/>
  <c r="E867" i="1"/>
  <c r="A868" i="1"/>
  <c r="B868" i="1"/>
  <c r="C868" i="1"/>
  <c r="D868" i="1"/>
  <c r="E868" i="1"/>
  <c r="A869" i="1"/>
  <c r="B869" i="1"/>
  <c r="C869" i="1"/>
  <c r="D869" i="1"/>
  <c r="E869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222" i="1"/>
  <c r="B222" i="1"/>
  <c r="C222" i="1"/>
  <c r="D222" i="1"/>
  <c r="E222" i="1"/>
  <c r="A221" i="1"/>
  <c r="B221" i="1"/>
  <c r="C221" i="1"/>
  <c r="D221" i="1"/>
  <c r="E221" i="1"/>
  <c r="A702" i="1"/>
  <c r="B702" i="1"/>
  <c r="C702" i="1"/>
  <c r="D702" i="1"/>
  <c r="E702" i="1"/>
  <c r="A764" i="1"/>
  <c r="B764" i="1"/>
  <c r="C764" i="1"/>
  <c r="D764" i="1"/>
  <c r="E764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679" i="1"/>
  <c r="B679" i="1"/>
  <c r="C679" i="1"/>
  <c r="D679" i="1"/>
  <c r="E679" i="1"/>
  <c r="A953" i="1"/>
  <c r="B953" i="1"/>
  <c r="C953" i="1"/>
  <c r="D953" i="1"/>
  <c r="E953" i="1"/>
  <c r="A846" i="1"/>
  <c r="B846" i="1"/>
  <c r="C846" i="1"/>
  <c r="D846" i="1"/>
  <c r="E846" i="1"/>
  <c r="A489" i="1"/>
  <c r="B489" i="1"/>
  <c r="C489" i="1"/>
  <c r="D489" i="1"/>
  <c r="E489" i="1"/>
  <c r="A467" i="1"/>
  <c r="B467" i="1"/>
  <c r="C467" i="1"/>
  <c r="D467" i="1"/>
  <c r="E467" i="1"/>
  <c r="A471" i="1"/>
  <c r="B471" i="1"/>
  <c r="C471" i="1"/>
  <c r="D471" i="1"/>
  <c r="E471" i="1"/>
  <c r="A538" i="1"/>
  <c r="B538" i="1"/>
  <c r="C538" i="1"/>
  <c r="D538" i="1"/>
  <c r="E538" i="1"/>
  <c r="A393" i="1"/>
  <c r="B393" i="1"/>
  <c r="C393" i="1"/>
  <c r="D393" i="1"/>
  <c r="E393" i="1"/>
  <c r="A223" i="1"/>
  <c r="B223" i="1"/>
  <c r="C223" i="1"/>
  <c r="D223" i="1"/>
  <c r="E223" i="1"/>
  <c r="A199" i="1"/>
  <c r="B199" i="1"/>
  <c r="C199" i="1"/>
  <c r="D199" i="1"/>
  <c r="E199" i="1"/>
  <c r="A297" i="1"/>
  <c r="B297" i="1"/>
  <c r="C297" i="1"/>
  <c r="D297" i="1"/>
  <c r="E297" i="1"/>
  <c r="A466" i="1"/>
  <c r="B466" i="1"/>
  <c r="C466" i="1"/>
  <c r="D466" i="1"/>
  <c r="E466" i="1"/>
  <c r="A488" i="1"/>
  <c r="B488" i="1"/>
  <c r="C488" i="1"/>
  <c r="D488" i="1"/>
  <c r="E488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678" i="1"/>
  <c r="B678" i="1"/>
  <c r="C678" i="1"/>
  <c r="D678" i="1"/>
  <c r="E678" i="1"/>
  <c r="A698" i="1"/>
  <c r="B698" i="1"/>
  <c r="C698" i="1"/>
  <c r="D698" i="1"/>
  <c r="E698" i="1"/>
  <c r="A697" i="1"/>
  <c r="B697" i="1"/>
  <c r="C697" i="1"/>
  <c r="D697" i="1"/>
  <c r="E697" i="1"/>
  <c r="A711" i="1"/>
  <c r="B711" i="1"/>
  <c r="C711" i="1"/>
  <c r="D711" i="1"/>
  <c r="E711" i="1"/>
  <c r="A736" i="1"/>
  <c r="B736" i="1"/>
  <c r="C736" i="1"/>
  <c r="D736" i="1"/>
  <c r="E736" i="1"/>
  <c r="A802" i="1"/>
  <c r="B802" i="1"/>
  <c r="C802" i="1"/>
  <c r="D802" i="1"/>
  <c r="E802" i="1"/>
  <c r="A783" i="1"/>
  <c r="B783" i="1"/>
  <c r="C783" i="1"/>
  <c r="D783" i="1"/>
  <c r="E783" i="1"/>
  <c r="A569" i="1"/>
  <c r="B569" i="1"/>
  <c r="C569" i="1"/>
  <c r="D569" i="1"/>
  <c r="E569" i="1"/>
  <c r="A570" i="1"/>
  <c r="B570" i="1"/>
  <c r="C570" i="1"/>
  <c r="D570" i="1"/>
  <c r="E570" i="1"/>
  <c r="A571" i="1"/>
  <c r="B571" i="1"/>
  <c r="C571" i="1"/>
  <c r="D571" i="1"/>
  <c r="E571" i="1"/>
  <c r="A394" i="1"/>
  <c r="B394" i="1"/>
  <c r="C394" i="1"/>
  <c r="D394" i="1"/>
  <c r="E394" i="1"/>
  <c r="A435" i="1"/>
  <c r="B435" i="1"/>
  <c r="C435" i="1"/>
  <c r="D435" i="1"/>
  <c r="E435" i="1"/>
  <c r="A532" i="1"/>
  <c r="B532" i="1"/>
  <c r="C532" i="1"/>
  <c r="D532" i="1"/>
  <c r="E532" i="1"/>
  <c r="A480" i="1"/>
  <c r="B480" i="1"/>
  <c r="C480" i="1"/>
  <c r="D480" i="1"/>
  <c r="E480" i="1"/>
  <c r="A485" i="1"/>
  <c r="B485" i="1"/>
  <c r="C485" i="1"/>
  <c r="D485" i="1"/>
  <c r="E485" i="1"/>
  <c r="A461" i="1"/>
  <c r="B461" i="1"/>
  <c r="C461" i="1"/>
  <c r="D461" i="1"/>
  <c r="E461" i="1"/>
  <c r="A473" i="1"/>
  <c r="B473" i="1"/>
  <c r="C473" i="1"/>
  <c r="D473" i="1"/>
  <c r="E473" i="1"/>
  <c r="A67" i="1"/>
  <c r="B67" i="1"/>
  <c r="C67" i="1"/>
  <c r="D67" i="1"/>
  <c r="E67" i="1"/>
  <c r="A132" i="1"/>
  <c r="B132" i="1"/>
  <c r="C132" i="1"/>
  <c r="D132" i="1"/>
  <c r="E132" i="1"/>
  <c r="A676" i="1"/>
  <c r="B676" i="1"/>
  <c r="C676" i="1"/>
  <c r="D676" i="1"/>
  <c r="E676" i="1"/>
  <c r="A706" i="1"/>
  <c r="B706" i="1"/>
  <c r="C706" i="1"/>
  <c r="D706" i="1"/>
  <c r="E706" i="1"/>
  <c r="A873" i="1"/>
  <c r="B873" i="1"/>
  <c r="C873" i="1"/>
  <c r="D873" i="1"/>
  <c r="E873" i="1"/>
  <c r="A627" i="1"/>
  <c r="B627" i="1"/>
  <c r="C627" i="1"/>
  <c r="D627" i="1"/>
  <c r="E627" i="1"/>
  <c r="A653" i="1"/>
  <c r="B653" i="1"/>
  <c r="C653" i="1"/>
  <c r="D653" i="1"/>
  <c r="E653" i="1"/>
  <c r="A636" i="1"/>
  <c r="B636" i="1"/>
  <c r="C636" i="1"/>
  <c r="D636" i="1"/>
  <c r="E636" i="1"/>
  <c r="A332" i="1"/>
  <c r="B332" i="1"/>
  <c r="C332" i="1"/>
  <c r="D332" i="1"/>
  <c r="E332" i="1"/>
  <c r="A330" i="1"/>
  <c r="B330" i="1"/>
  <c r="C330" i="1"/>
  <c r="D330" i="1"/>
  <c r="E330" i="1"/>
  <c r="A395" i="1"/>
  <c r="B395" i="1"/>
  <c r="C395" i="1"/>
  <c r="D395" i="1"/>
  <c r="E395" i="1"/>
  <c r="A391" i="1"/>
  <c r="B391" i="1"/>
  <c r="C391" i="1"/>
  <c r="D391" i="1"/>
  <c r="E391" i="1"/>
  <c r="A433" i="1"/>
  <c r="B433" i="1"/>
  <c r="C433" i="1"/>
  <c r="D433" i="1"/>
  <c r="E433" i="1"/>
  <c r="A424" i="1"/>
  <c r="B424" i="1"/>
  <c r="C424" i="1"/>
  <c r="D424" i="1"/>
  <c r="E424" i="1"/>
  <c r="A218" i="1"/>
  <c r="B218" i="1"/>
  <c r="C218" i="1"/>
  <c r="D218" i="1"/>
  <c r="E218" i="1"/>
  <c r="A235" i="1"/>
  <c r="B235" i="1"/>
  <c r="C235" i="1"/>
  <c r="D235" i="1"/>
  <c r="E235" i="1"/>
  <c r="A250" i="1"/>
  <c r="B250" i="1"/>
  <c r="C250" i="1"/>
  <c r="D250" i="1"/>
  <c r="E250" i="1"/>
  <c r="A293" i="1"/>
  <c r="B293" i="1"/>
  <c r="C293" i="1"/>
  <c r="D293" i="1"/>
  <c r="E293" i="1"/>
  <c r="A80" i="1"/>
  <c r="B80" i="1"/>
  <c r="C80" i="1"/>
  <c r="D80" i="1"/>
  <c r="E80" i="1"/>
  <c r="A57" i="1"/>
  <c r="B57" i="1"/>
  <c r="C57" i="1"/>
  <c r="D57" i="1"/>
  <c r="E57" i="1"/>
  <c r="A115" i="1"/>
  <c r="B115" i="1"/>
  <c r="C115" i="1"/>
  <c r="D115" i="1"/>
  <c r="E115" i="1"/>
  <c r="A966" i="1"/>
  <c r="B966" i="1"/>
  <c r="C966" i="1"/>
  <c r="D966" i="1"/>
  <c r="E966" i="1"/>
  <c r="A955" i="1"/>
  <c r="B955" i="1"/>
  <c r="C955" i="1"/>
  <c r="D955" i="1"/>
  <c r="E955" i="1"/>
  <c r="A877" i="1"/>
  <c r="B877" i="1"/>
  <c r="C877" i="1"/>
  <c r="D877" i="1"/>
  <c r="E877" i="1"/>
  <c r="A482" i="1"/>
  <c r="B482" i="1"/>
  <c r="C482" i="1"/>
  <c r="D482" i="1"/>
  <c r="E482" i="1"/>
  <c r="A289" i="1"/>
  <c r="B289" i="1"/>
  <c r="C289" i="1"/>
  <c r="D289" i="1"/>
  <c r="E289" i="1"/>
  <c r="A254" i="1"/>
  <c r="B254" i="1"/>
  <c r="C254" i="1"/>
  <c r="D254" i="1"/>
  <c r="E254" i="1"/>
  <c r="A339" i="1"/>
  <c r="B339" i="1"/>
  <c r="C339" i="1"/>
  <c r="D339" i="1"/>
  <c r="E339" i="1"/>
  <c r="A336" i="1"/>
  <c r="B336" i="1"/>
  <c r="C336" i="1"/>
  <c r="D336" i="1"/>
  <c r="E336" i="1"/>
  <c r="A578" i="1"/>
  <c r="B578" i="1"/>
  <c r="C578" i="1"/>
  <c r="D578" i="1"/>
  <c r="E578" i="1"/>
  <c r="A584" i="1"/>
  <c r="B584" i="1"/>
  <c r="C584" i="1"/>
  <c r="D584" i="1"/>
  <c r="E584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809" i="1"/>
  <c r="B809" i="1"/>
  <c r="C809" i="1"/>
  <c r="D809" i="1"/>
  <c r="E809" i="1"/>
  <c r="A822" i="1"/>
  <c r="B822" i="1"/>
  <c r="C822" i="1"/>
  <c r="D822" i="1"/>
  <c r="E822" i="1"/>
  <c r="A885" i="1"/>
  <c r="B885" i="1"/>
  <c r="C885" i="1"/>
  <c r="D885" i="1"/>
  <c r="E885" i="1"/>
  <c r="A960" i="1"/>
  <c r="B960" i="1"/>
  <c r="C960" i="1"/>
  <c r="D960" i="1"/>
  <c r="E960" i="1"/>
  <c r="A956" i="1"/>
  <c r="B956" i="1"/>
  <c r="C956" i="1"/>
  <c r="D956" i="1"/>
  <c r="E956" i="1"/>
  <c r="A147" i="1"/>
  <c r="B147" i="1"/>
  <c r="C147" i="1"/>
  <c r="D147" i="1"/>
  <c r="E147" i="1"/>
  <c r="A64" i="1"/>
  <c r="B64" i="1"/>
  <c r="C64" i="1"/>
  <c r="D64" i="1"/>
  <c r="E64" i="1"/>
  <c r="A239" i="1"/>
  <c r="B239" i="1"/>
  <c r="C239" i="1"/>
  <c r="D239" i="1"/>
  <c r="E239" i="1"/>
  <c r="A547" i="1"/>
  <c r="B547" i="1"/>
  <c r="C547" i="1"/>
  <c r="D547" i="1"/>
  <c r="E547" i="1"/>
  <c r="A536" i="1"/>
  <c r="B536" i="1"/>
  <c r="C536" i="1"/>
  <c r="D536" i="1"/>
  <c r="E536" i="1"/>
  <c r="A89" i="1"/>
  <c r="B89" i="1"/>
  <c r="C89" i="1"/>
  <c r="D89" i="1"/>
  <c r="E89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816" i="1"/>
  <c r="B816" i="1"/>
  <c r="C816" i="1"/>
  <c r="D816" i="1"/>
  <c r="E816" i="1"/>
  <c r="A137" i="1"/>
  <c r="B137" i="1"/>
  <c r="C137" i="1"/>
  <c r="D137" i="1"/>
  <c r="E137" i="1"/>
  <c r="A128" i="1"/>
  <c r="B128" i="1"/>
  <c r="C128" i="1"/>
  <c r="D128" i="1"/>
  <c r="E12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62" i="1"/>
  <c r="B62" i="1"/>
  <c r="C62" i="1"/>
  <c r="D62" i="1"/>
  <c r="E6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279" i="1"/>
  <c r="B279" i="1"/>
  <c r="C279" i="1"/>
  <c r="D279" i="1"/>
  <c r="E279" i="1"/>
  <c r="A257" i="1"/>
  <c r="B257" i="1"/>
  <c r="C257" i="1"/>
  <c r="D257" i="1"/>
  <c r="E257" i="1"/>
  <c r="A267" i="1"/>
  <c r="B267" i="1"/>
  <c r="C267" i="1"/>
  <c r="D267" i="1"/>
  <c r="E267" i="1"/>
  <c r="A294" i="1"/>
  <c r="B294" i="1"/>
  <c r="C294" i="1"/>
  <c r="D294" i="1"/>
  <c r="E294" i="1"/>
  <c r="A256" i="1"/>
  <c r="B256" i="1"/>
  <c r="C256" i="1"/>
  <c r="D256" i="1"/>
  <c r="E256" i="1"/>
  <c r="A269" i="1"/>
  <c r="B269" i="1"/>
  <c r="C269" i="1"/>
  <c r="D269" i="1"/>
  <c r="E269" i="1"/>
  <c r="A277" i="1"/>
  <c r="B277" i="1"/>
  <c r="C277" i="1"/>
  <c r="D277" i="1"/>
  <c r="E277" i="1"/>
  <c r="A283" i="1"/>
  <c r="B283" i="1"/>
  <c r="C283" i="1"/>
  <c r="D283" i="1"/>
  <c r="E283" i="1"/>
  <c r="A92" i="1"/>
  <c r="B92" i="1"/>
  <c r="C92" i="1"/>
  <c r="D92" i="1"/>
  <c r="E92" i="1"/>
  <c r="A93" i="1"/>
  <c r="B93" i="1"/>
  <c r="C93" i="1"/>
  <c r="D93" i="1"/>
  <c r="E93" i="1"/>
  <c r="A258" i="1"/>
  <c r="B258" i="1"/>
  <c r="C258" i="1"/>
  <c r="D258" i="1"/>
  <c r="E258" i="1"/>
  <c r="A260" i="1"/>
  <c r="B260" i="1"/>
  <c r="C260" i="1"/>
  <c r="D260" i="1"/>
  <c r="E260" i="1"/>
  <c r="A261" i="1"/>
  <c r="B261" i="1"/>
  <c r="C261" i="1"/>
  <c r="D261" i="1"/>
  <c r="E261" i="1"/>
  <c r="A270" i="1"/>
  <c r="B270" i="1"/>
  <c r="C270" i="1"/>
  <c r="D270" i="1"/>
  <c r="E270" i="1"/>
  <c r="A263" i="1"/>
  <c r="B263" i="1"/>
  <c r="C263" i="1"/>
  <c r="D263" i="1"/>
  <c r="E263" i="1"/>
  <c r="A264" i="1"/>
  <c r="B264" i="1"/>
  <c r="C264" i="1"/>
  <c r="D264" i="1"/>
  <c r="E264" i="1"/>
  <c r="A295" i="1"/>
  <c r="B295" i="1"/>
  <c r="C295" i="1"/>
  <c r="D295" i="1"/>
  <c r="E295" i="1"/>
  <c r="A274" i="1"/>
  <c r="B274" i="1"/>
  <c r="C274" i="1"/>
  <c r="D274" i="1"/>
  <c r="E274" i="1"/>
  <c r="A275" i="1"/>
  <c r="B275" i="1"/>
  <c r="C275" i="1"/>
  <c r="D275" i="1"/>
  <c r="E275" i="1"/>
  <c r="A278" i="1"/>
  <c r="B278" i="1"/>
  <c r="C278" i="1"/>
  <c r="D278" i="1"/>
  <c r="E278" i="1"/>
  <c r="A565" i="1"/>
  <c r="B565" i="1"/>
  <c r="C565" i="1"/>
  <c r="D565" i="1"/>
  <c r="E565" i="1"/>
  <c r="A562" i="1"/>
  <c r="B562" i="1"/>
  <c r="C562" i="1"/>
  <c r="D562" i="1"/>
  <c r="E562" i="1"/>
  <c r="A558" i="1"/>
  <c r="B558" i="1"/>
  <c r="C558" i="1"/>
  <c r="D558" i="1"/>
  <c r="E558" i="1"/>
  <c r="A541" i="1"/>
  <c r="B541" i="1"/>
  <c r="C541" i="1"/>
  <c r="D541" i="1"/>
  <c r="E541" i="1"/>
  <c r="A537" i="1"/>
  <c r="B537" i="1"/>
  <c r="C537" i="1"/>
  <c r="D537" i="1"/>
  <c r="E537" i="1"/>
  <c r="A546" i="1"/>
  <c r="B546" i="1"/>
  <c r="C546" i="1"/>
  <c r="D546" i="1"/>
  <c r="E546" i="1"/>
  <c r="A238" i="1"/>
  <c r="B238" i="1"/>
  <c r="C238" i="1"/>
  <c r="D238" i="1"/>
  <c r="E238" i="1"/>
  <c r="A118" i="1"/>
  <c r="B118" i="1"/>
  <c r="C118" i="1"/>
  <c r="D118" i="1"/>
  <c r="E118" i="1"/>
  <c r="A172" i="1"/>
  <c r="B172" i="1"/>
  <c r="C172" i="1"/>
  <c r="D172" i="1"/>
  <c r="E172" i="1"/>
  <c r="A252" i="1"/>
  <c r="B252" i="1"/>
  <c r="C252" i="1"/>
  <c r="D252" i="1"/>
  <c r="E252" i="1"/>
  <c r="A399" i="1"/>
  <c r="B399" i="1"/>
  <c r="C399" i="1"/>
  <c r="D399" i="1"/>
  <c r="E399" i="1"/>
  <c r="A475" i="1"/>
  <c r="B475" i="1"/>
  <c r="C475" i="1"/>
  <c r="D475" i="1"/>
  <c r="E475" i="1"/>
  <c r="A472" i="1"/>
  <c r="B472" i="1"/>
  <c r="C472" i="1"/>
  <c r="D472" i="1"/>
  <c r="E472" i="1"/>
  <c r="A468" i="1"/>
  <c r="B468" i="1"/>
  <c r="C468" i="1"/>
  <c r="D468" i="1"/>
  <c r="E468" i="1"/>
  <c r="A469" i="1"/>
  <c r="B469" i="1"/>
  <c r="C469" i="1"/>
  <c r="D469" i="1"/>
  <c r="E469" i="1"/>
  <c r="A470" i="1"/>
  <c r="B470" i="1"/>
  <c r="C470" i="1"/>
  <c r="D470" i="1"/>
  <c r="E470" i="1"/>
  <c r="A478" i="1"/>
  <c r="B478" i="1"/>
  <c r="C478" i="1"/>
  <c r="D478" i="1"/>
  <c r="E478" i="1"/>
  <c r="A533" i="1"/>
  <c r="B533" i="1"/>
  <c r="C533" i="1"/>
  <c r="D533" i="1"/>
  <c r="E533" i="1"/>
  <c r="A575" i="1"/>
  <c r="B575" i="1"/>
  <c r="C575" i="1"/>
  <c r="D575" i="1"/>
  <c r="E575" i="1"/>
  <c r="A563" i="1"/>
  <c r="B563" i="1"/>
  <c r="C563" i="1"/>
  <c r="D563" i="1"/>
  <c r="E563" i="1"/>
  <c r="A445" i="1"/>
  <c r="B445" i="1"/>
  <c r="C445" i="1"/>
  <c r="D445" i="1"/>
  <c r="E445" i="1"/>
  <c r="A421" i="1"/>
  <c r="B421" i="1"/>
  <c r="C421" i="1"/>
  <c r="D421" i="1"/>
  <c r="E421" i="1"/>
  <c r="A423" i="1"/>
  <c r="B423" i="1"/>
  <c r="C423" i="1"/>
  <c r="D423" i="1"/>
  <c r="E423" i="1"/>
  <c r="A431" i="1"/>
  <c r="B431" i="1"/>
  <c r="C431" i="1"/>
  <c r="D431" i="1"/>
  <c r="E431" i="1"/>
  <c r="A426" i="1"/>
  <c r="B426" i="1"/>
  <c r="C426" i="1"/>
  <c r="D426" i="1"/>
  <c r="E426" i="1"/>
  <c r="A427" i="1"/>
  <c r="B427" i="1"/>
  <c r="C427" i="1"/>
  <c r="D427" i="1"/>
  <c r="E427" i="1"/>
  <c r="A428" i="1"/>
  <c r="B428" i="1"/>
  <c r="C428" i="1"/>
  <c r="D428" i="1"/>
  <c r="E428" i="1"/>
  <c r="A389" i="1"/>
  <c r="B389" i="1"/>
  <c r="C389" i="1"/>
  <c r="D389" i="1"/>
  <c r="E389" i="1"/>
  <c r="A397" i="1"/>
  <c r="B397" i="1"/>
  <c r="C397" i="1"/>
  <c r="D397" i="1"/>
  <c r="E397" i="1"/>
  <c r="A414" i="1"/>
  <c r="B414" i="1"/>
  <c r="C414" i="1"/>
  <c r="D414" i="1"/>
  <c r="E414" i="1"/>
  <c r="A962" i="1"/>
  <c r="B962" i="1"/>
  <c r="C962" i="1"/>
  <c r="D962" i="1"/>
  <c r="E962" i="1"/>
  <c r="A353" i="1"/>
  <c r="B353" i="1"/>
  <c r="C353" i="1"/>
  <c r="D353" i="1"/>
  <c r="E353" i="1"/>
  <c r="A354" i="1"/>
  <c r="B354" i="1"/>
  <c r="C354" i="1"/>
  <c r="D354" i="1"/>
  <c r="E354" i="1"/>
  <c r="A347" i="1"/>
  <c r="B347" i="1"/>
  <c r="C347" i="1"/>
  <c r="D347" i="1"/>
  <c r="E347" i="1"/>
  <c r="A320" i="1"/>
  <c r="B320" i="1"/>
  <c r="C320" i="1"/>
  <c r="D320" i="1"/>
  <c r="E320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8" i="1"/>
  <c r="B448" i="1"/>
  <c r="C448" i="1"/>
  <c r="D448" i="1"/>
  <c r="E448" i="1"/>
  <c r="A449" i="1"/>
  <c r="B449" i="1"/>
  <c r="C449" i="1"/>
  <c r="D449" i="1"/>
  <c r="E449" i="1"/>
  <c r="A896" i="1"/>
  <c r="B896" i="1"/>
  <c r="C896" i="1"/>
  <c r="D896" i="1"/>
  <c r="E896" i="1"/>
  <c r="A921" i="1"/>
  <c r="B921" i="1"/>
  <c r="C921" i="1"/>
  <c r="D921" i="1"/>
  <c r="E921" i="1"/>
  <c r="A915" i="1"/>
  <c r="B915" i="1"/>
  <c r="C915" i="1"/>
  <c r="D915" i="1"/>
  <c r="E915" i="1"/>
  <c r="A785" i="1"/>
  <c r="B785" i="1"/>
  <c r="C785" i="1"/>
  <c r="D785" i="1"/>
  <c r="E785" i="1"/>
  <c r="A788" i="1"/>
  <c r="B788" i="1"/>
  <c r="C788" i="1"/>
  <c r="D788" i="1"/>
  <c r="E788" i="1"/>
  <c r="A789" i="1"/>
  <c r="B789" i="1"/>
  <c r="C789" i="1"/>
  <c r="D789" i="1"/>
  <c r="E789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83" i="1"/>
  <c r="B883" i="1"/>
  <c r="C883" i="1"/>
  <c r="D883" i="1"/>
  <c r="E883" i="1"/>
  <c r="A887" i="1"/>
  <c r="B887" i="1"/>
  <c r="C887" i="1"/>
  <c r="D887" i="1"/>
  <c r="E887" i="1"/>
  <c r="A878" i="1"/>
  <c r="B878" i="1"/>
  <c r="C878" i="1"/>
  <c r="D878" i="1"/>
  <c r="E878" i="1"/>
  <c r="A890" i="1"/>
  <c r="B890" i="1"/>
  <c r="C890" i="1"/>
  <c r="D890" i="1"/>
  <c r="E890" i="1"/>
  <c r="A831" i="1"/>
  <c r="B831" i="1"/>
  <c r="C831" i="1"/>
  <c r="D831" i="1"/>
  <c r="E831" i="1"/>
  <c r="A840" i="1"/>
  <c r="B840" i="1"/>
  <c r="C840" i="1"/>
  <c r="D840" i="1"/>
  <c r="E840" i="1"/>
  <c r="A913" i="1"/>
  <c r="B913" i="1"/>
  <c r="C913" i="1"/>
  <c r="D913" i="1"/>
  <c r="E913" i="1"/>
  <c r="A899" i="1"/>
  <c r="B899" i="1"/>
  <c r="C899" i="1"/>
  <c r="D899" i="1"/>
  <c r="E899" i="1"/>
  <c r="A894" i="1"/>
  <c r="B894" i="1"/>
  <c r="C894" i="1"/>
  <c r="D894" i="1"/>
  <c r="E894" i="1"/>
  <c r="A895" i="1"/>
  <c r="B895" i="1"/>
  <c r="C895" i="1"/>
  <c r="D895" i="1"/>
  <c r="E895" i="1"/>
  <c r="A1056" i="1"/>
  <c r="B1056" i="1"/>
  <c r="C1056" i="1"/>
  <c r="D1056" i="1"/>
  <c r="E1056" i="1"/>
  <c r="A964" i="1"/>
  <c r="B964" i="1"/>
  <c r="C964" i="1"/>
  <c r="D964" i="1"/>
  <c r="E964" i="1"/>
  <c r="A971" i="1"/>
  <c r="B971" i="1"/>
  <c r="C971" i="1"/>
  <c r="D971" i="1"/>
  <c r="E971" i="1"/>
  <c r="A1101" i="1"/>
  <c r="B1101" i="1"/>
  <c r="C1101" i="1"/>
  <c r="D1101" i="1"/>
  <c r="E1101" i="1"/>
  <c r="A1062" i="1"/>
  <c r="B1062" i="1"/>
  <c r="C1062" i="1"/>
  <c r="D1062" i="1"/>
  <c r="E1062" i="1"/>
  <c r="A731" i="1"/>
  <c r="B731" i="1"/>
  <c r="C731" i="1"/>
  <c r="D731" i="1"/>
  <c r="E731" i="1"/>
  <c r="A623" i="1"/>
  <c r="B623" i="1"/>
  <c r="C623" i="1"/>
  <c r="D623" i="1"/>
  <c r="E623" i="1"/>
  <c r="A875" i="1"/>
  <c r="B875" i="1"/>
  <c r="C875" i="1"/>
  <c r="D875" i="1"/>
  <c r="E875" i="1"/>
  <c r="A884" i="1"/>
  <c r="B884" i="1"/>
  <c r="C884" i="1"/>
  <c r="D884" i="1"/>
  <c r="E884" i="1"/>
  <c r="A888" i="1"/>
  <c r="B888" i="1"/>
  <c r="C888" i="1"/>
  <c r="D888" i="1"/>
  <c r="E888" i="1"/>
  <c r="A451" i="1"/>
  <c r="B451" i="1"/>
  <c r="C451" i="1"/>
  <c r="D451" i="1"/>
  <c r="E451" i="1"/>
  <c r="A436" i="1"/>
  <c r="B436" i="1"/>
  <c r="C436" i="1"/>
  <c r="D436" i="1"/>
  <c r="E436" i="1"/>
  <c r="A344" i="1"/>
  <c r="B344" i="1"/>
  <c r="C344" i="1"/>
  <c r="D344" i="1"/>
  <c r="E344" i="1"/>
  <c r="A967" i="1"/>
  <c r="B967" i="1"/>
  <c r="C967" i="1"/>
  <c r="D967" i="1"/>
  <c r="E967" i="1"/>
  <c r="A950" i="1"/>
  <c r="B950" i="1"/>
  <c r="C950" i="1"/>
  <c r="D950" i="1"/>
  <c r="E950" i="1"/>
  <c r="A952" i="1"/>
  <c r="B952" i="1"/>
  <c r="C952" i="1"/>
  <c r="D952" i="1"/>
  <c r="E952" i="1"/>
  <c r="A939" i="1"/>
  <c r="B939" i="1"/>
  <c r="C939" i="1"/>
  <c r="D939" i="1"/>
  <c r="E939" i="1"/>
  <c r="A1058" i="1"/>
  <c r="B1058" i="1"/>
  <c r="C1058" i="1"/>
  <c r="D1058" i="1"/>
  <c r="E1058" i="1"/>
  <c r="A1059" i="1"/>
  <c r="B1059" i="1"/>
  <c r="C1059" i="1"/>
  <c r="D1059" i="1"/>
  <c r="E1059" i="1"/>
  <c r="A1055" i="1"/>
  <c r="B1055" i="1"/>
  <c r="C1055" i="1"/>
  <c r="D1055" i="1"/>
  <c r="E1055" i="1"/>
  <c r="A568" i="1"/>
  <c r="B568" i="1"/>
  <c r="C568" i="1"/>
  <c r="D568" i="1"/>
  <c r="E568" i="1"/>
  <c r="A581" i="1"/>
  <c r="B581" i="1"/>
  <c r="C581" i="1"/>
  <c r="D581" i="1"/>
  <c r="E581" i="1"/>
  <c r="A526" i="1"/>
  <c r="B526" i="1"/>
  <c r="C526" i="1"/>
  <c r="D526" i="1"/>
  <c r="E526" i="1"/>
  <c r="A529" i="1"/>
  <c r="B529" i="1"/>
  <c r="C529" i="1"/>
  <c r="D529" i="1"/>
  <c r="E529" i="1"/>
  <c r="A524" i="1"/>
  <c r="B524" i="1"/>
  <c r="C524" i="1"/>
  <c r="D524" i="1"/>
  <c r="E524" i="1"/>
  <c r="A525" i="1"/>
  <c r="B525" i="1"/>
  <c r="C525" i="1"/>
  <c r="D525" i="1"/>
  <c r="E525" i="1"/>
  <c r="A527" i="1"/>
  <c r="B527" i="1"/>
  <c r="C527" i="1"/>
  <c r="D527" i="1"/>
  <c r="E527" i="1"/>
  <c r="A476" i="1"/>
  <c r="B476" i="1"/>
  <c r="C476" i="1"/>
  <c r="D476" i="1"/>
  <c r="E476" i="1"/>
  <c r="A459" i="1"/>
  <c r="B459" i="1"/>
  <c r="C459" i="1"/>
  <c r="D459" i="1"/>
  <c r="E459" i="1"/>
  <c r="A450" i="1"/>
  <c r="B450" i="1"/>
  <c r="C450" i="1"/>
  <c r="D450" i="1"/>
  <c r="E450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564" i="1"/>
  <c r="B564" i="1"/>
  <c r="C564" i="1"/>
  <c r="D564" i="1"/>
  <c r="E564" i="1"/>
  <c r="A567" i="1"/>
  <c r="B567" i="1"/>
  <c r="C567" i="1"/>
  <c r="D567" i="1"/>
  <c r="E567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126" i="1"/>
  <c r="B126" i="1"/>
  <c r="C126" i="1"/>
  <c r="D126" i="1"/>
  <c r="E126" i="1"/>
  <c r="A61" i="1"/>
  <c r="B61" i="1"/>
  <c r="C61" i="1"/>
  <c r="D61" i="1"/>
  <c r="E61" i="1"/>
  <c r="A150" i="1"/>
  <c r="B150" i="1"/>
  <c r="C150" i="1"/>
  <c r="D150" i="1"/>
  <c r="E150" i="1"/>
  <c r="A276" i="1"/>
  <c r="B276" i="1"/>
  <c r="C276" i="1"/>
  <c r="D276" i="1"/>
  <c r="E276" i="1"/>
  <c r="A284" i="1"/>
  <c r="B284" i="1"/>
  <c r="C284" i="1"/>
  <c r="D284" i="1"/>
  <c r="E284" i="1"/>
  <c r="A306" i="1"/>
  <c r="B306" i="1"/>
  <c r="C306" i="1"/>
  <c r="D306" i="1"/>
  <c r="E306" i="1"/>
  <c r="A82" i="1"/>
  <c r="B82" i="1"/>
  <c r="C82" i="1"/>
  <c r="D82" i="1"/>
  <c r="E82" i="1"/>
  <c r="A69" i="1"/>
  <c r="B69" i="1"/>
  <c r="C69" i="1"/>
  <c r="D69" i="1"/>
  <c r="E69" i="1"/>
  <c r="A144" i="1"/>
  <c r="B144" i="1"/>
  <c r="C144" i="1"/>
  <c r="D144" i="1"/>
  <c r="E144" i="1"/>
  <c r="A134" i="1"/>
  <c r="B134" i="1"/>
  <c r="C134" i="1"/>
  <c r="D134" i="1"/>
  <c r="E134" i="1"/>
  <c r="A102" i="1"/>
  <c r="B102" i="1"/>
  <c r="C102" i="1"/>
  <c r="D102" i="1"/>
  <c r="E102" i="1"/>
  <c r="A104" i="1"/>
  <c r="B104" i="1"/>
  <c r="C104" i="1"/>
  <c r="D104" i="1"/>
  <c r="E104" i="1"/>
  <c r="A114" i="1"/>
  <c r="B114" i="1"/>
  <c r="C114" i="1"/>
  <c r="D114" i="1"/>
  <c r="E114" i="1"/>
  <c r="A528" i="1"/>
  <c r="B528" i="1"/>
  <c r="C528" i="1"/>
  <c r="D528" i="1"/>
  <c r="E528" i="1"/>
  <c r="A583" i="1"/>
  <c r="B583" i="1"/>
  <c r="C583" i="1"/>
  <c r="D583" i="1"/>
  <c r="E583" i="1"/>
  <c r="A544" i="1"/>
  <c r="B544" i="1"/>
  <c r="C544" i="1"/>
  <c r="D544" i="1"/>
  <c r="E544" i="1"/>
  <c r="A542" i="1"/>
  <c r="B542" i="1"/>
  <c r="C542" i="1"/>
  <c r="D542" i="1"/>
  <c r="E542" i="1"/>
  <c r="A559" i="1"/>
  <c r="B559" i="1"/>
  <c r="C559" i="1"/>
  <c r="D559" i="1"/>
  <c r="E559" i="1"/>
  <c r="A560" i="1"/>
  <c r="B560" i="1"/>
  <c r="C560" i="1"/>
  <c r="D560" i="1"/>
  <c r="E560" i="1"/>
  <c r="A561" i="1"/>
  <c r="B561" i="1"/>
  <c r="C561" i="1"/>
  <c r="D561" i="1"/>
  <c r="E561" i="1"/>
  <c r="A240" i="1"/>
  <c r="B240" i="1"/>
  <c r="C240" i="1"/>
  <c r="D240" i="1"/>
  <c r="E240" i="1"/>
  <c r="A251" i="1"/>
  <c r="B251" i="1"/>
  <c r="C251" i="1"/>
  <c r="D251" i="1"/>
  <c r="E251" i="1"/>
  <c r="A305" i="1"/>
  <c r="B305" i="1"/>
  <c r="C305" i="1"/>
  <c r="D305" i="1"/>
  <c r="E305" i="1"/>
  <c r="A402" i="1"/>
  <c r="B402" i="1"/>
  <c r="C402" i="1"/>
  <c r="D402" i="1"/>
  <c r="E402" i="1"/>
  <c r="A413" i="1"/>
  <c r="B413" i="1"/>
  <c r="C413" i="1"/>
  <c r="D413" i="1"/>
  <c r="E413" i="1"/>
  <c r="A460" i="1"/>
  <c r="B460" i="1"/>
  <c r="C460" i="1"/>
  <c r="D460" i="1"/>
  <c r="E460" i="1"/>
  <c r="A441" i="1"/>
  <c r="B441" i="1"/>
  <c r="C441" i="1"/>
  <c r="D441" i="1"/>
  <c r="E441" i="1"/>
  <c r="A490" i="1"/>
  <c r="B490" i="1"/>
  <c r="C490" i="1"/>
  <c r="D490" i="1"/>
  <c r="E490" i="1"/>
  <c r="A492" i="1"/>
  <c r="B492" i="1"/>
  <c r="C492" i="1"/>
  <c r="D492" i="1"/>
  <c r="E492" i="1"/>
  <c r="A487" i="1"/>
  <c r="B487" i="1"/>
  <c r="C487" i="1"/>
  <c r="D487" i="1"/>
  <c r="E487" i="1"/>
  <c r="A479" i="1"/>
  <c r="B479" i="1"/>
  <c r="C479" i="1"/>
  <c r="D479" i="1"/>
  <c r="E479" i="1"/>
  <c r="A481" i="1"/>
  <c r="B481" i="1"/>
  <c r="C481" i="1"/>
  <c r="D481" i="1"/>
  <c r="E481" i="1"/>
  <c r="A531" i="1"/>
  <c r="B531" i="1"/>
  <c r="C531" i="1"/>
  <c r="D531" i="1"/>
  <c r="E531" i="1"/>
  <c r="A322" i="1"/>
  <c r="B322" i="1"/>
  <c r="C322" i="1"/>
  <c r="D322" i="1"/>
  <c r="E322" i="1"/>
  <c r="A341" i="1"/>
  <c r="B341" i="1"/>
  <c r="C341" i="1"/>
  <c r="D341" i="1"/>
  <c r="E341" i="1"/>
  <c r="A349" i="1"/>
  <c r="B349" i="1"/>
  <c r="C349" i="1"/>
  <c r="D349" i="1"/>
  <c r="E349" i="1"/>
  <c r="A443" i="1"/>
  <c r="B443" i="1"/>
  <c r="C443" i="1"/>
  <c r="D443" i="1"/>
  <c r="E443" i="1"/>
  <c r="A434" i="1"/>
  <c r="B434" i="1"/>
  <c r="C434" i="1"/>
  <c r="D434" i="1"/>
  <c r="E434" i="1"/>
  <c r="A447" i="1"/>
  <c r="B447" i="1"/>
  <c r="C447" i="1"/>
  <c r="D447" i="1"/>
  <c r="E447" i="1"/>
  <c r="A418" i="1"/>
  <c r="B418" i="1"/>
  <c r="C418" i="1"/>
  <c r="D418" i="1"/>
  <c r="E418" i="1"/>
  <c r="A432" i="1"/>
  <c r="B432" i="1"/>
  <c r="C432" i="1"/>
  <c r="D432" i="1"/>
  <c r="E432" i="1"/>
  <c r="A416" i="1"/>
  <c r="B416" i="1"/>
  <c r="C416" i="1"/>
  <c r="D416" i="1"/>
  <c r="E416" i="1"/>
  <c r="A401" i="1"/>
  <c r="B401" i="1"/>
  <c r="C401" i="1"/>
  <c r="D401" i="1"/>
  <c r="E401" i="1"/>
  <c r="A696" i="1"/>
  <c r="B696" i="1"/>
  <c r="C696" i="1"/>
  <c r="D696" i="1"/>
  <c r="E696" i="1"/>
  <c r="A713" i="1"/>
  <c r="B713" i="1"/>
  <c r="C713" i="1"/>
  <c r="D713" i="1"/>
  <c r="E713" i="1"/>
  <c r="A714" i="1"/>
  <c r="B714" i="1"/>
  <c r="C714" i="1"/>
  <c r="D714" i="1"/>
  <c r="E714" i="1"/>
  <c r="A958" i="1"/>
  <c r="B958" i="1"/>
  <c r="C958" i="1"/>
  <c r="D958" i="1"/>
  <c r="E958" i="1"/>
  <c r="A957" i="1"/>
  <c r="B957" i="1"/>
  <c r="C957" i="1"/>
  <c r="D957" i="1"/>
  <c r="E957" i="1"/>
  <c r="A954" i="1"/>
  <c r="B954" i="1"/>
  <c r="C954" i="1"/>
  <c r="D954" i="1"/>
  <c r="E954" i="1"/>
  <c r="A296" i="1"/>
  <c r="B296" i="1"/>
  <c r="C296" i="1"/>
  <c r="D296" i="1"/>
  <c r="E296" i="1"/>
  <c r="A321" i="1"/>
  <c r="B321" i="1"/>
  <c r="C321" i="1"/>
  <c r="D321" i="1"/>
  <c r="E321" i="1"/>
  <c r="A291" i="1"/>
  <c r="B291" i="1"/>
  <c r="C291" i="1"/>
  <c r="D291" i="1"/>
  <c r="E291" i="1"/>
  <c r="A323" i="1"/>
  <c r="B323" i="1"/>
  <c r="C323" i="1"/>
  <c r="D323" i="1"/>
  <c r="E323" i="1"/>
  <c r="A800" i="1"/>
  <c r="B800" i="1"/>
  <c r="C800" i="1"/>
  <c r="D800" i="1"/>
  <c r="E800" i="1"/>
  <c r="A684" i="1"/>
  <c r="B684" i="1"/>
  <c r="C684" i="1"/>
  <c r="D684" i="1"/>
  <c r="E684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682" i="1"/>
  <c r="B682" i="1"/>
  <c r="C682" i="1"/>
  <c r="D682" i="1"/>
  <c r="E682" i="1"/>
  <c r="A675" i="1"/>
  <c r="B675" i="1"/>
  <c r="C675" i="1"/>
  <c r="D675" i="1"/>
  <c r="E675" i="1"/>
  <c r="A704" i="1"/>
  <c r="B704" i="1"/>
  <c r="C704" i="1"/>
  <c r="D704" i="1"/>
  <c r="E704" i="1"/>
  <c r="A705" i="1"/>
  <c r="B705" i="1"/>
  <c r="C705" i="1"/>
  <c r="D705" i="1"/>
  <c r="E705" i="1"/>
  <c r="A695" i="1"/>
  <c r="B695" i="1"/>
  <c r="C695" i="1"/>
  <c r="D695" i="1"/>
  <c r="E695" i="1"/>
  <c r="A909" i="1"/>
  <c r="B909" i="1"/>
  <c r="C909" i="1"/>
  <c r="D909" i="1"/>
  <c r="E909" i="1"/>
  <c r="A916" i="1"/>
  <c r="B916" i="1"/>
  <c r="C916" i="1"/>
  <c r="D916" i="1"/>
  <c r="E916" i="1"/>
  <c r="A917" i="1"/>
  <c r="B917" i="1"/>
  <c r="C917" i="1"/>
  <c r="D917" i="1"/>
  <c r="E917" i="1"/>
  <c r="A923" i="1"/>
  <c r="B923" i="1"/>
  <c r="C923" i="1"/>
  <c r="D923" i="1"/>
  <c r="E923" i="1"/>
  <c r="A922" i="1"/>
  <c r="B922" i="1"/>
  <c r="C922" i="1"/>
  <c r="D922" i="1"/>
  <c r="E922" i="1"/>
  <c r="A908" i="1"/>
  <c r="B908" i="1"/>
  <c r="C908" i="1"/>
  <c r="D908" i="1"/>
  <c r="E908" i="1"/>
  <c r="A795" i="1"/>
  <c r="B795" i="1"/>
  <c r="C795" i="1"/>
  <c r="D795" i="1"/>
  <c r="E795" i="1"/>
  <c r="A797" i="1"/>
  <c r="B797" i="1"/>
  <c r="C797" i="1"/>
  <c r="D797" i="1"/>
  <c r="E797" i="1"/>
  <c r="A784" i="1"/>
  <c r="B784" i="1"/>
  <c r="C784" i="1"/>
  <c r="D784" i="1"/>
  <c r="E784" i="1"/>
  <c r="A786" i="1"/>
  <c r="B786" i="1"/>
  <c r="C786" i="1"/>
  <c r="D786" i="1"/>
  <c r="E786" i="1"/>
  <c r="A886" i="1"/>
  <c r="B886" i="1"/>
  <c r="C886" i="1"/>
  <c r="D886" i="1"/>
  <c r="E886" i="1"/>
  <c r="A889" i="1"/>
  <c r="B889" i="1"/>
  <c r="C889" i="1"/>
  <c r="D889" i="1"/>
  <c r="E889" i="1"/>
  <c r="A876" i="1"/>
  <c r="B876" i="1"/>
  <c r="C876" i="1"/>
  <c r="D876" i="1"/>
  <c r="E876" i="1"/>
  <c r="A912" i="1"/>
  <c r="B912" i="1"/>
  <c r="C912" i="1"/>
  <c r="D912" i="1"/>
  <c r="E912" i="1"/>
  <c r="A905" i="1"/>
  <c r="B905" i="1"/>
  <c r="C905" i="1"/>
  <c r="D905" i="1"/>
  <c r="E905" i="1"/>
  <c r="A906" i="1"/>
  <c r="B906" i="1"/>
  <c r="C906" i="1"/>
  <c r="D906" i="1"/>
  <c r="E906" i="1"/>
  <c r="A907" i="1"/>
  <c r="B907" i="1"/>
  <c r="C907" i="1"/>
  <c r="D907" i="1"/>
  <c r="E907" i="1"/>
  <c r="A903" i="1"/>
  <c r="B903" i="1"/>
  <c r="C903" i="1"/>
  <c r="D903" i="1"/>
  <c r="E903" i="1"/>
  <c r="A897" i="1"/>
  <c r="B897" i="1"/>
  <c r="C897" i="1"/>
  <c r="D897" i="1"/>
  <c r="E897" i="1"/>
  <c r="A898" i="1"/>
  <c r="B898" i="1"/>
  <c r="C898" i="1"/>
  <c r="D898" i="1"/>
  <c r="E898" i="1"/>
  <c r="A1124" i="1"/>
  <c r="B1124" i="1"/>
  <c r="C1124" i="1"/>
  <c r="D1124" i="1"/>
  <c r="E1124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1131" i="1"/>
  <c r="B1131" i="1"/>
  <c r="C1131" i="1"/>
  <c r="D1131" i="1"/>
  <c r="E1131" i="1"/>
  <c r="A677" i="1"/>
  <c r="B677" i="1"/>
  <c r="C677" i="1"/>
  <c r="D677" i="1"/>
  <c r="E677" i="1"/>
  <c r="A657" i="1"/>
  <c r="B657" i="1"/>
  <c r="C657" i="1"/>
  <c r="D657" i="1"/>
  <c r="E657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122" i="1"/>
  <c r="B1122" i="1"/>
  <c r="C1122" i="1"/>
  <c r="D1122" i="1"/>
  <c r="E1122" i="1"/>
  <c r="A1123" i="1"/>
  <c r="B1123" i="1"/>
  <c r="C1123" i="1"/>
  <c r="D1123" i="1"/>
  <c r="E1123" i="1"/>
  <c r="A1103" i="1"/>
  <c r="B1103" i="1"/>
  <c r="C1103" i="1"/>
  <c r="D1103" i="1"/>
  <c r="E1103" i="1"/>
  <c r="A1104" i="1"/>
  <c r="B1104" i="1"/>
  <c r="C1104" i="1"/>
  <c r="D1104" i="1"/>
  <c r="E1104" i="1"/>
  <c r="A1105" i="1"/>
  <c r="B1105" i="1"/>
  <c r="C1105" i="1"/>
  <c r="D1105" i="1"/>
  <c r="E1105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113" i="1"/>
  <c r="B1113" i="1"/>
  <c r="C1113" i="1"/>
  <c r="D1113" i="1"/>
  <c r="E1113" i="1"/>
  <c r="A1088" i="1"/>
  <c r="B1088" i="1"/>
  <c r="C1088" i="1"/>
  <c r="D1088" i="1"/>
  <c r="E1088" i="1"/>
  <c r="A1089" i="1"/>
  <c r="B1089" i="1"/>
  <c r="C1089" i="1"/>
  <c r="D1089" i="1"/>
  <c r="E1089" i="1"/>
  <c r="A1090" i="1"/>
  <c r="B1090" i="1"/>
  <c r="C1090" i="1"/>
  <c r="D1090" i="1"/>
  <c r="E1090" i="1"/>
  <c r="A1091" i="1"/>
  <c r="B1091" i="1"/>
  <c r="C1091" i="1"/>
  <c r="D1091" i="1"/>
  <c r="E1091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095" i="1"/>
  <c r="B1095" i="1"/>
  <c r="C1095" i="1"/>
  <c r="D1095" i="1"/>
  <c r="E1095" i="1"/>
  <c r="A1096" i="1"/>
  <c r="B1096" i="1"/>
  <c r="C1096" i="1"/>
  <c r="D1096" i="1"/>
  <c r="E1096" i="1"/>
  <c r="A1102" i="1"/>
  <c r="B1102" i="1"/>
  <c r="C1102" i="1"/>
  <c r="D1102" i="1"/>
  <c r="E1102" i="1"/>
  <c r="A1078" i="1"/>
  <c r="B1078" i="1"/>
  <c r="C1078" i="1"/>
  <c r="D1078" i="1"/>
  <c r="E1078" i="1"/>
  <c r="A1079" i="1"/>
  <c r="B1079" i="1"/>
  <c r="C1079" i="1"/>
  <c r="D1079" i="1"/>
  <c r="E1079" i="1"/>
  <c r="A1080" i="1"/>
  <c r="B1080" i="1"/>
  <c r="C1080" i="1"/>
  <c r="D1080" i="1"/>
  <c r="E1080" i="1"/>
  <c r="A1081" i="1"/>
  <c r="B1081" i="1"/>
  <c r="C1081" i="1"/>
  <c r="D1081" i="1"/>
  <c r="E1081" i="1"/>
  <c r="A1082" i="1"/>
  <c r="B1082" i="1"/>
  <c r="C1082" i="1"/>
  <c r="D1082" i="1"/>
  <c r="E1082" i="1"/>
  <c r="A1083" i="1"/>
  <c r="B1083" i="1"/>
  <c r="C1083" i="1"/>
  <c r="D1083" i="1"/>
  <c r="E1083" i="1"/>
  <c r="A1084" i="1"/>
  <c r="B1084" i="1"/>
  <c r="C1084" i="1"/>
  <c r="D1084" i="1"/>
  <c r="E1084" i="1"/>
  <c r="A1085" i="1"/>
  <c r="B1085" i="1"/>
  <c r="C1085" i="1"/>
  <c r="D1085" i="1"/>
  <c r="E1085" i="1"/>
  <c r="A1086" i="1"/>
  <c r="B1086" i="1"/>
  <c r="C1086" i="1"/>
  <c r="D1086" i="1"/>
  <c r="E1086" i="1"/>
  <c r="A1087" i="1"/>
  <c r="B1087" i="1"/>
  <c r="C1087" i="1"/>
  <c r="D1087" i="1"/>
  <c r="E1087" i="1"/>
  <c r="A1068" i="1"/>
  <c r="B1068" i="1"/>
  <c r="C1068" i="1"/>
  <c r="D1068" i="1"/>
  <c r="E1068" i="1"/>
  <c r="A1069" i="1"/>
  <c r="B1069" i="1"/>
  <c r="C1069" i="1"/>
  <c r="D1069" i="1"/>
  <c r="E1069" i="1"/>
  <c r="A1070" i="1"/>
  <c r="B1070" i="1"/>
  <c r="C1070" i="1"/>
  <c r="D1070" i="1"/>
  <c r="E1070" i="1"/>
  <c r="A1071" i="1"/>
  <c r="B1071" i="1"/>
  <c r="C1071" i="1"/>
  <c r="D1071" i="1"/>
  <c r="E1071" i="1"/>
  <c r="A1072" i="1"/>
  <c r="B1072" i="1"/>
  <c r="C1072" i="1"/>
  <c r="D1072" i="1"/>
  <c r="E1072" i="1"/>
  <c r="A1073" i="1"/>
  <c r="B1073" i="1"/>
  <c r="C1073" i="1"/>
  <c r="D1073" i="1"/>
  <c r="E1073" i="1"/>
  <c r="A1074" i="1"/>
  <c r="B1074" i="1"/>
  <c r="C1074" i="1"/>
  <c r="D1074" i="1"/>
  <c r="E1074" i="1"/>
  <c r="A1075" i="1"/>
  <c r="B1075" i="1"/>
  <c r="C1075" i="1"/>
  <c r="D1075" i="1"/>
  <c r="E1075" i="1"/>
  <c r="A1076" i="1"/>
  <c r="B1076" i="1"/>
  <c r="C1076" i="1"/>
  <c r="D1076" i="1"/>
  <c r="E1076" i="1"/>
  <c r="A1077" i="1"/>
  <c r="B1077" i="1"/>
  <c r="C1077" i="1"/>
  <c r="D1077" i="1"/>
  <c r="E1077" i="1"/>
  <c r="A493" i="1"/>
  <c r="B493" i="1"/>
  <c r="C493" i="1"/>
  <c r="D493" i="1"/>
  <c r="E493" i="1"/>
  <c r="A463" i="1"/>
  <c r="B463" i="1"/>
  <c r="C463" i="1"/>
  <c r="D463" i="1"/>
  <c r="E463" i="1"/>
  <c r="A290" i="1"/>
  <c r="B290" i="1"/>
  <c r="C290" i="1"/>
  <c r="D290" i="1"/>
  <c r="E290" i="1"/>
  <c r="A963" i="1"/>
  <c r="B963" i="1"/>
  <c r="C963" i="1"/>
  <c r="D963" i="1"/>
  <c r="E963" i="1"/>
  <c r="A990" i="1"/>
  <c r="B990" i="1"/>
  <c r="C990" i="1"/>
  <c r="D990" i="1"/>
  <c r="E990" i="1"/>
  <c r="A1057" i="1"/>
  <c r="B1057" i="1"/>
  <c r="C1057" i="1"/>
  <c r="D1057" i="1"/>
  <c r="E1057" i="1"/>
  <c r="A1064" i="1"/>
  <c r="B1064" i="1"/>
  <c r="C1064" i="1"/>
  <c r="D1064" i="1"/>
  <c r="E1064" i="1"/>
  <c r="A1065" i="1"/>
  <c r="B1065" i="1"/>
  <c r="C1065" i="1"/>
  <c r="D1065" i="1"/>
  <c r="E1065" i="1"/>
  <c r="A1066" i="1"/>
  <c r="B1066" i="1"/>
  <c r="C1066" i="1"/>
  <c r="D1066" i="1"/>
  <c r="E1066" i="1"/>
  <c r="A1067" i="1"/>
  <c r="B1067" i="1"/>
  <c r="C1067" i="1"/>
  <c r="D1067" i="1"/>
  <c r="E1067" i="1"/>
  <c r="A71" i="1"/>
  <c r="B71" i="1"/>
  <c r="C71" i="1"/>
  <c r="D71" i="1"/>
  <c r="E71" i="1"/>
  <c r="A136" i="1"/>
  <c r="B136" i="1"/>
  <c r="C136" i="1"/>
  <c r="D136" i="1"/>
  <c r="E136" i="1"/>
  <c r="A166" i="1"/>
  <c r="B166" i="1"/>
  <c r="C166" i="1"/>
  <c r="D166" i="1"/>
  <c r="E166" i="1"/>
  <c r="A164" i="1"/>
  <c r="B164" i="1"/>
  <c r="C164" i="1"/>
  <c r="D164" i="1"/>
  <c r="E164" i="1"/>
  <c r="A169" i="1"/>
  <c r="B169" i="1"/>
  <c r="C169" i="1"/>
  <c r="D169" i="1"/>
  <c r="E169" i="1"/>
  <c r="A145" i="1"/>
  <c r="B145" i="1"/>
  <c r="C145" i="1"/>
  <c r="D145" i="1"/>
  <c r="E145" i="1"/>
  <c r="A249" i="1"/>
  <c r="B249" i="1"/>
  <c r="C249" i="1"/>
  <c r="D249" i="1"/>
  <c r="E249" i="1"/>
  <c r="A597" i="1"/>
  <c r="B597" i="1"/>
  <c r="C597" i="1"/>
  <c r="D597" i="1"/>
  <c r="E597" i="1"/>
  <c r="A579" i="1"/>
  <c r="B579" i="1"/>
  <c r="C579" i="1"/>
  <c r="D579" i="1"/>
  <c r="E579" i="1"/>
  <c r="A612" i="1"/>
  <c r="B612" i="1"/>
  <c r="C612" i="1"/>
  <c r="D612" i="1"/>
  <c r="E612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143" i="1"/>
  <c r="B143" i="1"/>
  <c r="C143" i="1"/>
  <c r="D143" i="1"/>
  <c r="E143" i="1"/>
  <c r="A96" i="1"/>
  <c r="B96" i="1"/>
  <c r="C96" i="1"/>
  <c r="D96" i="1"/>
  <c r="E96" i="1"/>
  <c r="A86" i="1"/>
  <c r="B86" i="1"/>
  <c r="C86" i="1"/>
  <c r="D86" i="1"/>
  <c r="E8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265" i="1"/>
  <c r="B265" i="1"/>
  <c r="C265" i="1"/>
  <c r="D265" i="1"/>
  <c r="E265" i="1"/>
  <c r="A253" i="1"/>
  <c r="B253" i="1"/>
  <c r="C253" i="1"/>
  <c r="D253" i="1"/>
  <c r="E253" i="1"/>
  <c r="A272" i="1"/>
  <c r="B272" i="1"/>
  <c r="C272" i="1"/>
  <c r="D272" i="1"/>
  <c r="E272" i="1"/>
  <c r="A280" i="1"/>
  <c r="B280" i="1"/>
  <c r="C280" i="1"/>
  <c r="D280" i="1"/>
  <c r="E280" i="1"/>
  <c r="A285" i="1"/>
  <c r="B285" i="1"/>
  <c r="C285" i="1"/>
  <c r="D285" i="1"/>
  <c r="E285" i="1"/>
  <c r="A288" i="1"/>
  <c r="B288" i="1"/>
  <c r="C288" i="1"/>
  <c r="D288" i="1"/>
  <c r="E288" i="1"/>
  <c r="A273" i="1"/>
  <c r="B273" i="1"/>
  <c r="C273" i="1"/>
  <c r="D273" i="1"/>
  <c r="E273" i="1"/>
  <c r="A287" i="1"/>
  <c r="B287" i="1"/>
  <c r="C287" i="1"/>
  <c r="D287" i="1"/>
  <c r="E287" i="1"/>
  <c r="A292" i="1"/>
  <c r="B292" i="1"/>
  <c r="C292" i="1"/>
  <c r="D292" i="1"/>
  <c r="E292" i="1"/>
  <c r="A266" i="1"/>
  <c r="B266" i="1"/>
  <c r="C266" i="1"/>
  <c r="D266" i="1"/>
  <c r="E266" i="1"/>
  <c r="A553" i="1"/>
  <c r="B553" i="1"/>
  <c r="C553" i="1"/>
  <c r="D553" i="1"/>
  <c r="E553" i="1"/>
  <c r="A554" i="1"/>
  <c r="B554" i="1"/>
  <c r="C554" i="1"/>
  <c r="D554" i="1"/>
  <c r="E554" i="1"/>
  <c r="A549" i="1"/>
  <c r="B549" i="1"/>
  <c r="C549" i="1"/>
  <c r="D549" i="1"/>
  <c r="E549" i="1"/>
  <c r="A550" i="1"/>
  <c r="B550" i="1"/>
  <c r="C550" i="1"/>
  <c r="D550" i="1"/>
  <c r="E550" i="1"/>
  <c r="A539" i="1"/>
  <c r="B539" i="1"/>
  <c r="C539" i="1"/>
  <c r="D539" i="1"/>
  <c r="E539" i="1"/>
  <c r="A540" i="1"/>
  <c r="B540" i="1"/>
  <c r="C540" i="1"/>
  <c r="D540" i="1"/>
  <c r="E540" i="1"/>
  <c r="A543" i="1"/>
  <c r="B543" i="1"/>
  <c r="C543" i="1"/>
  <c r="D543" i="1"/>
  <c r="E543" i="1"/>
  <c r="A545" i="1"/>
  <c r="B545" i="1"/>
  <c r="C545" i="1"/>
  <c r="D545" i="1"/>
  <c r="E545" i="1"/>
  <c r="A229" i="1"/>
  <c r="B229" i="1"/>
  <c r="C229" i="1"/>
  <c r="D229" i="1"/>
  <c r="E229" i="1"/>
  <c r="A160" i="1"/>
  <c r="B160" i="1"/>
  <c r="C160" i="1"/>
  <c r="D160" i="1"/>
  <c r="E160" i="1"/>
  <c r="A281" i="1"/>
  <c r="B281" i="1"/>
  <c r="C281" i="1"/>
  <c r="D281" i="1"/>
  <c r="E281" i="1"/>
  <c r="A458" i="1"/>
  <c r="B458" i="1"/>
  <c r="C458" i="1"/>
  <c r="D458" i="1"/>
  <c r="E458" i="1"/>
  <c r="A465" i="1"/>
  <c r="B465" i="1"/>
  <c r="C465" i="1"/>
  <c r="D465" i="1"/>
  <c r="E465" i="1"/>
  <c r="A483" i="1"/>
  <c r="B483" i="1"/>
  <c r="C483" i="1"/>
  <c r="D483" i="1"/>
  <c r="E483" i="1"/>
  <c r="A486" i="1"/>
  <c r="B486" i="1"/>
  <c r="C486" i="1"/>
  <c r="D486" i="1"/>
  <c r="E486" i="1"/>
  <c r="A491" i="1"/>
  <c r="B491" i="1"/>
  <c r="C491" i="1"/>
  <c r="D491" i="1"/>
  <c r="E491" i="1"/>
  <c r="A534" i="1"/>
  <c r="B534" i="1"/>
  <c r="C534" i="1"/>
  <c r="D534" i="1"/>
  <c r="E534" i="1"/>
  <c r="A535" i="1"/>
  <c r="B535" i="1"/>
  <c r="C535" i="1"/>
  <c r="D535" i="1"/>
  <c r="E535" i="1"/>
  <c r="A494" i="1"/>
  <c r="B494" i="1"/>
  <c r="C494" i="1"/>
  <c r="D494" i="1"/>
  <c r="E494" i="1"/>
  <c r="A548" i="1"/>
  <c r="B548" i="1"/>
  <c r="C548" i="1"/>
  <c r="D548" i="1"/>
  <c r="E548" i="1"/>
  <c r="A703" i="1"/>
  <c r="B703" i="1"/>
  <c r="C703" i="1"/>
  <c r="D703" i="1"/>
  <c r="E703" i="1"/>
  <c r="A961" i="1"/>
  <c r="B961" i="1"/>
  <c r="C961" i="1"/>
  <c r="D961" i="1"/>
  <c r="E961" i="1"/>
  <c r="A412" i="1"/>
  <c r="B412" i="1"/>
  <c r="C412" i="1"/>
  <c r="D412" i="1"/>
  <c r="E412" i="1"/>
  <c r="A398" i="1"/>
  <c r="B398" i="1"/>
  <c r="C398" i="1"/>
  <c r="D398" i="1"/>
  <c r="E398" i="1"/>
  <c r="A405" i="1"/>
  <c r="B405" i="1"/>
  <c r="C405" i="1"/>
  <c r="D405" i="1"/>
  <c r="E405" i="1"/>
  <c r="A392" i="1"/>
  <c r="B392" i="1"/>
  <c r="C392" i="1"/>
  <c r="D392" i="1"/>
  <c r="E392" i="1"/>
  <c r="A419" i="1"/>
  <c r="B419" i="1"/>
  <c r="C419" i="1"/>
  <c r="D419" i="1"/>
  <c r="E419" i="1"/>
  <c r="A429" i="1"/>
  <c r="B429" i="1"/>
  <c r="C429" i="1"/>
  <c r="D429" i="1"/>
  <c r="E429" i="1"/>
  <c r="A442" i="1"/>
  <c r="B442" i="1"/>
  <c r="C442" i="1"/>
  <c r="D442" i="1"/>
  <c r="E442" i="1"/>
  <c r="A282" i="1"/>
  <c r="B282" i="1"/>
  <c r="C282" i="1"/>
  <c r="D282" i="1"/>
  <c r="E282" i="1"/>
  <c r="A893" i="1"/>
  <c r="B893" i="1"/>
  <c r="C893" i="1"/>
  <c r="D893" i="1"/>
  <c r="E893" i="1"/>
  <c r="A904" i="1"/>
  <c r="B904" i="1"/>
  <c r="C904" i="1"/>
  <c r="D904" i="1"/>
  <c r="E904" i="1"/>
  <c r="A910" i="1"/>
  <c r="B910" i="1"/>
  <c r="C910" i="1"/>
  <c r="D910" i="1"/>
  <c r="E910" i="1"/>
  <c r="A911" i="1"/>
  <c r="B911" i="1"/>
  <c r="C911" i="1"/>
  <c r="D911" i="1"/>
  <c r="E911" i="1"/>
  <c r="A891" i="1"/>
  <c r="B891" i="1"/>
  <c r="C891" i="1"/>
  <c r="D891" i="1"/>
  <c r="E891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690" i="1"/>
  <c r="B690" i="1"/>
  <c r="C690" i="1"/>
  <c r="D690" i="1"/>
  <c r="E690" i="1"/>
  <c r="A708" i="1"/>
  <c r="B708" i="1"/>
  <c r="C708" i="1"/>
  <c r="D708" i="1"/>
  <c r="E708" i="1"/>
  <c r="A927" i="1"/>
  <c r="B927" i="1"/>
  <c r="C927" i="1"/>
  <c r="D927" i="1"/>
  <c r="E927" i="1"/>
  <c r="A796" i="1"/>
  <c r="B796" i="1"/>
  <c r="C796" i="1"/>
  <c r="D796" i="1"/>
  <c r="E796" i="1"/>
  <c r="A798" i="1"/>
  <c r="B798" i="1"/>
  <c r="C798" i="1"/>
  <c r="D798" i="1"/>
  <c r="E798" i="1"/>
  <c r="A819" i="1"/>
  <c r="B819" i="1"/>
  <c r="C819" i="1"/>
  <c r="D819" i="1"/>
  <c r="E819" i="1"/>
  <c r="A801" i="1"/>
  <c r="B801" i="1"/>
  <c r="C801" i="1"/>
  <c r="D801" i="1"/>
  <c r="E801" i="1"/>
  <c r="A810" i="1"/>
  <c r="B810" i="1"/>
  <c r="C810" i="1"/>
  <c r="D810" i="1"/>
  <c r="E810" i="1"/>
  <c r="A790" i="1"/>
  <c r="B790" i="1"/>
  <c r="C790" i="1"/>
  <c r="D790" i="1"/>
  <c r="E790" i="1"/>
  <c r="A793" i="1"/>
  <c r="B793" i="1"/>
  <c r="C793" i="1"/>
  <c r="D793" i="1"/>
  <c r="E793" i="1"/>
  <c r="A900" i="1"/>
  <c r="B900" i="1"/>
  <c r="C900" i="1"/>
  <c r="D900" i="1"/>
  <c r="E900" i="1"/>
  <c r="A902" i="1"/>
  <c r="B902" i="1"/>
  <c r="C902" i="1"/>
  <c r="D902" i="1"/>
  <c r="E902" i="1"/>
  <c r="A21" i="1"/>
  <c r="B21" i="1"/>
  <c r="C21" i="1"/>
  <c r="D21" i="1"/>
  <c r="E21" i="1"/>
  <c r="A194" i="1"/>
  <c r="B194" i="1"/>
  <c r="C194" i="1"/>
  <c r="D194" i="1"/>
  <c r="E194" i="1"/>
  <c r="A211" i="1"/>
  <c r="B211" i="1"/>
  <c r="C211" i="1"/>
  <c r="D211" i="1"/>
  <c r="E211" i="1"/>
  <c r="A237" i="1"/>
  <c r="B237" i="1"/>
  <c r="C237" i="1"/>
  <c r="D237" i="1"/>
  <c r="E237" i="1"/>
  <c r="A582" i="1"/>
  <c r="B582" i="1"/>
  <c r="C582" i="1"/>
  <c r="D582" i="1"/>
  <c r="E582" i="1"/>
  <c r="A462" i="1"/>
  <c r="B462" i="1"/>
  <c r="C462" i="1"/>
  <c r="D462" i="1"/>
  <c r="E462" i="1"/>
  <c r="A408" i="1"/>
  <c r="B408" i="1"/>
  <c r="C408" i="1"/>
  <c r="D408" i="1"/>
  <c r="E408" i="1"/>
  <c r="A409" i="1"/>
  <c r="B409" i="1"/>
  <c r="C409" i="1"/>
  <c r="D409" i="1"/>
  <c r="E409" i="1"/>
  <c r="A924" i="1"/>
  <c r="B924" i="1"/>
  <c r="C924" i="1"/>
  <c r="D924" i="1"/>
  <c r="E924" i="1"/>
  <c r="A925" i="1"/>
  <c r="B925" i="1"/>
  <c r="C925" i="1"/>
  <c r="D925" i="1"/>
  <c r="E925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667" i="1"/>
  <c r="B667" i="1"/>
  <c r="C667" i="1"/>
  <c r="D667" i="1"/>
  <c r="E667" i="1"/>
  <c r="A1106" i="1"/>
  <c r="B1106" i="1"/>
  <c r="C1106" i="1"/>
  <c r="D1106" i="1"/>
  <c r="E1106" i="1"/>
  <c r="A1133" i="1"/>
  <c r="B1133" i="1"/>
  <c r="C1133" i="1"/>
  <c r="D1133" i="1"/>
  <c r="E1133" i="1"/>
  <c r="A970" i="1"/>
  <c r="B970" i="1"/>
  <c r="C970" i="1"/>
  <c r="D970" i="1"/>
  <c r="E970" i="1"/>
  <c r="A892" i="1"/>
  <c r="B892" i="1"/>
  <c r="C892" i="1"/>
  <c r="D892" i="1"/>
  <c r="E892" i="1"/>
  <c r="A901" i="1"/>
  <c r="B901" i="1"/>
  <c r="C901" i="1"/>
  <c r="D901" i="1"/>
  <c r="E901" i="1"/>
  <c r="A914" i="1"/>
  <c r="B914" i="1"/>
  <c r="C914" i="1"/>
  <c r="D914" i="1"/>
  <c r="E914" i="1"/>
  <c r="A918" i="1"/>
  <c r="B918" i="1"/>
  <c r="C918" i="1"/>
  <c r="D918" i="1"/>
  <c r="E918" i="1"/>
  <c r="A555" i="1"/>
  <c r="B555" i="1"/>
  <c r="C555" i="1"/>
  <c r="D555" i="1"/>
  <c r="E555" i="1"/>
  <c r="A163" i="1"/>
  <c r="B163" i="1"/>
  <c r="C163" i="1"/>
  <c r="D163" i="1"/>
  <c r="E163" i="1"/>
  <c r="A300" i="1"/>
  <c r="B300" i="1"/>
  <c r="C300" i="1"/>
  <c r="D300" i="1"/>
  <c r="E300" i="1"/>
  <c r="A13" i="1"/>
  <c r="B13" i="1"/>
  <c r="C13" i="1"/>
  <c r="D13" i="1"/>
  <c r="E13" i="1"/>
  <c r="A44" i="1"/>
  <c r="B44" i="1"/>
  <c r="C44" i="1"/>
  <c r="D44" i="1"/>
  <c r="E44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50" i="1"/>
  <c r="B350" i="1"/>
  <c r="C350" i="1"/>
  <c r="D350" i="1"/>
  <c r="E350" i="1"/>
  <c r="A355" i="1"/>
  <c r="B355" i="1"/>
  <c r="C355" i="1"/>
  <c r="D355" i="1"/>
  <c r="E355" i="1"/>
  <c r="A184" i="1"/>
  <c r="B184" i="1"/>
  <c r="C184" i="1"/>
  <c r="D184" i="1"/>
  <c r="E184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81" i="1"/>
  <c r="B181" i="1"/>
  <c r="C181" i="1"/>
  <c r="D181" i="1"/>
  <c r="E181" i="1"/>
  <c r="A189" i="1"/>
  <c r="B189" i="1"/>
  <c r="C189" i="1"/>
  <c r="D189" i="1"/>
  <c r="E189" i="1"/>
  <c r="A298" i="1"/>
  <c r="B298" i="1"/>
  <c r="C298" i="1"/>
  <c r="D298" i="1"/>
  <c r="E298" i="1"/>
  <c r="A299" i="1"/>
  <c r="B299" i="1"/>
  <c r="C299" i="1"/>
  <c r="D299" i="1"/>
  <c r="E299" i="1"/>
  <c r="A661" i="1"/>
  <c r="B661" i="1"/>
  <c r="C661" i="1"/>
  <c r="D661" i="1"/>
  <c r="E661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62" i="1"/>
  <c r="B662" i="1"/>
  <c r="C662" i="1"/>
  <c r="D662" i="1"/>
  <c r="E662" i="1"/>
  <c r="A665" i="1"/>
  <c r="B665" i="1"/>
  <c r="C665" i="1"/>
  <c r="D665" i="1"/>
  <c r="E665" i="1"/>
  <c r="A326" i="1"/>
  <c r="B326" i="1"/>
  <c r="C326" i="1"/>
  <c r="D326" i="1"/>
  <c r="E326" i="1"/>
  <c r="A334" i="1"/>
  <c r="B334" i="1"/>
  <c r="C334" i="1"/>
  <c r="D334" i="1"/>
  <c r="E334" i="1"/>
  <c r="A236" i="1"/>
  <c r="B236" i="1"/>
  <c r="C236" i="1"/>
  <c r="D236" i="1"/>
  <c r="E236" i="1"/>
  <c r="A195" i="1"/>
  <c r="B195" i="1"/>
  <c r="C195" i="1"/>
  <c r="D195" i="1"/>
  <c r="E195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1141" i="1"/>
  <c r="B1141" i="1"/>
  <c r="C1141" i="1"/>
  <c r="D1141" i="1"/>
  <c r="E1141" i="1"/>
  <c r="A965" i="1"/>
  <c r="B965" i="1"/>
  <c r="C965" i="1"/>
  <c r="D965" i="1"/>
  <c r="E965" i="1"/>
  <c r="A1001" i="1"/>
  <c r="B1001" i="1"/>
  <c r="C1001" i="1"/>
  <c r="D1001" i="1"/>
  <c r="E1001" i="1"/>
  <c r="A803" i="1"/>
  <c r="B803" i="1"/>
  <c r="C803" i="1"/>
  <c r="D803" i="1"/>
  <c r="E803" i="1"/>
  <c r="A664" i="1"/>
  <c r="B664" i="1"/>
  <c r="C664" i="1"/>
  <c r="D664" i="1"/>
  <c r="E664" i="1"/>
  <c r="A663" i="1"/>
  <c r="B663" i="1"/>
  <c r="C663" i="1"/>
  <c r="D663" i="1"/>
  <c r="E663" i="1"/>
  <c r="A656" i="1"/>
  <c r="B656" i="1"/>
  <c r="C656" i="1"/>
  <c r="D656" i="1"/>
  <c r="E656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09" i="1"/>
  <c r="B209" i="1"/>
  <c r="C209" i="1"/>
  <c r="D209" i="1"/>
  <c r="E209" i="1"/>
  <c r="A384" i="1"/>
  <c r="B384" i="1"/>
  <c r="C384" i="1"/>
  <c r="D384" i="1"/>
  <c r="E384" i="1"/>
  <c r="A385" i="1"/>
  <c r="B385" i="1"/>
  <c r="C385" i="1"/>
  <c r="D385" i="1"/>
  <c r="E385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08" i="1"/>
  <c r="B308" i="1"/>
  <c r="C308" i="1"/>
  <c r="D308" i="1"/>
  <c r="E308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498" i="1"/>
  <c r="B498" i="1"/>
  <c r="C498" i="1"/>
  <c r="D498" i="1"/>
  <c r="E498" i="1"/>
  <c r="A501" i="1"/>
  <c r="B501" i="1"/>
  <c r="C501" i="1"/>
  <c r="D501" i="1"/>
  <c r="E501" i="1"/>
  <c r="A516" i="1"/>
  <c r="B516" i="1"/>
  <c r="C516" i="1"/>
  <c r="D516" i="1"/>
  <c r="E516" i="1"/>
  <c r="A232" i="1"/>
  <c r="B232" i="1"/>
  <c r="C232" i="1"/>
  <c r="D232" i="1"/>
  <c r="E232" i="1"/>
  <c r="A228" i="1"/>
  <c r="B228" i="1"/>
  <c r="C228" i="1"/>
  <c r="D228" i="1"/>
  <c r="E228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226" i="1"/>
  <c r="B226" i="1"/>
  <c r="C226" i="1"/>
  <c r="D226" i="1"/>
  <c r="E226" i="1"/>
  <c r="A314" i="1"/>
  <c r="B314" i="1"/>
  <c r="C314" i="1"/>
  <c r="D314" i="1"/>
  <c r="E314" i="1"/>
  <c r="A32" i="1"/>
  <c r="B32" i="1"/>
  <c r="C32" i="1"/>
  <c r="D32" i="1"/>
  <c r="E32" i="1"/>
  <c r="A36" i="1"/>
  <c r="B36" i="1"/>
  <c r="C36" i="1"/>
  <c r="D36" i="1"/>
  <c r="E36" i="1"/>
  <c r="A38" i="1"/>
  <c r="B38" i="1"/>
  <c r="C38" i="1"/>
  <c r="D38" i="1"/>
  <c r="E38" i="1"/>
  <c r="A174" i="1"/>
  <c r="B174" i="1"/>
  <c r="C174" i="1"/>
  <c r="D174" i="1"/>
  <c r="E174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9" i="1"/>
  <c r="B329" i="1"/>
  <c r="C329" i="1"/>
  <c r="D329" i="1"/>
  <c r="E329" i="1"/>
  <c r="A340" i="1"/>
  <c r="B340" i="1"/>
  <c r="C340" i="1"/>
  <c r="D340" i="1"/>
  <c r="E340" i="1"/>
  <c r="A338" i="1"/>
  <c r="B338" i="1"/>
  <c r="C338" i="1"/>
  <c r="D338" i="1"/>
  <c r="E338" i="1"/>
  <c r="A763" i="1"/>
  <c r="B763" i="1"/>
  <c r="C763" i="1"/>
  <c r="D763" i="1"/>
  <c r="E763" i="1"/>
  <c r="A765" i="1"/>
  <c r="B765" i="1"/>
  <c r="C765" i="1"/>
  <c r="D765" i="1"/>
  <c r="E765" i="1"/>
  <c r="A774" i="1"/>
  <c r="B774" i="1"/>
  <c r="C774" i="1"/>
  <c r="D774" i="1"/>
  <c r="E774" i="1"/>
  <c r="A880" i="1"/>
  <c r="B880" i="1"/>
  <c r="C880" i="1"/>
  <c r="D880" i="1"/>
  <c r="E880" i="1"/>
  <c r="A1099" i="1"/>
  <c r="B1099" i="1"/>
  <c r="C1099" i="1"/>
  <c r="D1099" i="1"/>
  <c r="E1099" i="1"/>
  <c r="A508" i="1"/>
  <c r="B508" i="1"/>
  <c r="C508" i="1"/>
  <c r="D508" i="1"/>
  <c r="E508" i="1"/>
  <c r="A10" i="1"/>
  <c r="B10" i="1"/>
  <c r="C10" i="1"/>
  <c r="D10" i="1"/>
  <c r="E10" i="1"/>
  <c r="A4" i="1"/>
  <c r="B4" i="1"/>
  <c r="C4" i="1"/>
  <c r="D4" i="1"/>
  <c r="E4" i="1"/>
  <c r="A7" i="1"/>
  <c r="B7" i="1"/>
  <c r="C7" i="1"/>
  <c r="D7" i="1"/>
  <c r="E7" i="1"/>
  <c r="A34" i="1"/>
  <c r="B34" i="1"/>
  <c r="C34" i="1"/>
  <c r="D34" i="1"/>
  <c r="E34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2" i="1"/>
  <c r="B262" i="1"/>
  <c r="C262" i="1"/>
  <c r="D262" i="1"/>
  <c r="E262" i="1"/>
  <c r="A106" i="1"/>
  <c r="B106" i="1"/>
  <c r="C106" i="1"/>
  <c r="D106" i="1"/>
  <c r="E106" i="1"/>
  <c r="A396" i="1"/>
  <c r="B396" i="1"/>
  <c r="C396" i="1"/>
  <c r="D396" i="1"/>
  <c r="E396" i="1"/>
  <c r="A556" i="1"/>
  <c r="B556" i="1"/>
  <c r="C556" i="1"/>
  <c r="D556" i="1"/>
  <c r="E556" i="1"/>
  <c r="A743" i="1"/>
  <c r="B743" i="1"/>
  <c r="C743" i="1"/>
  <c r="D743" i="1"/>
  <c r="E743" i="1"/>
  <c r="A754" i="1"/>
  <c r="B754" i="1"/>
  <c r="C754" i="1"/>
  <c r="D754" i="1"/>
  <c r="E754" i="1"/>
  <c r="A759" i="1"/>
  <c r="B759" i="1"/>
  <c r="C759" i="1"/>
  <c r="D759" i="1"/>
  <c r="E759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82" i="1"/>
  <c r="B382" i="1"/>
  <c r="C382" i="1"/>
  <c r="D382" i="1"/>
  <c r="E382" i="1"/>
  <c r="A383" i="1"/>
  <c r="B383" i="1"/>
  <c r="C383" i="1"/>
  <c r="D383" i="1"/>
  <c r="E383" i="1"/>
  <c r="A1140" i="1"/>
  <c r="B1140" i="1"/>
  <c r="C1140" i="1"/>
  <c r="D1140" i="1"/>
  <c r="E1140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103" i="1"/>
  <c r="B103" i="1"/>
  <c r="C103" i="1"/>
  <c r="D103" i="1"/>
  <c r="E103" i="1"/>
  <c r="A719" i="1"/>
  <c r="B719" i="1"/>
  <c r="C719" i="1"/>
  <c r="D719" i="1"/>
  <c r="E719" i="1"/>
  <c r="A720" i="1"/>
  <c r="B720" i="1"/>
  <c r="C720" i="1"/>
  <c r="D720" i="1"/>
  <c r="E720" i="1"/>
  <c r="A356" i="1"/>
  <c r="B356" i="1"/>
  <c r="C356" i="1"/>
  <c r="D356" i="1"/>
  <c r="E356" i="1"/>
  <c r="A328" i="1"/>
  <c r="B328" i="1"/>
  <c r="C328" i="1"/>
  <c r="D328" i="1"/>
  <c r="E328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304" i="1"/>
  <c r="B304" i="1"/>
  <c r="C304" i="1"/>
  <c r="D304" i="1"/>
  <c r="E304" i="1"/>
  <c r="A307" i="1"/>
  <c r="B307" i="1"/>
  <c r="C307" i="1"/>
  <c r="D307" i="1"/>
  <c r="E307" i="1"/>
  <c r="A372" i="1"/>
  <c r="B372" i="1"/>
  <c r="C372" i="1"/>
  <c r="D372" i="1"/>
  <c r="E372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98" i="1"/>
  <c r="B198" i="1"/>
  <c r="C198" i="1"/>
  <c r="D198" i="1"/>
  <c r="E198" i="1"/>
  <c r="A197" i="1"/>
  <c r="B197" i="1"/>
  <c r="C197" i="1"/>
  <c r="D197" i="1"/>
  <c r="E197" i="1"/>
  <c r="A315" i="1"/>
  <c r="B315" i="1"/>
  <c r="C315" i="1"/>
  <c r="D315" i="1"/>
  <c r="E315" i="1"/>
  <c r="A345" i="1"/>
  <c r="B345" i="1"/>
  <c r="C345" i="1"/>
  <c r="D345" i="1"/>
  <c r="E345" i="1"/>
  <c r="A346" i="1"/>
  <c r="B346" i="1"/>
  <c r="C346" i="1"/>
  <c r="D346" i="1"/>
  <c r="E346" i="1"/>
  <c r="A342" i="1"/>
  <c r="B342" i="1"/>
  <c r="C342" i="1"/>
  <c r="D342" i="1"/>
  <c r="E342" i="1"/>
  <c r="A343" i="1"/>
  <c r="B343" i="1"/>
  <c r="C343" i="1"/>
  <c r="D343" i="1"/>
  <c r="E343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<sst xmlns="http://schemas.openxmlformats.org/spreadsheetml/2006/main" count="46" uniqueCount="46">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</sst>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C94A-1F38-40EA-8F63-8B7465E6BF06}">
  <dimension ref="A1:AT1143"/>
  <sheetViews>
    <sheetView rightToLeft="1" tabSelected="1" topLeftCell="A1129" workbookViewId="0">
      <selection activeCell="AT2" sqref="AT2:AT1143"/>
    </sheetView>
  </sheetViews>
  <sheetFormatPr defaultRowHeight="14.25" x14ac:dyDescent="0.2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0.125" style="1" bestFit="1" customWidth="1"/>
    <col min="47" max="16384" width="9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14424878</v>
      </c>
      <c r="G2" s="1">
        <v>8738737</v>
      </c>
      <c r="H2" s="1">
        <v>0</v>
      </c>
      <c r="I2" s="1">
        <v>14510402</v>
      </c>
      <c r="J2" s="1">
        <v>0</v>
      </c>
      <c r="K2" s="1">
        <v>4620000</v>
      </c>
      <c r="L2" s="1">
        <v>0</v>
      </c>
      <c r="M2" s="1">
        <v>400000</v>
      </c>
      <c r="N2" s="1">
        <v>2765724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1342000</v>
      </c>
      <c r="U2" s="1">
        <v>0</v>
      </c>
      <c r="V2" s="1">
        <v>17769126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1975517</v>
      </c>
      <c r="AF2" s="1">
        <v>2222538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6479695</v>
      </c>
      <c r="AM2" s="1">
        <v>0</v>
      </c>
      <c r="AN2" s="1">
        <v>76348617</v>
      </c>
      <c r="AO2" s="1">
        <v>12005187</v>
      </c>
      <c r="AP2" s="1">
        <v>64343430</v>
      </c>
      <c r="AQ2" s="1">
        <v>14556816</v>
      </c>
      <c r="AR2" s="1">
        <v>2183522</v>
      </c>
      <c r="AS2" s="1">
        <v>0</v>
      </c>
      <c r="AT2" s="1">
        <f>AS2+AR2+AQ2+AN2</f>
        <v>93088955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8010238</v>
      </c>
      <c r="G3" s="1">
        <v>9418730</v>
      </c>
      <c r="H3" s="1">
        <v>0</v>
      </c>
      <c r="I3" s="1">
        <v>7529624</v>
      </c>
      <c r="J3" s="1">
        <v>0</v>
      </c>
      <c r="K3" s="1">
        <v>0</v>
      </c>
      <c r="L3" s="1">
        <v>3345440</v>
      </c>
      <c r="M3" s="1">
        <v>400000</v>
      </c>
      <c r="N3" s="1">
        <v>4272127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8058933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3593394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3013994</v>
      </c>
      <c r="AK3" s="1">
        <v>0</v>
      </c>
      <c r="AL3" s="1">
        <v>0</v>
      </c>
      <c r="AM3" s="1">
        <v>0</v>
      </c>
      <c r="AN3" s="1">
        <v>48742480</v>
      </c>
      <c r="AO3" s="1">
        <v>6649900</v>
      </c>
      <c r="AP3" s="1">
        <v>42092580</v>
      </c>
      <c r="AQ3" s="1">
        <v>9748496</v>
      </c>
      <c r="AR3" s="1">
        <v>1462274</v>
      </c>
      <c r="AS3" s="1">
        <v>0</v>
      </c>
      <c r="AT3" s="1">
        <f t="shared" ref="AT3:AT66" si="2">AS3+AR3+AQ3+AN3</f>
        <v>59953250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6050844</v>
      </c>
      <c r="G4" s="1">
        <v>7232745</v>
      </c>
      <c r="H4" s="1">
        <v>0</v>
      </c>
      <c r="I4" s="1">
        <v>5869319</v>
      </c>
      <c r="J4" s="1">
        <v>0</v>
      </c>
      <c r="K4" s="1">
        <v>0</v>
      </c>
      <c r="L4" s="1">
        <v>3596677</v>
      </c>
      <c r="M4" s="1">
        <v>400000</v>
      </c>
      <c r="N4" s="1">
        <v>3184654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4685223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2805224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3387042</v>
      </c>
      <c r="AK4" s="1">
        <v>0</v>
      </c>
      <c r="AL4" s="1">
        <v>0</v>
      </c>
      <c r="AM4" s="1">
        <v>0</v>
      </c>
      <c r="AN4" s="1">
        <v>39422997</v>
      </c>
      <c r="AO4" s="1">
        <v>7310866</v>
      </c>
      <c r="AP4" s="1">
        <v>32112131</v>
      </c>
      <c r="AQ4" s="1">
        <v>7662346</v>
      </c>
      <c r="AR4" s="1">
        <v>1149352</v>
      </c>
      <c r="AS4" s="1">
        <v>0</v>
      </c>
      <c r="AT4" s="1">
        <f t="shared" si="2"/>
        <v>48234695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6299258</v>
      </c>
      <c r="G5" s="1">
        <v>1430197</v>
      </c>
      <c r="H5" s="1">
        <v>0</v>
      </c>
      <c r="I5" s="1">
        <v>5291377</v>
      </c>
      <c r="J5" s="1">
        <v>0</v>
      </c>
      <c r="K5" s="1">
        <v>0</v>
      </c>
      <c r="L5" s="1">
        <v>3523845</v>
      </c>
      <c r="M5" s="1">
        <v>400000</v>
      </c>
      <c r="N5" s="1">
        <v>3149629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8822064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2739616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3922825</v>
      </c>
      <c r="AK5" s="1">
        <v>0</v>
      </c>
      <c r="AL5" s="1">
        <v>0</v>
      </c>
      <c r="AM5" s="1">
        <v>0</v>
      </c>
      <c r="AN5" s="1">
        <v>38901349</v>
      </c>
      <c r="AO5" s="1">
        <v>4014295</v>
      </c>
      <c r="AP5" s="1">
        <v>34887054</v>
      </c>
      <c r="AQ5" s="1">
        <v>7335762</v>
      </c>
      <c r="AR5" s="1">
        <v>1100364</v>
      </c>
      <c r="AS5" s="1">
        <v>0</v>
      </c>
      <c r="AT5" s="1">
        <f t="shared" si="2"/>
        <v>47337475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6547403</v>
      </c>
      <c r="G6" s="1">
        <v>1535966</v>
      </c>
      <c r="H6" s="1">
        <v>0</v>
      </c>
      <c r="I6" s="1">
        <v>6154558</v>
      </c>
      <c r="J6" s="1">
        <v>0</v>
      </c>
      <c r="K6" s="1">
        <v>0</v>
      </c>
      <c r="L6" s="1">
        <v>3500010</v>
      </c>
      <c r="M6" s="1">
        <v>400000</v>
      </c>
      <c r="N6" s="1">
        <v>3446001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9441342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2947196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2808623</v>
      </c>
      <c r="AK6" s="1">
        <v>0</v>
      </c>
      <c r="AL6" s="1">
        <v>0</v>
      </c>
      <c r="AM6" s="1">
        <v>0</v>
      </c>
      <c r="AN6" s="1">
        <v>41214906</v>
      </c>
      <c r="AO6" s="1">
        <v>4327405</v>
      </c>
      <c r="AP6" s="1">
        <v>36887501</v>
      </c>
      <c r="AQ6" s="1">
        <v>7576220</v>
      </c>
      <c r="AR6" s="1">
        <v>1136433</v>
      </c>
      <c r="AS6" s="1">
        <v>0</v>
      </c>
      <c r="AT6" s="1">
        <f t="shared" si="2"/>
        <v>49927559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6153092</v>
      </c>
      <c r="G7" s="1">
        <v>7343778</v>
      </c>
      <c r="H7" s="1">
        <v>0</v>
      </c>
      <c r="I7" s="1">
        <v>5599314</v>
      </c>
      <c r="J7" s="1">
        <v>0</v>
      </c>
      <c r="K7" s="1">
        <v>0</v>
      </c>
      <c r="L7" s="1">
        <v>3500010</v>
      </c>
      <c r="M7" s="1">
        <v>400000</v>
      </c>
      <c r="N7" s="1">
        <v>3281650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4646295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2780110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3357156</v>
      </c>
      <c r="AK7" s="1">
        <v>0</v>
      </c>
      <c r="AL7" s="1">
        <v>0</v>
      </c>
      <c r="AM7" s="1">
        <v>0</v>
      </c>
      <c r="AN7" s="1">
        <v>40383943</v>
      </c>
      <c r="AO7" s="1">
        <v>5690013</v>
      </c>
      <c r="AP7" s="1">
        <v>34693930</v>
      </c>
      <c r="AQ7" s="1">
        <v>7632281</v>
      </c>
      <c r="AR7" s="1">
        <v>1144842</v>
      </c>
      <c r="AS7" s="1">
        <v>0</v>
      </c>
      <c r="AT7" s="1">
        <f t="shared" si="2"/>
        <v>49161066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8884769</v>
      </c>
      <c r="G8" s="1">
        <v>8006178</v>
      </c>
      <c r="H8" s="1">
        <v>0</v>
      </c>
      <c r="I8" s="1">
        <v>7463206</v>
      </c>
      <c r="J8" s="1">
        <v>0</v>
      </c>
      <c r="K8" s="1">
        <v>0</v>
      </c>
      <c r="L8" s="1">
        <v>3500010</v>
      </c>
      <c r="M8" s="1">
        <v>400000</v>
      </c>
      <c r="N8" s="1">
        <v>4585687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9598864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1347147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48219668</v>
      </c>
      <c r="AO8" s="1">
        <v>5504205</v>
      </c>
      <c r="AP8" s="1">
        <v>42715463</v>
      </c>
      <c r="AQ8" s="1">
        <v>8977172</v>
      </c>
      <c r="AR8" s="1">
        <v>1346576</v>
      </c>
      <c r="AS8" s="1">
        <v>0</v>
      </c>
      <c r="AT8" s="1">
        <f t="shared" si="2"/>
        <v>58543416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6331421</v>
      </c>
      <c r="G9" s="1">
        <v>7073331</v>
      </c>
      <c r="H9" s="1">
        <v>0</v>
      </c>
      <c r="I9" s="1">
        <v>6078164</v>
      </c>
      <c r="J9" s="1">
        <v>0</v>
      </c>
      <c r="K9" s="1">
        <v>0</v>
      </c>
      <c r="L9" s="1">
        <v>3500010</v>
      </c>
      <c r="M9" s="1">
        <v>400000</v>
      </c>
      <c r="N9" s="1">
        <v>3354395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6783832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35732422</v>
      </c>
      <c r="AO9" s="1">
        <v>8365394</v>
      </c>
      <c r="AP9" s="1">
        <v>27367028</v>
      </c>
      <c r="AQ9" s="1">
        <v>6924231</v>
      </c>
      <c r="AR9" s="1">
        <v>1038635</v>
      </c>
      <c r="AS9" s="1">
        <v>0</v>
      </c>
      <c r="AT9" s="1">
        <f t="shared" si="2"/>
        <v>43695288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6707746</v>
      </c>
      <c r="G10" s="1">
        <v>6875008</v>
      </c>
      <c r="H10" s="1">
        <v>0</v>
      </c>
      <c r="I10" s="1">
        <v>6506514</v>
      </c>
      <c r="J10" s="1">
        <v>0</v>
      </c>
      <c r="K10" s="1">
        <v>0</v>
      </c>
      <c r="L10" s="1">
        <v>3500010</v>
      </c>
      <c r="M10" s="1">
        <v>400000</v>
      </c>
      <c r="N10" s="1">
        <v>3553773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5049445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3040207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2444447</v>
      </c>
      <c r="AK10" s="1">
        <v>0</v>
      </c>
      <c r="AL10" s="1">
        <v>0</v>
      </c>
      <c r="AM10" s="1">
        <v>0</v>
      </c>
      <c r="AN10" s="1">
        <v>43622226</v>
      </c>
      <c r="AO10" s="1">
        <v>6132455</v>
      </c>
      <c r="AP10" s="1">
        <v>37489771</v>
      </c>
      <c r="AQ10" s="1">
        <v>7835430</v>
      </c>
      <c r="AR10" s="1">
        <v>1175315</v>
      </c>
      <c r="AS10" s="1">
        <v>0</v>
      </c>
      <c r="AT10" s="1">
        <f t="shared" si="2"/>
        <v>52632971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5994533</v>
      </c>
      <c r="G11" s="1">
        <v>5067869</v>
      </c>
      <c r="H11" s="1">
        <v>0</v>
      </c>
      <c r="I11" s="1">
        <v>5574916</v>
      </c>
      <c r="J11" s="1">
        <v>0</v>
      </c>
      <c r="K11" s="1">
        <v>0</v>
      </c>
      <c r="L11" s="1">
        <v>3662450</v>
      </c>
      <c r="M11" s="1">
        <v>400000</v>
      </c>
      <c r="N11" s="1">
        <v>3155017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6496590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33673913</v>
      </c>
      <c r="AO11" s="1">
        <v>3136086</v>
      </c>
      <c r="AP11" s="1">
        <v>30537827</v>
      </c>
      <c r="AQ11" s="1">
        <v>6290275</v>
      </c>
      <c r="AR11" s="1">
        <v>943541</v>
      </c>
      <c r="AS11" s="1">
        <v>0</v>
      </c>
      <c r="AT11" s="1">
        <f t="shared" si="2"/>
        <v>40907729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6275683</v>
      </c>
      <c r="G12" s="1">
        <v>6358890</v>
      </c>
      <c r="H12" s="1">
        <v>0</v>
      </c>
      <c r="I12" s="1">
        <v>5773628</v>
      </c>
      <c r="J12" s="1">
        <v>0</v>
      </c>
      <c r="K12" s="1">
        <v>0</v>
      </c>
      <c r="L12" s="1">
        <v>3500010</v>
      </c>
      <c r="M12" s="1">
        <v>400000</v>
      </c>
      <c r="N12" s="1">
        <v>3260095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6736255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2821412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39925691</v>
      </c>
      <c r="AO12" s="1">
        <v>5010546</v>
      </c>
      <c r="AP12" s="1">
        <v>34915145</v>
      </c>
      <c r="AQ12" s="1">
        <v>7985138</v>
      </c>
      <c r="AR12" s="1">
        <v>1197771</v>
      </c>
      <c r="AS12" s="1">
        <v>0</v>
      </c>
      <c r="AT12" s="1">
        <f t="shared" si="2"/>
        <v>49108600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7710271</v>
      </c>
      <c r="G13" s="1">
        <v>4510141</v>
      </c>
      <c r="H13" s="1">
        <v>0</v>
      </c>
      <c r="I13" s="1">
        <v>6862140</v>
      </c>
      <c r="J13" s="1">
        <v>0</v>
      </c>
      <c r="K13" s="1">
        <v>0</v>
      </c>
      <c r="L13" s="1">
        <v>3345440</v>
      </c>
      <c r="M13" s="1">
        <v>400000</v>
      </c>
      <c r="N13" s="1">
        <v>4112144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7865799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38128473</v>
      </c>
      <c r="AO13" s="1">
        <v>3884450</v>
      </c>
      <c r="AP13" s="1">
        <v>34244023</v>
      </c>
      <c r="AQ13" s="1">
        <v>7181187</v>
      </c>
      <c r="AR13" s="1">
        <v>1077178</v>
      </c>
      <c r="AS13" s="1">
        <v>0</v>
      </c>
      <c r="AT13" s="1">
        <f t="shared" si="2"/>
        <v>46386838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7815814</v>
      </c>
      <c r="G14" s="1">
        <v>3378205</v>
      </c>
      <c r="H14" s="1">
        <v>0</v>
      </c>
      <c r="I14" s="1">
        <v>5314754</v>
      </c>
      <c r="J14" s="1">
        <v>0</v>
      </c>
      <c r="K14" s="1">
        <v>0</v>
      </c>
      <c r="L14" s="1">
        <v>3345440</v>
      </c>
      <c r="M14" s="1">
        <v>400000</v>
      </c>
      <c r="N14" s="1">
        <v>4168435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7346403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3096666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4053847</v>
      </c>
      <c r="AK14" s="1">
        <v>0</v>
      </c>
      <c r="AL14" s="1">
        <v>0</v>
      </c>
      <c r="AM14" s="1">
        <v>0</v>
      </c>
      <c r="AN14" s="1">
        <v>40019564</v>
      </c>
      <c r="AO14" s="1">
        <v>5137540</v>
      </c>
      <c r="AP14" s="1">
        <v>34882024</v>
      </c>
      <c r="AQ14" s="1">
        <v>8003913</v>
      </c>
      <c r="AR14" s="1">
        <v>1200587</v>
      </c>
      <c r="AS14" s="1">
        <v>0</v>
      </c>
      <c r="AT14" s="1">
        <f t="shared" si="2"/>
        <v>49224064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6272315</v>
      </c>
      <c r="G15" s="1">
        <v>7700895</v>
      </c>
      <c r="H15" s="1">
        <v>0</v>
      </c>
      <c r="I15" s="1">
        <v>5958700</v>
      </c>
      <c r="J15" s="1">
        <v>0</v>
      </c>
      <c r="K15" s="1">
        <v>0</v>
      </c>
      <c r="L15" s="1">
        <v>3764923</v>
      </c>
      <c r="M15" s="1">
        <v>400000</v>
      </c>
      <c r="N15" s="1">
        <v>3136158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5043725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1347147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35835132</v>
      </c>
      <c r="AO15" s="1">
        <v>4229727</v>
      </c>
      <c r="AP15" s="1">
        <v>31605405</v>
      </c>
      <c r="AQ15" s="1">
        <v>6944773</v>
      </c>
      <c r="AR15" s="1">
        <v>1041716</v>
      </c>
      <c r="AS15" s="1">
        <v>0</v>
      </c>
      <c r="AT15" s="1">
        <f t="shared" si="2"/>
        <v>43821621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5070660</v>
      </c>
      <c r="G16" s="1">
        <v>2509804</v>
      </c>
      <c r="H16" s="1">
        <v>0</v>
      </c>
      <c r="I16" s="1">
        <v>4360768</v>
      </c>
      <c r="J16" s="1">
        <v>0</v>
      </c>
      <c r="K16" s="1">
        <v>0</v>
      </c>
      <c r="L16" s="1">
        <v>5385924</v>
      </c>
      <c r="M16" s="1">
        <v>400000</v>
      </c>
      <c r="N16" s="1">
        <v>2376871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6572088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29998653</v>
      </c>
      <c r="AO16" s="1">
        <v>3120852</v>
      </c>
      <c r="AP16" s="1">
        <v>26877801</v>
      </c>
      <c r="AQ16" s="1">
        <v>5555223</v>
      </c>
      <c r="AR16" s="1">
        <v>833283</v>
      </c>
      <c r="AS16" s="1">
        <v>0</v>
      </c>
      <c r="AT16" s="1">
        <f t="shared" si="2"/>
        <v>36387159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6711215</v>
      </c>
      <c r="G17" s="1">
        <v>4093488</v>
      </c>
      <c r="H17" s="1">
        <v>0</v>
      </c>
      <c r="I17" s="1">
        <v>6040094</v>
      </c>
      <c r="J17" s="1">
        <v>0</v>
      </c>
      <c r="K17" s="1">
        <v>0</v>
      </c>
      <c r="L17" s="1">
        <v>3500010</v>
      </c>
      <c r="M17" s="1">
        <v>400000</v>
      </c>
      <c r="N17" s="1">
        <v>3532218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4883714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32483277</v>
      </c>
      <c r="AO17" s="1">
        <v>4646058</v>
      </c>
      <c r="AP17" s="1">
        <v>27837219</v>
      </c>
      <c r="AQ17" s="1">
        <v>6052148</v>
      </c>
      <c r="AR17" s="1">
        <v>907822</v>
      </c>
      <c r="AS17" s="1">
        <v>0</v>
      </c>
      <c r="AT17" s="1">
        <f t="shared" si="2"/>
        <v>39443247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8472410</v>
      </c>
      <c r="G18" s="1">
        <v>11583004</v>
      </c>
      <c r="H18" s="1">
        <v>0</v>
      </c>
      <c r="I18" s="1">
        <v>7116824</v>
      </c>
      <c r="J18" s="1">
        <v>0</v>
      </c>
      <c r="K18" s="1">
        <v>0</v>
      </c>
      <c r="L18" s="1">
        <v>3345440</v>
      </c>
      <c r="M18" s="1">
        <v>400000</v>
      </c>
      <c r="N18" s="1">
        <v>4372857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8593224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1481320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47576348</v>
      </c>
      <c r="AO18" s="1">
        <v>6506585</v>
      </c>
      <c r="AP18" s="1">
        <v>41069763</v>
      </c>
      <c r="AQ18" s="1">
        <v>9293016</v>
      </c>
      <c r="AR18" s="1">
        <v>1393952</v>
      </c>
      <c r="AS18" s="1">
        <v>0</v>
      </c>
      <c r="AT18" s="1">
        <f t="shared" si="2"/>
        <v>58263316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7117986</v>
      </c>
      <c r="G19" s="1">
        <v>7621914</v>
      </c>
      <c r="H19" s="1">
        <v>0</v>
      </c>
      <c r="I19" s="1">
        <v>6975626</v>
      </c>
      <c r="J19" s="1">
        <v>0</v>
      </c>
      <c r="K19" s="1">
        <v>0</v>
      </c>
      <c r="L19" s="1">
        <v>3500010</v>
      </c>
      <c r="M19" s="1">
        <v>400000</v>
      </c>
      <c r="N19" s="1">
        <v>3796260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7480061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2222538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40214395</v>
      </c>
      <c r="AO19" s="1">
        <v>7160095</v>
      </c>
      <c r="AP19" s="1">
        <v>33054300</v>
      </c>
      <c r="AQ19" s="1">
        <v>7598371</v>
      </c>
      <c r="AR19" s="1">
        <v>1139756</v>
      </c>
      <c r="AS19" s="1">
        <v>0</v>
      </c>
      <c r="AT19" s="1">
        <f t="shared" si="2"/>
        <v>48952522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7188412</v>
      </c>
      <c r="G20" s="1">
        <v>11602847</v>
      </c>
      <c r="H20" s="1">
        <v>0</v>
      </c>
      <c r="I20" s="1">
        <v>6900875</v>
      </c>
      <c r="J20" s="1">
        <v>0</v>
      </c>
      <c r="K20" s="1">
        <v>0</v>
      </c>
      <c r="L20" s="1">
        <v>3379320</v>
      </c>
      <c r="M20" s="1">
        <v>386207</v>
      </c>
      <c r="N20" s="1">
        <v>3808430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5725951</v>
      </c>
      <c r="W20" s="1">
        <v>1062069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1072949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41127060</v>
      </c>
      <c r="AO20" s="1">
        <v>12620033</v>
      </c>
      <c r="AP20" s="1">
        <v>28507027</v>
      </c>
      <c r="AQ20" s="1">
        <v>8010822</v>
      </c>
      <c r="AR20" s="1">
        <v>1201623</v>
      </c>
      <c r="AS20" s="1">
        <v>0</v>
      </c>
      <c r="AT20" s="1">
        <f t="shared" si="2"/>
        <v>50339505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12963355</v>
      </c>
      <c r="G21" s="1">
        <v>5027714</v>
      </c>
      <c r="H21" s="1">
        <v>0</v>
      </c>
      <c r="I21" s="1">
        <v>10398236</v>
      </c>
      <c r="J21" s="1">
        <v>0</v>
      </c>
      <c r="K21" s="1">
        <v>4620000</v>
      </c>
      <c r="L21" s="1">
        <v>0</v>
      </c>
      <c r="M21" s="1">
        <v>400000</v>
      </c>
      <c r="N21" s="1">
        <v>2491498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7588590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1779641</v>
      </c>
      <c r="AF21" s="1">
        <v>1111269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3986396</v>
      </c>
      <c r="AM21" s="1">
        <v>0</v>
      </c>
      <c r="AN21" s="1">
        <v>51466699</v>
      </c>
      <c r="AO21" s="1">
        <v>7263870</v>
      </c>
      <c r="AP21" s="1">
        <v>44202829</v>
      </c>
      <c r="AQ21" s="1">
        <v>10071086</v>
      </c>
      <c r="AR21" s="1">
        <v>1510663</v>
      </c>
      <c r="AS21" s="1">
        <v>0</v>
      </c>
      <c r="AT21" s="1">
        <f t="shared" si="2"/>
        <v>63048448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7243655</v>
      </c>
      <c r="G22" s="1">
        <v>1820395</v>
      </c>
      <c r="H22" s="1">
        <v>0</v>
      </c>
      <c r="I22" s="1">
        <v>5939797</v>
      </c>
      <c r="J22" s="1">
        <v>0</v>
      </c>
      <c r="K22" s="1">
        <v>0</v>
      </c>
      <c r="L22" s="1">
        <v>3345440</v>
      </c>
      <c r="M22" s="1">
        <v>400000</v>
      </c>
      <c r="N22" s="1">
        <v>3863282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9774373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3058826</v>
      </c>
      <c r="AE22" s="1">
        <v>0</v>
      </c>
      <c r="AF22" s="1">
        <v>2222538</v>
      </c>
      <c r="AG22" s="1">
        <v>0</v>
      </c>
      <c r="AH22" s="1">
        <v>0</v>
      </c>
      <c r="AI22" s="1">
        <v>0</v>
      </c>
      <c r="AJ22" s="1">
        <v>4368948</v>
      </c>
      <c r="AK22" s="1">
        <v>0</v>
      </c>
      <c r="AL22" s="1">
        <v>0</v>
      </c>
      <c r="AM22" s="1">
        <v>0</v>
      </c>
      <c r="AN22" s="1">
        <v>43137254</v>
      </c>
      <c r="AO22" s="1">
        <v>4725926</v>
      </c>
      <c r="AP22" s="1">
        <v>38411328</v>
      </c>
      <c r="AQ22" s="1">
        <v>8182943</v>
      </c>
      <c r="AR22" s="1">
        <v>1227441</v>
      </c>
      <c r="AS22" s="1">
        <v>0</v>
      </c>
      <c r="AT22" s="1">
        <f t="shared" si="2"/>
        <v>52547638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6881225</v>
      </c>
      <c r="G23" s="1">
        <v>3401622</v>
      </c>
      <c r="H23" s="1">
        <v>0</v>
      </c>
      <c r="I23" s="1">
        <v>6674789</v>
      </c>
      <c r="J23" s="1">
        <v>0</v>
      </c>
      <c r="K23" s="1">
        <v>0</v>
      </c>
      <c r="L23" s="1">
        <v>3877189</v>
      </c>
      <c r="M23" s="1">
        <v>400000</v>
      </c>
      <c r="N23" s="1">
        <v>3440612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7311050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3131072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4081946</v>
      </c>
      <c r="AK23" s="1">
        <v>0</v>
      </c>
      <c r="AL23" s="1">
        <v>0</v>
      </c>
      <c r="AM23" s="1">
        <v>0</v>
      </c>
      <c r="AN23" s="1">
        <v>42522043</v>
      </c>
      <c r="AO23" s="1">
        <v>5356654</v>
      </c>
      <c r="AP23" s="1">
        <v>37165389</v>
      </c>
      <c r="AQ23" s="1">
        <v>8059901</v>
      </c>
      <c r="AR23" s="1">
        <v>1208985</v>
      </c>
      <c r="AS23" s="1">
        <v>0</v>
      </c>
      <c r="AT23" s="1">
        <f t="shared" si="2"/>
        <v>51790929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12090695</v>
      </c>
      <c r="G24" s="1">
        <v>0</v>
      </c>
      <c r="H24" s="1">
        <v>0</v>
      </c>
      <c r="I24" s="1">
        <v>10684851</v>
      </c>
      <c r="J24" s="1">
        <v>0</v>
      </c>
      <c r="K24" s="1">
        <v>4620000</v>
      </c>
      <c r="L24" s="1">
        <v>0</v>
      </c>
      <c r="M24" s="1">
        <v>400000</v>
      </c>
      <c r="N24" s="1">
        <v>2224472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12684985</v>
      </c>
      <c r="W24" s="1">
        <v>1100000</v>
      </c>
      <c r="X24" s="1">
        <v>1876142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1588909</v>
      </c>
      <c r="AF24" s="1">
        <v>2222538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7694815</v>
      </c>
      <c r="AM24" s="1">
        <v>0</v>
      </c>
      <c r="AN24" s="1">
        <v>57187407</v>
      </c>
      <c r="AO24" s="1">
        <v>10972020</v>
      </c>
      <c r="AP24" s="1">
        <v>46215387</v>
      </c>
      <c r="AQ24" s="1">
        <v>10992974</v>
      </c>
      <c r="AR24" s="1">
        <v>1648946</v>
      </c>
      <c r="AS24" s="1">
        <v>0</v>
      </c>
      <c r="AT24" s="1">
        <f t="shared" si="2"/>
        <v>69829327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12265303</v>
      </c>
      <c r="G25" s="1">
        <v>7213826</v>
      </c>
      <c r="H25" s="1">
        <v>0</v>
      </c>
      <c r="I25" s="1">
        <v>10733414</v>
      </c>
      <c r="J25" s="1">
        <v>0</v>
      </c>
      <c r="K25" s="1">
        <v>4620000</v>
      </c>
      <c r="L25" s="1">
        <v>0</v>
      </c>
      <c r="M25" s="1">
        <v>400000</v>
      </c>
      <c r="N25" s="1">
        <v>2267982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1342000</v>
      </c>
      <c r="U25" s="1">
        <v>0</v>
      </c>
      <c r="V25" s="1">
        <v>11270085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1619986</v>
      </c>
      <c r="AF25" s="1">
        <v>1111269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5313558</v>
      </c>
      <c r="AM25" s="1">
        <v>0</v>
      </c>
      <c r="AN25" s="1">
        <v>59257423</v>
      </c>
      <c r="AO25" s="1">
        <v>11447683</v>
      </c>
      <c r="AP25" s="1">
        <v>47809740</v>
      </c>
      <c r="AQ25" s="1">
        <v>11360831</v>
      </c>
      <c r="AR25" s="1">
        <v>1704125</v>
      </c>
      <c r="AS25" s="1">
        <v>0</v>
      </c>
      <c r="AT25" s="1">
        <f t="shared" si="2"/>
        <v>72322379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6501330</v>
      </c>
      <c r="G26" s="1">
        <v>1902381</v>
      </c>
      <c r="H26" s="1">
        <v>0</v>
      </c>
      <c r="I26" s="1">
        <v>5396103</v>
      </c>
      <c r="J26" s="1">
        <v>0</v>
      </c>
      <c r="K26" s="1">
        <v>0</v>
      </c>
      <c r="L26" s="1">
        <v>3591697</v>
      </c>
      <c r="M26" s="1">
        <v>400000</v>
      </c>
      <c r="N26" s="1">
        <v>3421753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9111496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2836633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2705609</v>
      </c>
      <c r="AK26" s="1">
        <v>0</v>
      </c>
      <c r="AL26" s="1">
        <v>0</v>
      </c>
      <c r="AM26" s="1">
        <v>0</v>
      </c>
      <c r="AN26" s="1">
        <v>41412078</v>
      </c>
      <c r="AO26" s="1">
        <v>4284965</v>
      </c>
      <c r="AP26" s="1">
        <v>37127113</v>
      </c>
      <c r="AQ26" s="1">
        <v>7393400</v>
      </c>
      <c r="AR26" s="1">
        <v>1109010</v>
      </c>
      <c r="AS26" s="1">
        <v>0</v>
      </c>
      <c r="AT26" s="1">
        <f t="shared" si="2"/>
        <v>49914488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5307758</v>
      </c>
      <c r="G27" s="1">
        <v>338398</v>
      </c>
      <c r="H27" s="1">
        <v>0</v>
      </c>
      <c r="I27" s="1">
        <v>4936215</v>
      </c>
      <c r="J27" s="1">
        <v>0</v>
      </c>
      <c r="K27" s="1">
        <v>0</v>
      </c>
      <c r="L27" s="1">
        <v>3641554</v>
      </c>
      <c r="M27" s="1">
        <v>400000</v>
      </c>
      <c r="N27" s="1">
        <v>2653879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5891531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1111269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25380604</v>
      </c>
      <c r="AO27" s="1">
        <v>3344612</v>
      </c>
      <c r="AP27" s="1">
        <v>22035992</v>
      </c>
      <c r="AQ27" s="1">
        <v>4853867</v>
      </c>
      <c r="AR27" s="1">
        <v>728080</v>
      </c>
      <c r="AS27" s="1">
        <v>0</v>
      </c>
      <c r="AT27" s="1">
        <f t="shared" si="2"/>
        <v>30962551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6266926</v>
      </c>
      <c r="G28" s="1">
        <v>2561548</v>
      </c>
      <c r="H28" s="1">
        <v>0</v>
      </c>
      <c r="I28" s="1">
        <v>6016249</v>
      </c>
      <c r="J28" s="1">
        <v>0</v>
      </c>
      <c r="K28" s="1">
        <v>0</v>
      </c>
      <c r="L28" s="1">
        <v>3685352</v>
      </c>
      <c r="M28" s="1">
        <v>400000</v>
      </c>
      <c r="N28" s="1">
        <v>3133464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9197016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33471824</v>
      </c>
      <c r="AO28" s="1">
        <v>6147655</v>
      </c>
      <c r="AP28" s="1">
        <v>27324169</v>
      </c>
      <c r="AQ28" s="1">
        <v>6472111</v>
      </c>
      <c r="AR28" s="1">
        <v>970817</v>
      </c>
      <c r="AS28" s="1">
        <v>0</v>
      </c>
      <c r="AT28" s="1">
        <f t="shared" si="2"/>
        <v>40914752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5798523</v>
      </c>
      <c r="G29" s="1">
        <v>6670369</v>
      </c>
      <c r="H29" s="1">
        <v>0</v>
      </c>
      <c r="I29" s="1">
        <v>5508597</v>
      </c>
      <c r="J29" s="1">
        <v>0</v>
      </c>
      <c r="K29" s="1">
        <v>0</v>
      </c>
      <c r="L29" s="1">
        <v>3826816</v>
      </c>
      <c r="M29" s="1">
        <v>400000</v>
      </c>
      <c r="N29" s="1">
        <v>3012220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6417742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34956805</v>
      </c>
      <c r="AO29" s="1">
        <v>3351611</v>
      </c>
      <c r="AP29" s="1">
        <v>31605194</v>
      </c>
      <c r="AQ29" s="1">
        <v>6546853</v>
      </c>
      <c r="AR29" s="1">
        <v>982028</v>
      </c>
      <c r="AS29" s="1">
        <v>0</v>
      </c>
      <c r="AT29" s="1">
        <f t="shared" si="2"/>
        <v>42485686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12403928</v>
      </c>
      <c r="G30" s="1">
        <v>2993535</v>
      </c>
      <c r="H30" s="1">
        <v>0</v>
      </c>
      <c r="I30" s="1">
        <v>10505712</v>
      </c>
      <c r="J30" s="1">
        <v>0</v>
      </c>
      <c r="K30" s="1">
        <v>3465000</v>
      </c>
      <c r="L30" s="1">
        <v>0</v>
      </c>
      <c r="M30" s="1">
        <v>400000</v>
      </c>
      <c r="N30" s="1">
        <v>2319701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8318170</v>
      </c>
      <c r="W30" s="1">
        <v>1100000</v>
      </c>
      <c r="X30" s="1">
        <v>1924748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1656930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8890800</v>
      </c>
      <c r="AM30" s="1">
        <v>0</v>
      </c>
      <c r="AN30" s="1">
        <v>53978524</v>
      </c>
      <c r="AO30" s="1">
        <v>7770225</v>
      </c>
      <c r="AP30" s="1">
        <v>46208299</v>
      </c>
      <c r="AQ30" s="1">
        <v>10795705</v>
      </c>
      <c r="AR30" s="1">
        <v>1619356</v>
      </c>
      <c r="AS30" s="1">
        <v>0</v>
      </c>
      <c r="AT30" s="1">
        <f t="shared" si="2"/>
        <v>66393585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12770998</v>
      </c>
      <c r="G31" s="1">
        <v>6718013</v>
      </c>
      <c r="H31" s="1">
        <v>0</v>
      </c>
      <c r="I31" s="1">
        <v>11519267</v>
      </c>
      <c r="J31" s="1">
        <v>0</v>
      </c>
      <c r="K31" s="1">
        <v>4620000</v>
      </c>
      <c r="L31" s="1">
        <v>0</v>
      </c>
      <c r="M31" s="1">
        <v>400000</v>
      </c>
      <c r="N31" s="1">
        <v>2450375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10859125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1750269</v>
      </c>
      <c r="AF31" s="1">
        <v>1111269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5180795</v>
      </c>
      <c r="AM31" s="1">
        <v>0</v>
      </c>
      <c r="AN31" s="1">
        <v>58480111</v>
      </c>
      <c r="AO31" s="1">
        <v>8946341</v>
      </c>
      <c r="AP31" s="1">
        <v>49533770</v>
      </c>
      <c r="AQ31" s="1">
        <v>11473768</v>
      </c>
      <c r="AR31" s="1">
        <v>1721065</v>
      </c>
      <c r="AS31" s="1">
        <v>0</v>
      </c>
      <c r="AT31" s="1">
        <f t="shared" si="2"/>
        <v>71674944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6748431</v>
      </c>
      <c r="G32" s="1">
        <v>6209068</v>
      </c>
      <c r="H32" s="1">
        <v>0</v>
      </c>
      <c r="I32" s="1">
        <v>6141072</v>
      </c>
      <c r="J32" s="1">
        <v>0</v>
      </c>
      <c r="K32" s="1">
        <v>0</v>
      </c>
      <c r="L32" s="1">
        <v>3500010</v>
      </c>
      <c r="M32" s="1">
        <v>400000</v>
      </c>
      <c r="N32" s="1">
        <v>3575327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4978950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2994726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4816732</v>
      </c>
      <c r="AK32" s="1">
        <v>0</v>
      </c>
      <c r="AL32" s="1">
        <v>0</v>
      </c>
      <c r="AM32" s="1">
        <v>0</v>
      </c>
      <c r="AN32" s="1">
        <v>41575585</v>
      </c>
      <c r="AO32" s="1">
        <v>4539132</v>
      </c>
      <c r="AP32" s="1">
        <v>37036453</v>
      </c>
      <c r="AQ32" s="1">
        <v>8092863</v>
      </c>
      <c r="AR32" s="1">
        <v>1213929</v>
      </c>
      <c r="AS32" s="1">
        <v>0</v>
      </c>
      <c r="AT32" s="1">
        <f t="shared" si="2"/>
        <v>50882377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6445019</v>
      </c>
      <c r="G33" s="1">
        <v>4828401</v>
      </c>
      <c r="H33" s="1">
        <v>0</v>
      </c>
      <c r="I33" s="1">
        <v>5478266</v>
      </c>
      <c r="J33" s="1">
        <v>0</v>
      </c>
      <c r="K33" s="1">
        <v>0</v>
      </c>
      <c r="L33" s="1">
        <v>3500010</v>
      </c>
      <c r="M33" s="1">
        <v>400000</v>
      </c>
      <c r="N33" s="1">
        <v>3392116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6788913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31932725</v>
      </c>
      <c r="AO33" s="1">
        <v>3679212</v>
      </c>
      <c r="AP33" s="1">
        <v>28253513</v>
      </c>
      <c r="AQ33" s="1">
        <v>6386545</v>
      </c>
      <c r="AR33" s="1">
        <v>957982</v>
      </c>
      <c r="AS33" s="1">
        <v>0</v>
      </c>
      <c r="AT33" s="1">
        <f t="shared" si="2"/>
        <v>39277252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6732304</v>
      </c>
      <c r="G34" s="1">
        <v>1514097</v>
      </c>
      <c r="H34" s="1">
        <v>0</v>
      </c>
      <c r="I34" s="1">
        <v>6463011</v>
      </c>
      <c r="J34" s="1">
        <v>0</v>
      </c>
      <c r="K34" s="1">
        <v>0</v>
      </c>
      <c r="L34" s="1">
        <v>3345440</v>
      </c>
      <c r="M34" s="1">
        <v>400000</v>
      </c>
      <c r="N34" s="1">
        <v>3543318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5006671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3012611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1211277</v>
      </c>
      <c r="AK34" s="1">
        <v>0</v>
      </c>
      <c r="AL34" s="1">
        <v>0</v>
      </c>
      <c r="AM34" s="1">
        <v>0</v>
      </c>
      <c r="AN34" s="1">
        <v>34551267</v>
      </c>
      <c r="AO34" s="1">
        <v>3283480</v>
      </c>
      <c r="AP34" s="1">
        <v>31267787</v>
      </c>
      <c r="AQ34" s="1">
        <v>6465746</v>
      </c>
      <c r="AR34" s="1">
        <v>969862</v>
      </c>
      <c r="AS34" s="1">
        <v>0</v>
      </c>
      <c r="AT34" s="1">
        <f t="shared" si="2"/>
        <v>41986875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6353144</v>
      </c>
      <c r="G35" s="1">
        <v>4613387</v>
      </c>
      <c r="H35" s="1">
        <v>0</v>
      </c>
      <c r="I35" s="1">
        <v>5908423</v>
      </c>
      <c r="J35" s="1">
        <v>0</v>
      </c>
      <c r="K35" s="1">
        <v>0</v>
      </c>
      <c r="L35" s="1">
        <v>3844911</v>
      </c>
      <c r="M35" s="1">
        <v>400000</v>
      </c>
      <c r="N35" s="1">
        <v>3176572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7308400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34927375</v>
      </c>
      <c r="AO35" s="1">
        <v>5605383</v>
      </c>
      <c r="AP35" s="1">
        <v>29321992</v>
      </c>
      <c r="AQ35" s="1">
        <v>6540967</v>
      </c>
      <c r="AR35" s="1">
        <v>981145</v>
      </c>
      <c r="AS35" s="1">
        <v>0</v>
      </c>
      <c r="AT35" s="1">
        <f t="shared" si="2"/>
        <v>42449487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7216294</v>
      </c>
      <c r="G36" s="1">
        <v>404241</v>
      </c>
      <c r="H36" s="1">
        <v>0</v>
      </c>
      <c r="I36" s="1">
        <v>6927643</v>
      </c>
      <c r="J36" s="1">
        <v>0</v>
      </c>
      <c r="K36" s="1">
        <v>0</v>
      </c>
      <c r="L36" s="1">
        <v>3500010</v>
      </c>
      <c r="M36" s="1">
        <v>400000</v>
      </c>
      <c r="N36" s="1">
        <v>3823202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5328237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3220072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2587141</v>
      </c>
      <c r="AK36" s="1">
        <v>0</v>
      </c>
      <c r="AL36" s="1">
        <v>0</v>
      </c>
      <c r="AM36" s="1">
        <v>0</v>
      </c>
      <c r="AN36" s="1">
        <v>35618109</v>
      </c>
      <c r="AO36" s="1">
        <v>6729198</v>
      </c>
      <c r="AP36" s="1">
        <v>28888911</v>
      </c>
      <c r="AQ36" s="1">
        <v>6901368</v>
      </c>
      <c r="AR36" s="1">
        <v>1035205</v>
      </c>
      <c r="AS36" s="1">
        <v>0</v>
      </c>
      <c r="AT36" s="1">
        <f t="shared" si="2"/>
        <v>43554682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6035487</v>
      </c>
      <c r="G37" s="1">
        <v>2711356</v>
      </c>
      <c r="H37" s="1">
        <v>0</v>
      </c>
      <c r="I37" s="1">
        <v>6156196</v>
      </c>
      <c r="J37" s="1">
        <v>0</v>
      </c>
      <c r="K37" s="1">
        <v>0</v>
      </c>
      <c r="L37" s="1">
        <v>3500010</v>
      </c>
      <c r="M37" s="1">
        <v>400000</v>
      </c>
      <c r="N37" s="1">
        <v>3176572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6806619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2830240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38657449</v>
      </c>
      <c r="AO37" s="1">
        <v>4637567</v>
      </c>
      <c r="AP37" s="1">
        <v>34019882</v>
      </c>
      <c r="AQ37" s="1">
        <v>7286982</v>
      </c>
      <c r="AR37" s="1">
        <v>1093047</v>
      </c>
      <c r="AS37" s="1">
        <v>0</v>
      </c>
      <c r="AT37" s="1">
        <f t="shared" si="2"/>
        <v>47037478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7110336</v>
      </c>
      <c r="G38" s="1">
        <v>6287546</v>
      </c>
      <c r="H38" s="1">
        <v>0</v>
      </c>
      <c r="I38" s="1">
        <v>5972682</v>
      </c>
      <c r="J38" s="1">
        <v>0</v>
      </c>
      <c r="K38" s="1">
        <v>0</v>
      </c>
      <c r="L38" s="1">
        <v>3345440</v>
      </c>
      <c r="M38" s="1">
        <v>400000</v>
      </c>
      <c r="N38" s="1">
        <v>3792179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5038423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3033096</v>
      </c>
      <c r="AE38" s="1">
        <v>0</v>
      </c>
      <c r="AF38" s="1">
        <v>3333807</v>
      </c>
      <c r="AG38" s="1">
        <v>0</v>
      </c>
      <c r="AH38" s="1">
        <v>0</v>
      </c>
      <c r="AI38" s="1">
        <v>0</v>
      </c>
      <c r="AJ38" s="1">
        <v>3658209</v>
      </c>
      <c r="AK38" s="1">
        <v>0</v>
      </c>
      <c r="AL38" s="1">
        <v>0</v>
      </c>
      <c r="AM38" s="1">
        <v>0</v>
      </c>
      <c r="AN38" s="1">
        <v>43071718</v>
      </c>
      <c r="AO38" s="1">
        <v>6135788</v>
      </c>
      <c r="AP38" s="1">
        <v>36935930</v>
      </c>
      <c r="AQ38" s="1">
        <v>7947582</v>
      </c>
      <c r="AR38" s="1">
        <v>1192137</v>
      </c>
      <c r="AS38" s="1">
        <v>0</v>
      </c>
      <c r="AT38" s="1">
        <f t="shared" si="2"/>
        <v>52211437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8691200</v>
      </c>
      <c r="G39" s="1">
        <v>4531008</v>
      </c>
      <c r="H39" s="1">
        <v>0</v>
      </c>
      <c r="I39" s="1">
        <v>8169728</v>
      </c>
      <c r="J39" s="1">
        <v>0</v>
      </c>
      <c r="K39" s="1">
        <v>0</v>
      </c>
      <c r="L39" s="1">
        <v>3345440</v>
      </c>
      <c r="M39" s="1">
        <v>400000</v>
      </c>
      <c r="N39" s="1">
        <v>4574316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8590549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41624779</v>
      </c>
      <c r="AO39" s="1">
        <v>4471831</v>
      </c>
      <c r="AP39" s="1">
        <v>37152948</v>
      </c>
      <c r="AQ39" s="1">
        <v>7880448</v>
      </c>
      <c r="AR39" s="1">
        <v>1182067</v>
      </c>
      <c r="AS39" s="1">
        <v>0</v>
      </c>
      <c r="AT39" s="1">
        <f t="shared" si="2"/>
        <v>50687294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6956935</v>
      </c>
      <c r="G40" s="1">
        <v>6423239</v>
      </c>
      <c r="H40" s="1">
        <v>0</v>
      </c>
      <c r="I40" s="1">
        <v>5426409</v>
      </c>
      <c r="J40" s="1">
        <v>0</v>
      </c>
      <c r="K40" s="1">
        <v>0</v>
      </c>
      <c r="L40" s="1">
        <v>3500010</v>
      </c>
      <c r="M40" s="1">
        <v>400000</v>
      </c>
      <c r="N40" s="1">
        <v>3685794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7041415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38978878</v>
      </c>
      <c r="AO40" s="1">
        <v>4396187</v>
      </c>
      <c r="AP40" s="1">
        <v>34582691</v>
      </c>
      <c r="AQ40" s="1">
        <v>6906760</v>
      </c>
      <c r="AR40" s="1">
        <v>1036014</v>
      </c>
      <c r="AS40" s="1">
        <v>0</v>
      </c>
      <c r="AT40" s="1">
        <f t="shared" si="2"/>
        <v>46921652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5817552</v>
      </c>
      <c r="G41" s="1">
        <v>5047942</v>
      </c>
      <c r="H41" s="1">
        <v>0</v>
      </c>
      <c r="I41" s="1">
        <v>5468499</v>
      </c>
      <c r="J41" s="1">
        <v>0</v>
      </c>
      <c r="K41" s="1">
        <v>0</v>
      </c>
      <c r="L41" s="1">
        <v>3500010</v>
      </c>
      <c r="M41" s="1">
        <v>400000</v>
      </c>
      <c r="N41" s="1">
        <v>3041857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6072544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33782211</v>
      </c>
      <c r="AO41" s="1">
        <v>3078712</v>
      </c>
      <c r="AP41" s="1">
        <v>30703499</v>
      </c>
      <c r="AQ41" s="1">
        <v>6089681</v>
      </c>
      <c r="AR41" s="1">
        <v>913452</v>
      </c>
      <c r="AS41" s="1">
        <v>0</v>
      </c>
      <c r="AT41" s="1">
        <f t="shared" si="2"/>
        <v>40785344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6260730</v>
      </c>
      <c r="G42" s="1">
        <v>4815493</v>
      </c>
      <c r="H42" s="1">
        <v>0</v>
      </c>
      <c r="I42" s="1">
        <v>5822478</v>
      </c>
      <c r="J42" s="1">
        <v>0</v>
      </c>
      <c r="K42" s="1">
        <v>0</v>
      </c>
      <c r="L42" s="1">
        <v>3500010</v>
      </c>
      <c r="M42" s="1">
        <v>400000</v>
      </c>
      <c r="N42" s="1">
        <v>3295121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6657531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32962632</v>
      </c>
      <c r="AO42" s="1">
        <v>3092156</v>
      </c>
      <c r="AP42" s="1">
        <v>29870476</v>
      </c>
      <c r="AQ42" s="1">
        <v>6370273</v>
      </c>
      <c r="AR42" s="1">
        <v>955541</v>
      </c>
      <c r="AS42" s="1">
        <v>0</v>
      </c>
      <c r="AT42" s="1">
        <f t="shared" si="2"/>
        <v>40288446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6481459</v>
      </c>
      <c r="G43" s="1">
        <v>4473744</v>
      </c>
      <c r="H43" s="1">
        <v>0</v>
      </c>
      <c r="I43" s="1">
        <v>4796280</v>
      </c>
      <c r="J43" s="1">
        <v>0</v>
      </c>
      <c r="K43" s="1">
        <v>0</v>
      </c>
      <c r="L43" s="1">
        <v>3500010</v>
      </c>
      <c r="M43" s="1">
        <v>400000</v>
      </c>
      <c r="N43" s="1">
        <v>3456779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4576652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2829496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4404918</v>
      </c>
      <c r="AK43" s="1">
        <v>0</v>
      </c>
      <c r="AL43" s="1">
        <v>0</v>
      </c>
      <c r="AM43" s="1">
        <v>0</v>
      </c>
      <c r="AN43" s="1">
        <v>37130607</v>
      </c>
      <c r="AO43" s="1">
        <v>3792376</v>
      </c>
      <c r="AP43" s="1">
        <v>33338231</v>
      </c>
      <c r="AQ43" s="1">
        <v>7203868</v>
      </c>
      <c r="AR43" s="1">
        <v>1080580</v>
      </c>
      <c r="AS43" s="1">
        <v>0</v>
      </c>
      <c r="AT43" s="1">
        <f t="shared" si="2"/>
        <v>45415055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5625685</v>
      </c>
      <c r="G44" s="1">
        <v>3272325</v>
      </c>
      <c r="H44" s="1">
        <v>0</v>
      </c>
      <c r="I44" s="1">
        <v>5344400</v>
      </c>
      <c r="J44" s="1">
        <v>0</v>
      </c>
      <c r="K44" s="1">
        <v>0</v>
      </c>
      <c r="L44" s="1">
        <v>3906347</v>
      </c>
      <c r="M44" s="1">
        <v>400000</v>
      </c>
      <c r="N44" s="1">
        <v>2812842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6411657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2653391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3490480</v>
      </c>
      <c r="AK44" s="1">
        <v>0</v>
      </c>
      <c r="AL44" s="1">
        <v>0</v>
      </c>
      <c r="AM44" s="1">
        <v>0</v>
      </c>
      <c r="AN44" s="1">
        <v>37239665</v>
      </c>
      <c r="AO44" s="1">
        <v>4357752</v>
      </c>
      <c r="AP44" s="1">
        <v>32881913</v>
      </c>
      <c r="AQ44" s="1">
        <v>7003425</v>
      </c>
      <c r="AR44" s="1">
        <v>1050514</v>
      </c>
      <c r="AS44" s="1">
        <v>0</v>
      </c>
      <c r="AT44" s="1">
        <f t="shared" si="2"/>
        <v>45293604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8980955</v>
      </c>
      <c r="G45" s="1">
        <v>4143059</v>
      </c>
      <c r="H45" s="1">
        <v>0</v>
      </c>
      <c r="I45" s="1">
        <v>8262479</v>
      </c>
      <c r="J45" s="1">
        <v>0</v>
      </c>
      <c r="K45" s="1">
        <v>0</v>
      </c>
      <c r="L45" s="1">
        <v>3500010</v>
      </c>
      <c r="M45" s="1">
        <v>400000</v>
      </c>
      <c r="N45" s="1">
        <v>4758122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8826638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3825235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6628895</v>
      </c>
      <c r="AK45" s="1">
        <v>0</v>
      </c>
      <c r="AL45" s="1">
        <v>0</v>
      </c>
      <c r="AM45" s="1">
        <v>0</v>
      </c>
      <c r="AN45" s="1">
        <v>52647931</v>
      </c>
      <c r="AO45" s="1">
        <v>8546886</v>
      </c>
      <c r="AP45" s="1">
        <v>44101045</v>
      </c>
      <c r="AQ45" s="1">
        <v>10085079</v>
      </c>
      <c r="AR45" s="1">
        <v>1512762</v>
      </c>
      <c r="AS45" s="1">
        <v>0</v>
      </c>
      <c r="AT45" s="1">
        <f t="shared" si="2"/>
        <v>64245772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6895707</v>
      </c>
      <c r="G46" s="1">
        <v>3394797</v>
      </c>
      <c r="H46" s="1">
        <v>0</v>
      </c>
      <c r="I46" s="1">
        <v>6206136</v>
      </c>
      <c r="J46" s="1">
        <v>0</v>
      </c>
      <c r="K46" s="1">
        <v>0</v>
      </c>
      <c r="L46" s="1">
        <v>3500010</v>
      </c>
      <c r="M46" s="1">
        <v>400000</v>
      </c>
      <c r="N46" s="1">
        <v>3677710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9723979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3041935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4345341</v>
      </c>
      <c r="AK46" s="1">
        <v>0</v>
      </c>
      <c r="AL46" s="1">
        <v>0</v>
      </c>
      <c r="AM46" s="1">
        <v>0</v>
      </c>
      <c r="AN46" s="1">
        <v>44508153</v>
      </c>
      <c r="AO46" s="1">
        <v>5815876</v>
      </c>
      <c r="AP46" s="1">
        <v>38692277</v>
      </c>
      <c r="AQ46" s="1">
        <v>8457123</v>
      </c>
      <c r="AR46" s="1">
        <v>1268568</v>
      </c>
      <c r="AS46" s="1">
        <v>0</v>
      </c>
      <c r="AT46" s="1">
        <f t="shared" si="2"/>
        <v>54233844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6374698</v>
      </c>
      <c r="G47" s="1">
        <v>2945446</v>
      </c>
      <c r="H47" s="1">
        <v>0</v>
      </c>
      <c r="I47" s="1">
        <v>5737229</v>
      </c>
      <c r="J47" s="1">
        <v>0</v>
      </c>
      <c r="K47" s="1">
        <v>0</v>
      </c>
      <c r="L47" s="1">
        <v>3836589</v>
      </c>
      <c r="M47" s="1">
        <v>400000</v>
      </c>
      <c r="N47" s="1">
        <v>3187349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6896265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32700114</v>
      </c>
      <c r="AO47" s="1">
        <v>18272486</v>
      </c>
      <c r="AP47" s="1">
        <v>14427628</v>
      </c>
      <c r="AQ47" s="1">
        <v>6095515</v>
      </c>
      <c r="AR47" s="1">
        <v>914327</v>
      </c>
      <c r="AS47" s="1">
        <v>0</v>
      </c>
      <c r="AT47" s="1">
        <f t="shared" si="2"/>
        <v>39709956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13836002</v>
      </c>
      <c r="G48" s="1">
        <v>2044952</v>
      </c>
      <c r="H48" s="1">
        <v>0</v>
      </c>
      <c r="I48" s="1">
        <v>12521812</v>
      </c>
      <c r="J48" s="1">
        <v>0</v>
      </c>
      <c r="K48" s="1">
        <v>4620000</v>
      </c>
      <c r="L48" s="1">
        <v>0</v>
      </c>
      <c r="M48" s="1">
        <v>400000</v>
      </c>
      <c r="N48" s="1">
        <v>2559617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14643479</v>
      </c>
      <c r="W48" s="1">
        <v>1100000</v>
      </c>
      <c r="X48" s="1">
        <v>2146966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1828297</v>
      </c>
      <c r="AF48" s="1">
        <v>1111269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8831243</v>
      </c>
      <c r="AM48" s="1">
        <v>0</v>
      </c>
      <c r="AN48" s="1">
        <v>65643637</v>
      </c>
      <c r="AO48" s="1">
        <v>12659809</v>
      </c>
      <c r="AP48" s="1">
        <v>52983828</v>
      </c>
      <c r="AQ48" s="1">
        <v>12906474</v>
      </c>
      <c r="AR48" s="1">
        <v>1935971</v>
      </c>
      <c r="AS48" s="1">
        <v>0</v>
      </c>
      <c r="AT48" s="1">
        <f t="shared" si="2"/>
        <v>80486082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10204444</v>
      </c>
      <c r="G49" s="1">
        <v>24324606</v>
      </c>
      <c r="H49" s="1">
        <v>0</v>
      </c>
      <c r="I49" s="1">
        <v>8571732</v>
      </c>
      <c r="J49" s="1">
        <v>0</v>
      </c>
      <c r="K49" s="1">
        <v>0</v>
      </c>
      <c r="L49" s="1">
        <v>3345440</v>
      </c>
      <c r="M49" s="1">
        <v>400000</v>
      </c>
      <c r="N49" s="1">
        <v>5442370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9502080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64001941</v>
      </c>
      <c r="AO49" s="1">
        <v>9556759</v>
      </c>
      <c r="AP49" s="1">
        <v>54445182</v>
      </c>
      <c r="AQ49" s="1">
        <v>12578134</v>
      </c>
      <c r="AR49" s="1">
        <v>1886720</v>
      </c>
      <c r="AS49" s="1">
        <v>0</v>
      </c>
      <c r="AT49" s="1">
        <f t="shared" si="2"/>
        <v>78466795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6099341</v>
      </c>
      <c r="G50" s="1">
        <v>2823490</v>
      </c>
      <c r="H50" s="1">
        <v>0</v>
      </c>
      <c r="I50" s="1">
        <v>5672387</v>
      </c>
      <c r="J50" s="1">
        <v>0</v>
      </c>
      <c r="K50" s="1">
        <v>0</v>
      </c>
      <c r="L50" s="1">
        <v>3500010</v>
      </c>
      <c r="M50" s="1">
        <v>400000</v>
      </c>
      <c r="N50" s="1">
        <v>3168489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6514050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31500305</v>
      </c>
      <c r="AO50" s="1">
        <v>3423337</v>
      </c>
      <c r="AP50" s="1">
        <v>28076968</v>
      </c>
      <c r="AQ50" s="1">
        <v>5855553</v>
      </c>
      <c r="AR50" s="1">
        <v>878333</v>
      </c>
      <c r="AS50" s="1">
        <v>0</v>
      </c>
      <c r="AT50" s="1">
        <f t="shared" si="2"/>
        <v>38234191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6362439</v>
      </c>
      <c r="G51" s="1">
        <v>3813744</v>
      </c>
      <c r="H51" s="1">
        <v>0</v>
      </c>
      <c r="I51" s="1">
        <v>5535322</v>
      </c>
      <c r="J51" s="1">
        <v>0</v>
      </c>
      <c r="K51" s="1">
        <v>0</v>
      </c>
      <c r="L51" s="1">
        <v>3524799</v>
      </c>
      <c r="M51" s="1">
        <v>400000</v>
      </c>
      <c r="N51" s="1">
        <v>3262789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6594326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1111269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31704688</v>
      </c>
      <c r="AO51" s="1">
        <v>2880820</v>
      </c>
      <c r="AP51" s="1">
        <v>28823868</v>
      </c>
      <c r="AQ51" s="1">
        <v>6118684</v>
      </c>
      <c r="AR51" s="1">
        <v>917803</v>
      </c>
      <c r="AS51" s="1">
        <v>0</v>
      </c>
      <c r="AT51" s="1">
        <f t="shared" si="2"/>
        <v>38741175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53429756</v>
      </c>
      <c r="G52" s="1">
        <v>22166440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1260000</v>
      </c>
      <c r="Q52" s="1">
        <v>0</v>
      </c>
      <c r="R52" s="1">
        <v>0</v>
      </c>
      <c r="S52" s="1">
        <v>0</v>
      </c>
      <c r="T52" s="1">
        <v>1200000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78056196</v>
      </c>
      <c r="AO52" s="1">
        <v>4439429</v>
      </c>
      <c r="AP52" s="1">
        <v>73616767</v>
      </c>
      <c r="AQ52" s="1">
        <v>0</v>
      </c>
      <c r="AR52" s="1">
        <v>0</v>
      </c>
      <c r="AS52" s="1">
        <v>0</v>
      </c>
      <c r="AT52" s="1">
        <f t="shared" si="2"/>
        <v>78056196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7653141</v>
      </c>
      <c r="G53" s="1">
        <v>11238804</v>
      </c>
      <c r="H53" s="1">
        <v>0</v>
      </c>
      <c r="I53" s="1">
        <v>5663324</v>
      </c>
      <c r="J53" s="1">
        <v>0</v>
      </c>
      <c r="K53" s="1">
        <v>0</v>
      </c>
      <c r="L53" s="1">
        <v>3500010</v>
      </c>
      <c r="M53" s="1">
        <v>400000</v>
      </c>
      <c r="N53" s="1">
        <v>4027969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5294930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41100716</v>
      </c>
      <c r="AO53" s="1">
        <v>4383788</v>
      </c>
      <c r="AP53" s="1">
        <v>36716928</v>
      </c>
      <c r="AQ53" s="1">
        <v>7775636</v>
      </c>
      <c r="AR53" s="1">
        <v>1166345</v>
      </c>
      <c r="AS53" s="1">
        <v>0</v>
      </c>
      <c r="AT53" s="1">
        <f t="shared" si="2"/>
        <v>50042697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16015799</v>
      </c>
      <c r="G54" s="1">
        <v>19215935</v>
      </c>
      <c r="H54" s="1">
        <v>0</v>
      </c>
      <c r="I54" s="1">
        <v>14375164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1260000</v>
      </c>
      <c r="Q54" s="1">
        <v>0</v>
      </c>
      <c r="R54" s="1">
        <v>0</v>
      </c>
      <c r="S54" s="1">
        <v>0</v>
      </c>
      <c r="T54" s="1">
        <v>1200000</v>
      </c>
      <c r="U54" s="1">
        <v>0</v>
      </c>
      <c r="V54" s="1">
        <v>3508931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2401836</v>
      </c>
      <c r="AD54" s="1">
        <v>0</v>
      </c>
      <c r="AE54" s="1">
        <v>0</v>
      </c>
      <c r="AF54" s="1">
        <v>1111269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2296512</v>
      </c>
      <c r="AM54" s="1">
        <v>0</v>
      </c>
      <c r="AN54" s="1">
        <v>62885446</v>
      </c>
      <c r="AO54" s="1">
        <v>7751588</v>
      </c>
      <c r="AP54" s="1">
        <v>55133858</v>
      </c>
      <c r="AQ54" s="1">
        <v>12114835</v>
      </c>
      <c r="AR54" s="1">
        <v>1817225</v>
      </c>
      <c r="AS54" s="1">
        <v>0</v>
      </c>
      <c r="AT54" s="1">
        <f t="shared" si="2"/>
        <v>76817506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7246618</v>
      </c>
      <c r="G55" s="1">
        <v>4204409</v>
      </c>
      <c r="H55" s="1">
        <v>0</v>
      </c>
      <c r="I55" s="1">
        <v>6594422</v>
      </c>
      <c r="J55" s="1">
        <v>0</v>
      </c>
      <c r="K55" s="1">
        <v>0</v>
      </c>
      <c r="L55" s="1">
        <v>3500010</v>
      </c>
      <c r="M55" s="1">
        <v>400000</v>
      </c>
      <c r="N55" s="1">
        <v>0</v>
      </c>
      <c r="O55" s="1">
        <v>0</v>
      </c>
      <c r="P55" s="1">
        <v>1260000</v>
      </c>
      <c r="Q55" s="1">
        <v>0</v>
      </c>
      <c r="R55" s="1">
        <v>0</v>
      </c>
      <c r="S55" s="1">
        <v>0</v>
      </c>
      <c r="T55" s="1">
        <v>1200000</v>
      </c>
      <c r="U55" s="1">
        <v>0</v>
      </c>
      <c r="V55" s="1">
        <v>1879105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27384564</v>
      </c>
      <c r="AO55" s="1">
        <v>7972919</v>
      </c>
      <c r="AP55" s="1">
        <v>19411645</v>
      </c>
      <c r="AQ55" s="1">
        <v>5236913</v>
      </c>
      <c r="AR55" s="1">
        <v>785537</v>
      </c>
      <c r="AS55" s="1">
        <v>0</v>
      </c>
      <c r="AT55" s="1">
        <f t="shared" si="2"/>
        <v>33407014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5666907</v>
      </c>
      <c r="G56" s="1">
        <v>1651424</v>
      </c>
      <c r="H56" s="1">
        <v>0</v>
      </c>
      <c r="I56" s="1">
        <v>4136842</v>
      </c>
      <c r="J56" s="1">
        <v>0</v>
      </c>
      <c r="K56" s="1">
        <v>0</v>
      </c>
      <c r="L56" s="1">
        <v>3601550</v>
      </c>
      <c r="M56" s="1">
        <v>400000</v>
      </c>
      <c r="N56" s="1">
        <v>2982582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7937858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2458182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2348692</v>
      </c>
      <c r="AK56" s="1">
        <v>0</v>
      </c>
      <c r="AL56" s="1">
        <v>0</v>
      </c>
      <c r="AM56" s="1">
        <v>0</v>
      </c>
      <c r="AN56" s="1">
        <v>33395306</v>
      </c>
      <c r="AO56" s="1">
        <v>3164845</v>
      </c>
      <c r="AP56" s="1">
        <v>30230461</v>
      </c>
      <c r="AQ56" s="1">
        <v>6456807</v>
      </c>
      <c r="AR56" s="1">
        <v>968521</v>
      </c>
      <c r="AS56" s="1">
        <v>0</v>
      </c>
      <c r="AT56" s="1">
        <f t="shared" si="2"/>
        <v>40820634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15709931</v>
      </c>
      <c r="G57" s="1">
        <v>8718717</v>
      </c>
      <c r="H57" s="1">
        <v>0</v>
      </c>
      <c r="I57" s="1">
        <v>14882672</v>
      </c>
      <c r="J57" s="1">
        <v>0</v>
      </c>
      <c r="K57" s="1">
        <v>5500000</v>
      </c>
      <c r="L57" s="1">
        <v>0</v>
      </c>
      <c r="M57" s="1">
        <v>400000</v>
      </c>
      <c r="N57" s="1">
        <v>2662058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4041443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2368067</v>
      </c>
      <c r="AD57" s="1">
        <v>0</v>
      </c>
      <c r="AE57" s="1">
        <v>1901470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2890235</v>
      </c>
      <c r="AM57" s="1">
        <v>0</v>
      </c>
      <c r="AN57" s="1">
        <v>60174593</v>
      </c>
      <c r="AO57" s="1">
        <v>27863450</v>
      </c>
      <c r="AP57" s="1">
        <v>32311143</v>
      </c>
      <c r="AQ57" s="1">
        <v>12034919</v>
      </c>
      <c r="AR57" s="1">
        <v>1805238</v>
      </c>
      <c r="AS57" s="1">
        <v>0</v>
      </c>
      <c r="AT57" s="1">
        <f t="shared" si="2"/>
        <v>74014750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12663459</v>
      </c>
      <c r="G58" s="1">
        <v>6492595</v>
      </c>
      <c r="H58" s="1">
        <v>0</v>
      </c>
      <c r="I58" s="1">
        <v>12478328</v>
      </c>
      <c r="J58" s="1">
        <v>0</v>
      </c>
      <c r="K58" s="1">
        <v>4620000</v>
      </c>
      <c r="L58" s="1">
        <v>0</v>
      </c>
      <c r="M58" s="1">
        <v>400000</v>
      </c>
      <c r="N58" s="1">
        <v>2431940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1342000</v>
      </c>
      <c r="U58" s="1">
        <v>0</v>
      </c>
      <c r="V58" s="1">
        <v>17671326</v>
      </c>
      <c r="W58" s="1">
        <v>1100000</v>
      </c>
      <c r="X58" s="1">
        <v>1965020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1737100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10400018</v>
      </c>
      <c r="AM58" s="1">
        <v>0</v>
      </c>
      <c r="AN58" s="1">
        <v>73301786</v>
      </c>
      <c r="AO58" s="1">
        <v>32397816</v>
      </c>
      <c r="AP58" s="1">
        <v>40903970</v>
      </c>
      <c r="AQ58" s="1">
        <v>14391957</v>
      </c>
      <c r="AR58" s="1">
        <v>2158794</v>
      </c>
      <c r="AS58" s="1">
        <v>0</v>
      </c>
      <c r="AT58" s="1">
        <f t="shared" si="2"/>
        <v>89852537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19326975</v>
      </c>
      <c r="G59" s="1">
        <v>8757465</v>
      </c>
      <c r="H59" s="1">
        <v>0</v>
      </c>
      <c r="I59" s="1">
        <v>16318672</v>
      </c>
      <c r="J59" s="1">
        <v>0</v>
      </c>
      <c r="K59" s="1">
        <v>5500000</v>
      </c>
      <c r="L59" s="1">
        <v>0</v>
      </c>
      <c r="M59" s="1">
        <v>400000</v>
      </c>
      <c r="N59" s="1">
        <v>3059988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15841963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2185706</v>
      </c>
      <c r="AF59" s="1">
        <v>1111269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4371412</v>
      </c>
      <c r="AM59" s="1">
        <v>0</v>
      </c>
      <c r="AN59" s="1">
        <v>77973450</v>
      </c>
      <c r="AO59" s="1">
        <v>13540664</v>
      </c>
      <c r="AP59" s="1">
        <v>64432786</v>
      </c>
      <c r="AQ59" s="1">
        <v>15039174</v>
      </c>
      <c r="AR59" s="1">
        <v>2255876</v>
      </c>
      <c r="AS59" s="1">
        <v>0</v>
      </c>
      <c r="AT59" s="1">
        <f t="shared" si="2"/>
        <v>95268500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12352518</v>
      </c>
      <c r="G60" s="1">
        <v>7115832</v>
      </c>
      <c r="H60" s="1">
        <v>0</v>
      </c>
      <c r="I60" s="1">
        <v>12056108</v>
      </c>
      <c r="J60" s="1">
        <v>0</v>
      </c>
      <c r="K60" s="1">
        <v>4620000</v>
      </c>
      <c r="L60" s="1">
        <v>0</v>
      </c>
      <c r="M60" s="1">
        <v>400000</v>
      </c>
      <c r="N60" s="1">
        <v>2323111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1342000</v>
      </c>
      <c r="U60" s="1">
        <v>0</v>
      </c>
      <c r="V60" s="1">
        <v>17089087</v>
      </c>
      <c r="W60" s="1">
        <v>1100000</v>
      </c>
      <c r="X60" s="1">
        <v>1916770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1659365</v>
      </c>
      <c r="AF60" s="1">
        <v>2222538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10011341</v>
      </c>
      <c r="AM60" s="1">
        <v>0</v>
      </c>
      <c r="AN60" s="1">
        <v>74208670</v>
      </c>
      <c r="AO60" s="1">
        <v>14189421</v>
      </c>
      <c r="AP60" s="1">
        <v>60019249</v>
      </c>
      <c r="AQ60" s="1">
        <v>14128826</v>
      </c>
      <c r="AR60" s="1">
        <v>2119324</v>
      </c>
      <c r="AS60" s="1">
        <v>0</v>
      </c>
      <c r="AT60" s="1">
        <f t="shared" si="2"/>
        <v>90456820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23207656</v>
      </c>
      <c r="G61" s="1">
        <v>16374197</v>
      </c>
      <c r="H61" s="1">
        <v>0</v>
      </c>
      <c r="I61" s="1">
        <v>27624670</v>
      </c>
      <c r="J61" s="1">
        <v>0</v>
      </c>
      <c r="K61" s="1">
        <v>0</v>
      </c>
      <c r="L61" s="1">
        <v>0</v>
      </c>
      <c r="M61" s="1">
        <v>400000</v>
      </c>
      <c r="N61" s="1">
        <v>4075932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6365837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2345085</v>
      </c>
      <c r="AD61" s="1">
        <v>0</v>
      </c>
      <c r="AE61" s="1">
        <v>2911380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3493655</v>
      </c>
      <c r="AM61" s="1">
        <v>0</v>
      </c>
      <c r="AN61" s="1">
        <v>87898412</v>
      </c>
      <c r="AO61" s="1">
        <v>17986342</v>
      </c>
      <c r="AP61" s="1">
        <v>69912070</v>
      </c>
      <c r="AQ61" s="1">
        <v>15039174</v>
      </c>
      <c r="AR61" s="1">
        <v>2255876</v>
      </c>
      <c r="AS61" s="1">
        <v>0</v>
      </c>
      <c r="AT61" s="1">
        <f t="shared" si="2"/>
        <v>105193462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19354768</v>
      </c>
      <c r="G62" s="1">
        <v>10101820</v>
      </c>
      <c r="H62" s="1">
        <v>0</v>
      </c>
      <c r="I62" s="1">
        <v>17546481</v>
      </c>
      <c r="J62" s="1">
        <v>0</v>
      </c>
      <c r="K62" s="1">
        <v>5500000</v>
      </c>
      <c r="L62" s="1">
        <v>0</v>
      </c>
      <c r="M62" s="1">
        <v>400000</v>
      </c>
      <c r="N62" s="1">
        <v>3069717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17223104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2192654</v>
      </c>
      <c r="AF62" s="1">
        <v>1111269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4385308</v>
      </c>
      <c r="AM62" s="1">
        <v>0</v>
      </c>
      <c r="AN62" s="1">
        <v>81985121</v>
      </c>
      <c r="AO62" s="1">
        <v>30071839</v>
      </c>
      <c r="AP62" s="1">
        <v>51913282</v>
      </c>
      <c r="AQ62" s="1">
        <v>15039174</v>
      </c>
      <c r="AR62" s="1">
        <v>2255876</v>
      </c>
      <c r="AS62" s="1">
        <v>0</v>
      </c>
      <c r="AT62" s="1">
        <f t="shared" si="2"/>
        <v>99280171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13276655</v>
      </c>
      <c r="G63" s="1">
        <v>33669925</v>
      </c>
      <c r="H63" s="1">
        <v>0</v>
      </c>
      <c r="I63" s="1">
        <v>12847713</v>
      </c>
      <c r="J63" s="1">
        <v>0</v>
      </c>
      <c r="K63" s="1">
        <v>4620000</v>
      </c>
      <c r="L63" s="1">
        <v>0</v>
      </c>
      <c r="M63" s="1">
        <v>400000</v>
      </c>
      <c r="N63" s="1">
        <v>2646558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1342000</v>
      </c>
      <c r="U63" s="1">
        <v>0</v>
      </c>
      <c r="V63" s="1">
        <v>9651845</v>
      </c>
      <c r="W63" s="1">
        <v>1100000</v>
      </c>
      <c r="X63" s="1">
        <v>2060171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1890399</v>
      </c>
      <c r="AF63" s="1">
        <v>2222538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10410353</v>
      </c>
      <c r="AM63" s="1">
        <v>0</v>
      </c>
      <c r="AN63" s="1">
        <v>96138157</v>
      </c>
      <c r="AO63" s="1">
        <v>32448900</v>
      </c>
      <c r="AP63" s="1">
        <v>63689257</v>
      </c>
      <c r="AQ63" s="1">
        <v>15039174</v>
      </c>
      <c r="AR63" s="1">
        <v>2255876</v>
      </c>
      <c r="AS63" s="1">
        <v>0</v>
      </c>
      <c r="AT63" s="1">
        <f t="shared" si="2"/>
        <v>113433207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17249403</v>
      </c>
      <c r="G64" s="1">
        <v>14422467</v>
      </c>
      <c r="H64" s="1">
        <v>0</v>
      </c>
      <c r="I64" s="1">
        <v>15866663</v>
      </c>
      <c r="J64" s="1">
        <v>0</v>
      </c>
      <c r="K64" s="1">
        <v>5500000</v>
      </c>
      <c r="L64" s="1">
        <v>0</v>
      </c>
      <c r="M64" s="1">
        <v>400000</v>
      </c>
      <c r="N64" s="1">
        <v>3073364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1342000</v>
      </c>
      <c r="U64" s="1">
        <v>0</v>
      </c>
      <c r="V64" s="1">
        <v>9308167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2345085</v>
      </c>
      <c r="AD64" s="1">
        <v>0</v>
      </c>
      <c r="AE64" s="1">
        <v>2195260</v>
      </c>
      <c r="AF64" s="1">
        <v>1111269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3073364</v>
      </c>
      <c r="AM64" s="1">
        <v>0</v>
      </c>
      <c r="AN64" s="1">
        <v>76987042</v>
      </c>
      <c r="AO64" s="1">
        <v>29532809</v>
      </c>
      <c r="AP64" s="1">
        <v>47454233</v>
      </c>
      <c r="AQ64" s="1">
        <v>14906755</v>
      </c>
      <c r="AR64" s="1">
        <v>2236013</v>
      </c>
      <c r="AS64" s="1">
        <v>0</v>
      </c>
      <c r="AT64" s="1">
        <f t="shared" si="2"/>
        <v>94129810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16158852</v>
      </c>
      <c r="G65" s="1">
        <v>7690099</v>
      </c>
      <c r="H65" s="1">
        <v>0</v>
      </c>
      <c r="I65" s="1">
        <v>12960224</v>
      </c>
      <c r="J65" s="1">
        <v>0</v>
      </c>
      <c r="K65" s="1">
        <v>5500000</v>
      </c>
      <c r="L65" s="1">
        <v>0</v>
      </c>
      <c r="M65" s="1">
        <v>400000</v>
      </c>
      <c r="N65" s="1">
        <v>2676555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9268067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1911825</v>
      </c>
      <c r="AF65" s="1">
        <v>1111269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3364812</v>
      </c>
      <c r="AM65" s="1">
        <v>0</v>
      </c>
      <c r="AN65" s="1">
        <v>62141703</v>
      </c>
      <c r="AO65" s="1">
        <v>7994238</v>
      </c>
      <c r="AP65" s="1">
        <v>54147465</v>
      </c>
      <c r="AQ65" s="1">
        <v>12206087</v>
      </c>
      <c r="AR65" s="1">
        <v>1830913</v>
      </c>
      <c r="AS65" s="1">
        <v>0</v>
      </c>
      <c r="AT65" s="1">
        <f t="shared" si="2"/>
        <v>76178703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11820966</v>
      </c>
      <c r="G66" s="1">
        <v>6284637</v>
      </c>
      <c r="H66" s="1">
        <v>0</v>
      </c>
      <c r="I66" s="1">
        <v>10483408</v>
      </c>
      <c r="J66" s="1">
        <v>0</v>
      </c>
      <c r="K66" s="1">
        <v>3465000</v>
      </c>
      <c r="L66" s="1">
        <v>0</v>
      </c>
      <c r="M66" s="1">
        <v>400000</v>
      </c>
      <c r="N66" s="1">
        <v>2137067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1342000</v>
      </c>
      <c r="U66" s="1">
        <v>0</v>
      </c>
      <c r="V66" s="1">
        <v>14915966</v>
      </c>
      <c r="W66" s="1">
        <v>1100000</v>
      </c>
      <c r="X66" s="1">
        <v>1834288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1526477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8125720</v>
      </c>
      <c r="AM66" s="1">
        <v>0</v>
      </c>
      <c r="AN66" s="1">
        <v>63435529</v>
      </c>
      <c r="AO66" s="1">
        <v>8021713</v>
      </c>
      <c r="AP66" s="1">
        <v>55413816</v>
      </c>
      <c r="AQ66" s="1">
        <v>12418706</v>
      </c>
      <c r="AR66" s="1">
        <v>1862806</v>
      </c>
      <c r="AS66" s="1">
        <v>0</v>
      </c>
      <c r="AT66" s="1">
        <f t="shared" si="2"/>
        <v>77717041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18896174</v>
      </c>
      <c r="G67" s="1">
        <v>12667583</v>
      </c>
      <c r="H67" s="1">
        <v>0</v>
      </c>
      <c r="I67" s="1">
        <v>16456243</v>
      </c>
      <c r="J67" s="1">
        <v>0</v>
      </c>
      <c r="K67" s="1">
        <v>5500000</v>
      </c>
      <c r="L67" s="1">
        <v>0</v>
      </c>
      <c r="M67" s="1">
        <v>400000</v>
      </c>
      <c r="N67" s="1">
        <v>2909208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10651808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2078006</v>
      </c>
      <c r="AF67" s="1">
        <v>2222538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4987214</v>
      </c>
      <c r="AM67" s="1">
        <v>0</v>
      </c>
      <c r="AN67" s="1">
        <v>77868774</v>
      </c>
      <c r="AO67" s="1">
        <v>16750624</v>
      </c>
      <c r="AP67" s="1">
        <v>61118150</v>
      </c>
      <c r="AQ67" s="1">
        <v>15039174</v>
      </c>
      <c r="AR67" s="1">
        <v>2255876</v>
      </c>
      <c r="AS67" s="1">
        <v>0</v>
      </c>
      <c r="AT67" s="1">
        <f t="shared" ref="AT67:AT130" si="7">AS67+AR67+AQ67+AN67</f>
        <v>95163824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14126522</v>
      </c>
      <c r="G68" s="1">
        <v>6952359</v>
      </c>
      <c r="H68" s="1">
        <v>0</v>
      </c>
      <c r="I68" s="1">
        <v>11667685</v>
      </c>
      <c r="J68" s="1">
        <v>1000000</v>
      </c>
      <c r="K68" s="1">
        <v>4125000</v>
      </c>
      <c r="L68" s="1">
        <v>0</v>
      </c>
      <c r="M68" s="1">
        <v>400000</v>
      </c>
      <c r="N68" s="1">
        <v>2037361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3103313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1455259</v>
      </c>
      <c r="AF68" s="1">
        <v>2222538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1746310</v>
      </c>
      <c r="AM68" s="1">
        <v>0</v>
      </c>
      <c r="AN68" s="1">
        <v>49936347</v>
      </c>
      <c r="AO68" s="1">
        <v>6591372</v>
      </c>
      <c r="AP68" s="1">
        <v>43344975</v>
      </c>
      <c r="AQ68" s="1">
        <v>9342762</v>
      </c>
      <c r="AR68" s="1">
        <v>1401414</v>
      </c>
      <c r="AS68" s="1">
        <v>0</v>
      </c>
      <c r="AT68" s="1">
        <f t="shared" si="7"/>
        <v>60680523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19047302</v>
      </c>
      <c r="G69" s="1">
        <v>1694050</v>
      </c>
      <c r="H69" s="1">
        <v>0</v>
      </c>
      <c r="I69" s="1">
        <v>17400879</v>
      </c>
      <c r="J69" s="1">
        <v>0</v>
      </c>
      <c r="K69" s="1">
        <v>4125000</v>
      </c>
      <c r="L69" s="1">
        <v>0</v>
      </c>
      <c r="M69" s="1">
        <v>400000</v>
      </c>
      <c r="N69" s="1">
        <v>2962103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1342000</v>
      </c>
      <c r="U69" s="1">
        <v>0</v>
      </c>
      <c r="V69" s="1">
        <v>10218738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2115788</v>
      </c>
      <c r="AF69" s="1">
        <v>1111269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4400839</v>
      </c>
      <c r="AM69" s="1">
        <v>0</v>
      </c>
      <c r="AN69" s="1">
        <v>65917968</v>
      </c>
      <c r="AO69" s="1">
        <v>8363197</v>
      </c>
      <c r="AP69" s="1">
        <v>57554771</v>
      </c>
      <c r="AQ69" s="1">
        <v>12692940</v>
      </c>
      <c r="AR69" s="1">
        <v>1903941</v>
      </c>
      <c r="AS69" s="1">
        <v>0</v>
      </c>
      <c r="AT69" s="1">
        <f t="shared" si="7"/>
        <v>80514849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12687837</v>
      </c>
      <c r="G70" s="1">
        <v>28283871</v>
      </c>
      <c r="H70" s="1">
        <v>0</v>
      </c>
      <c r="I70" s="1">
        <v>11845670</v>
      </c>
      <c r="J70" s="1">
        <v>0</v>
      </c>
      <c r="K70" s="1">
        <v>4620000</v>
      </c>
      <c r="L70" s="1">
        <v>0</v>
      </c>
      <c r="M70" s="1">
        <v>400000</v>
      </c>
      <c r="N70" s="1">
        <v>2436072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1342000</v>
      </c>
      <c r="U70" s="1">
        <v>0</v>
      </c>
      <c r="V70" s="1">
        <v>9031556</v>
      </c>
      <c r="W70" s="1">
        <v>1100000</v>
      </c>
      <c r="X70" s="1">
        <v>1968802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1740051</v>
      </c>
      <c r="AF70" s="1">
        <v>1111269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9722526</v>
      </c>
      <c r="AM70" s="1">
        <v>0</v>
      </c>
      <c r="AN70" s="1">
        <v>86289654</v>
      </c>
      <c r="AO70" s="1">
        <v>12321502</v>
      </c>
      <c r="AP70" s="1">
        <v>73968152</v>
      </c>
      <c r="AQ70" s="1">
        <v>15039174</v>
      </c>
      <c r="AR70" s="1">
        <v>2255876</v>
      </c>
      <c r="AS70" s="1">
        <v>0</v>
      </c>
      <c r="AT70" s="1">
        <f t="shared" si="7"/>
        <v>103584704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19676132</v>
      </c>
      <c r="G71" s="1">
        <v>11243515</v>
      </c>
      <c r="H71" s="1">
        <v>0</v>
      </c>
      <c r="I71" s="1">
        <v>17915490</v>
      </c>
      <c r="J71" s="1">
        <v>0</v>
      </c>
      <c r="K71" s="1">
        <v>5500000</v>
      </c>
      <c r="L71" s="1">
        <v>0</v>
      </c>
      <c r="M71" s="1">
        <v>400000</v>
      </c>
      <c r="N71" s="1">
        <v>3182193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1342000</v>
      </c>
      <c r="U71" s="1">
        <v>0</v>
      </c>
      <c r="V71" s="1">
        <v>14332393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2272995</v>
      </c>
      <c r="AF71" s="1">
        <v>1111269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4727830</v>
      </c>
      <c r="AM71" s="1">
        <v>0</v>
      </c>
      <c r="AN71" s="1">
        <v>82803817</v>
      </c>
      <c r="AO71" s="1">
        <v>36286765</v>
      </c>
      <c r="AP71" s="1">
        <v>46517052</v>
      </c>
      <c r="AQ71" s="1">
        <v>15039174</v>
      </c>
      <c r="AR71" s="1">
        <v>2255876</v>
      </c>
      <c r="AS71" s="1">
        <v>0</v>
      </c>
      <c r="AT71" s="1">
        <f t="shared" si="7"/>
        <v>100098867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12763875</v>
      </c>
      <c r="G72" s="1">
        <v>21659487</v>
      </c>
      <c r="H72" s="1">
        <v>0</v>
      </c>
      <c r="I72" s="1">
        <v>11946852</v>
      </c>
      <c r="J72" s="1">
        <v>0</v>
      </c>
      <c r="K72" s="1">
        <v>4620000</v>
      </c>
      <c r="L72" s="1">
        <v>0</v>
      </c>
      <c r="M72" s="1">
        <v>400000</v>
      </c>
      <c r="N72" s="1">
        <v>2464686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1342000</v>
      </c>
      <c r="U72" s="1">
        <v>0</v>
      </c>
      <c r="V72" s="1">
        <v>9106421</v>
      </c>
      <c r="W72" s="1">
        <v>1100000</v>
      </c>
      <c r="X72" s="1">
        <v>1980601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1760489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9814828</v>
      </c>
      <c r="AM72" s="1">
        <v>0</v>
      </c>
      <c r="AN72" s="1">
        <v>78959239</v>
      </c>
      <c r="AO72" s="1">
        <v>13352375</v>
      </c>
      <c r="AP72" s="1">
        <v>65606864</v>
      </c>
      <c r="AQ72" s="1">
        <v>15039174</v>
      </c>
      <c r="AR72" s="1">
        <v>2255876</v>
      </c>
      <c r="AS72" s="1">
        <v>0</v>
      </c>
      <c r="AT72" s="1">
        <f t="shared" si="7"/>
        <v>96254289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16738696</v>
      </c>
      <c r="G73" s="1">
        <v>13775251</v>
      </c>
      <c r="H73" s="1">
        <v>0</v>
      </c>
      <c r="I73" s="1">
        <v>15627602</v>
      </c>
      <c r="J73" s="1">
        <v>0</v>
      </c>
      <c r="K73" s="1">
        <v>5500000</v>
      </c>
      <c r="L73" s="1">
        <v>0</v>
      </c>
      <c r="M73" s="1">
        <v>400000</v>
      </c>
      <c r="N73" s="1">
        <v>2894617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1342000</v>
      </c>
      <c r="U73" s="1">
        <v>0</v>
      </c>
      <c r="V73" s="1">
        <v>22495809</v>
      </c>
      <c r="W73" s="1">
        <v>1100000</v>
      </c>
      <c r="X73" s="1">
        <v>2597384</v>
      </c>
      <c r="Y73" s="1">
        <v>0</v>
      </c>
      <c r="Z73" s="1">
        <v>0</v>
      </c>
      <c r="AA73" s="1">
        <v>0</v>
      </c>
      <c r="AB73" s="1">
        <v>0</v>
      </c>
      <c r="AC73" s="1">
        <v>3074667</v>
      </c>
      <c r="AD73" s="1">
        <v>0</v>
      </c>
      <c r="AE73" s="1">
        <v>2067583</v>
      </c>
      <c r="AF73" s="1">
        <v>1111269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10149216</v>
      </c>
      <c r="AM73" s="1">
        <v>0</v>
      </c>
      <c r="AN73" s="1">
        <v>98874094</v>
      </c>
      <c r="AO73" s="1">
        <v>12786528</v>
      </c>
      <c r="AP73" s="1">
        <v>86087566</v>
      </c>
      <c r="AQ73" s="1">
        <v>15039174</v>
      </c>
      <c r="AR73" s="1">
        <v>2255876</v>
      </c>
      <c r="AS73" s="1">
        <v>0</v>
      </c>
      <c r="AT73" s="1">
        <f t="shared" si="7"/>
        <v>116169144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16489821</v>
      </c>
      <c r="G74" s="1">
        <v>3424823</v>
      </c>
      <c r="H74" s="1">
        <v>0</v>
      </c>
      <c r="I74" s="1">
        <v>14608047</v>
      </c>
      <c r="J74" s="1">
        <v>0</v>
      </c>
      <c r="K74" s="1">
        <v>4125000</v>
      </c>
      <c r="L74" s="1">
        <v>0</v>
      </c>
      <c r="M74" s="1">
        <v>400000</v>
      </c>
      <c r="N74" s="1">
        <v>2785578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1342000</v>
      </c>
      <c r="U74" s="1">
        <v>0</v>
      </c>
      <c r="V74" s="1">
        <v>6346707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1989699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3183517</v>
      </c>
      <c r="AM74" s="1">
        <v>0</v>
      </c>
      <c r="AN74" s="1">
        <v>55795192</v>
      </c>
      <c r="AO74" s="1">
        <v>8448136</v>
      </c>
      <c r="AP74" s="1">
        <v>47347056</v>
      </c>
      <c r="AQ74" s="1">
        <v>10890638</v>
      </c>
      <c r="AR74" s="1">
        <v>1633596</v>
      </c>
      <c r="AS74" s="1">
        <v>0</v>
      </c>
      <c r="AT74" s="1">
        <f t="shared" si="7"/>
        <v>68319426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16424238</v>
      </c>
      <c r="G75" s="1">
        <v>6987579</v>
      </c>
      <c r="H75" s="1">
        <v>0</v>
      </c>
      <c r="I75" s="1">
        <v>14061031</v>
      </c>
      <c r="J75" s="1">
        <v>0</v>
      </c>
      <c r="K75" s="1">
        <v>5500000</v>
      </c>
      <c r="L75" s="1">
        <v>0</v>
      </c>
      <c r="M75" s="1">
        <v>400000</v>
      </c>
      <c r="N75" s="1">
        <v>2769440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8117530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1978172</v>
      </c>
      <c r="AF75" s="1">
        <v>1111269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2967258</v>
      </c>
      <c r="AM75" s="1">
        <v>0</v>
      </c>
      <c r="AN75" s="1">
        <v>61416517</v>
      </c>
      <c r="AO75" s="1">
        <v>8202408</v>
      </c>
      <c r="AP75" s="1">
        <v>53214109</v>
      </c>
      <c r="AQ75" s="1">
        <v>12061050</v>
      </c>
      <c r="AR75" s="1">
        <v>1809157</v>
      </c>
      <c r="AS75" s="1">
        <v>0</v>
      </c>
      <c r="AT75" s="1">
        <f t="shared" si="7"/>
        <v>75286724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12241436</v>
      </c>
      <c r="G76" s="1">
        <v>15891981</v>
      </c>
      <c r="H76" s="1">
        <v>0</v>
      </c>
      <c r="I76" s="1">
        <v>10902129</v>
      </c>
      <c r="J76" s="1">
        <v>0</v>
      </c>
      <c r="K76" s="1">
        <v>3465000</v>
      </c>
      <c r="L76" s="1">
        <v>0</v>
      </c>
      <c r="M76" s="1">
        <v>400000</v>
      </c>
      <c r="N76" s="1">
        <v>2261829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1342000</v>
      </c>
      <c r="U76" s="1">
        <v>0</v>
      </c>
      <c r="V76" s="1">
        <v>8351946</v>
      </c>
      <c r="W76" s="1">
        <v>1100000</v>
      </c>
      <c r="X76" s="1">
        <v>1899533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1615592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8519206</v>
      </c>
      <c r="AM76" s="1">
        <v>0</v>
      </c>
      <c r="AN76" s="1">
        <v>67990652</v>
      </c>
      <c r="AO76" s="1">
        <v>11588260</v>
      </c>
      <c r="AP76" s="1">
        <v>56402392</v>
      </c>
      <c r="AQ76" s="1">
        <v>13329730</v>
      </c>
      <c r="AR76" s="1">
        <v>1999460</v>
      </c>
      <c r="AS76" s="1">
        <v>0</v>
      </c>
      <c r="AT76" s="1">
        <f t="shared" si="7"/>
        <v>83319842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12630450</v>
      </c>
      <c r="G77" s="1">
        <v>11268531</v>
      </c>
      <c r="H77" s="1">
        <v>0</v>
      </c>
      <c r="I77" s="1">
        <v>10786119</v>
      </c>
      <c r="J77" s="1">
        <v>0</v>
      </c>
      <c r="K77" s="1">
        <v>4620000</v>
      </c>
      <c r="L77" s="1">
        <v>0</v>
      </c>
      <c r="M77" s="1">
        <v>400000</v>
      </c>
      <c r="N77" s="1">
        <v>2375380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7480567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1696700</v>
      </c>
      <c r="AF77" s="1">
        <v>1111269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4343553</v>
      </c>
      <c r="AM77" s="1">
        <v>0</v>
      </c>
      <c r="AN77" s="1">
        <v>57812569</v>
      </c>
      <c r="AO77" s="1">
        <v>23491176</v>
      </c>
      <c r="AP77" s="1">
        <v>34321393</v>
      </c>
      <c r="AQ77" s="1">
        <v>11340260</v>
      </c>
      <c r="AR77" s="1">
        <v>1701039</v>
      </c>
      <c r="AS77" s="1">
        <v>0</v>
      </c>
      <c r="AT77" s="1">
        <f t="shared" si="7"/>
        <v>70853868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12527739</v>
      </c>
      <c r="G78" s="1">
        <v>14157696</v>
      </c>
      <c r="H78" s="1">
        <v>0</v>
      </c>
      <c r="I78" s="1">
        <v>11859435</v>
      </c>
      <c r="J78" s="1">
        <v>0</v>
      </c>
      <c r="K78" s="1">
        <v>4620000</v>
      </c>
      <c r="L78" s="1">
        <v>0</v>
      </c>
      <c r="M78" s="1">
        <v>400000</v>
      </c>
      <c r="N78" s="1">
        <v>2377236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1342000</v>
      </c>
      <c r="U78" s="1">
        <v>0</v>
      </c>
      <c r="V78" s="1">
        <v>8928601</v>
      </c>
      <c r="W78" s="1">
        <v>1100000</v>
      </c>
      <c r="X78" s="1">
        <v>1943960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1698026</v>
      </c>
      <c r="AF78" s="1">
        <v>1111269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9531611</v>
      </c>
      <c r="AM78" s="1">
        <v>0</v>
      </c>
      <c r="AN78" s="1">
        <v>71597573</v>
      </c>
      <c r="AO78" s="1">
        <v>30729272</v>
      </c>
      <c r="AP78" s="1">
        <v>40868301</v>
      </c>
      <c r="AQ78" s="1">
        <v>13828861</v>
      </c>
      <c r="AR78" s="1">
        <v>2074329</v>
      </c>
      <c r="AS78" s="1">
        <v>0</v>
      </c>
      <c r="AT78" s="1">
        <f t="shared" si="7"/>
        <v>87500763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11577173</v>
      </c>
      <c r="G79" s="1">
        <v>5605302</v>
      </c>
      <c r="H79" s="1">
        <v>0</v>
      </c>
      <c r="I79" s="1">
        <v>9582620</v>
      </c>
      <c r="J79" s="1">
        <v>0</v>
      </c>
      <c r="K79" s="1">
        <v>4620000</v>
      </c>
      <c r="L79" s="1">
        <v>0</v>
      </c>
      <c r="M79" s="1">
        <v>400000</v>
      </c>
      <c r="N79" s="1">
        <v>2185375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6733340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1560983</v>
      </c>
      <c r="AF79" s="1">
        <v>1111269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3746358</v>
      </c>
      <c r="AM79" s="1">
        <v>0</v>
      </c>
      <c r="AN79" s="1">
        <v>48222420</v>
      </c>
      <c r="AO79" s="1">
        <v>5705801</v>
      </c>
      <c r="AP79" s="1">
        <v>42516619</v>
      </c>
      <c r="AQ79" s="1">
        <v>9422230</v>
      </c>
      <c r="AR79" s="1">
        <v>1413335</v>
      </c>
      <c r="AS79" s="1">
        <v>0</v>
      </c>
      <c r="AT79" s="1">
        <f t="shared" si="7"/>
        <v>59057985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11190471</v>
      </c>
      <c r="G80" s="1">
        <v>6212440</v>
      </c>
      <c r="H80" s="1">
        <v>0</v>
      </c>
      <c r="I80" s="1">
        <v>10190075</v>
      </c>
      <c r="J80" s="1">
        <v>0</v>
      </c>
      <c r="K80" s="1">
        <v>0</v>
      </c>
      <c r="L80" s="1">
        <v>0</v>
      </c>
      <c r="M80" s="1">
        <v>400000</v>
      </c>
      <c r="N80" s="1">
        <v>2061801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1342000</v>
      </c>
      <c r="U80" s="1">
        <v>0</v>
      </c>
      <c r="V80" s="1">
        <v>5259916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1472715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2768704</v>
      </c>
      <c r="AM80" s="1">
        <v>0</v>
      </c>
      <c r="AN80" s="1">
        <v>41998122</v>
      </c>
      <c r="AO80" s="1">
        <v>9102389</v>
      </c>
      <c r="AP80" s="1">
        <v>32895733</v>
      </c>
      <c r="AQ80" s="1">
        <v>8131224</v>
      </c>
      <c r="AR80" s="1">
        <v>1219684</v>
      </c>
      <c r="AS80" s="1">
        <v>0</v>
      </c>
      <c r="AT80" s="1">
        <f t="shared" si="7"/>
        <v>51349030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16973633</v>
      </c>
      <c r="G81" s="1">
        <v>1274917</v>
      </c>
      <c r="H81" s="1">
        <v>0</v>
      </c>
      <c r="I81" s="1">
        <v>14990470</v>
      </c>
      <c r="J81" s="1">
        <v>0</v>
      </c>
      <c r="K81" s="1">
        <v>5500000</v>
      </c>
      <c r="L81" s="1">
        <v>0</v>
      </c>
      <c r="M81" s="1">
        <v>400000</v>
      </c>
      <c r="N81" s="1">
        <v>2375939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1342000</v>
      </c>
      <c r="U81" s="1">
        <v>0</v>
      </c>
      <c r="V81" s="1">
        <v>3841307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1697098</v>
      </c>
      <c r="AF81" s="1">
        <v>3333807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2375939</v>
      </c>
      <c r="AM81" s="1">
        <v>0</v>
      </c>
      <c r="AN81" s="1">
        <v>55205110</v>
      </c>
      <c r="AO81" s="1">
        <v>8791021</v>
      </c>
      <c r="AP81" s="1">
        <v>46414089</v>
      </c>
      <c r="AQ81" s="1">
        <v>10105861</v>
      </c>
      <c r="AR81" s="1">
        <v>1515879</v>
      </c>
      <c r="AS81" s="1">
        <v>0</v>
      </c>
      <c r="AT81" s="1">
        <f t="shared" si="7"/>
        <v>66826850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18779788</v>
      </c>
      <c r="G82" s="1">
        <v>12885150</v>
      </c>
      <c r="H82" s="1">
        <v>0</v>
      </c>
      <c r="I82" s="1">
        <v>16288029</v>
      </c>
      <c r="J82" s="1">
        <v>0</v>
      </c>
      <c r="K82" s="1">
        <v>5500000</v>
      </c>
      <c r="L82" s="1">
        <v>0</v>
      </c>
      <c r="M82" s="1">
        <v>400000</v>
      </c>
      <c r="N82" s="1">
        <v>2868473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9626142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2048910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3769993</v>
      </c>
      <c r="AM82" s="1">
        <v>0</v>
      </c>
      <c r="AN82" s="1">
        <v>73266485</v>
      </c>
      <c r="AO82" s="1">
        <v>11408042</v>
      </c>
      <c r="AP82" s="1">
        <v>61858443</v>
      </c>
      <c r="AQ82" s="1">
        <v>14653297</v>
      </c>
      <c r="AR82" s="1">
        <v>2197995</v>
      </c>
      <c r="AS82" s="1">
        <v>0</v>
      </c>
      <c r="AT82" s="1">
        <f t="shared" si="7"/>
        <v>90117777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12225319</v>
      </c>
      <c r="G83" s="1">
        <v>2364539</v>
      </c>
      <c r="H83" s="1">
        <v>0</v>
      </c>
      <c r="I83" s="1">
        <v>11325036</v>
      </c>
      <c r="J83" s="1">
        <v>0</v>
      </c>
      <c r="K83" s="1">
        <v>4620000</v>
      </c>
      <c r="L83" s="1">
        <v>0</v>
      </c>
      <c r="M83" s="1">
        <v>400000</v>
      </c>
      <c r="N83" s="1">
        <v>2260589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8521172</v>
      </c>
      <c r="W83" s="1">
        <v>1100000</v>
      </c>
      <c r="X83" s="1">
        <v>1897032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1614706</v>
      </c>
      <c r="AF83" s="1">
        <v>1111269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8834655</v>
      </c>
      <c r="AM83" s="1">
        <v>0</v>
      </c>
      <c r="AN83" s="1">
        <v>56274317</v>
      </c>
      <c r="AO83" s="1">
        <v>29665786</v>
      </c>
      <c r="AP83" s="1">
        <v>26608531</v>
      </c>
      <c r="AQ83" s="1">
        <v>11032610</v>
      </c>
      <c r="AR83" s="1">
        <v>1654891</v>
      </c>
      <c r="AS83" s="1">
        <v>0</v>
      </c>
      <c r="AT83" s="1">
        <f t="shared" si="7"/>
        <v>68961818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21182197</v>
      </c>
      <c r="G84" s="1">
        <v>14257868</v>
      </c>
      <c r="H84" s="1">
        <v>0</v>
      </c>
      <c r="I84" s="1">
        <v>22230987</v>
      </c>
      <c r="J84" s="1">
        <v>0</v>
      </c>
      <c r="K84" s="1">
        <v>0</v>
      </c>
      <c r="L84" s="1">
        <v>0</v>
      </c>
      <c r="M84" s="1">
        <v>400000</v>
      </c>
      <c r="N84" s="1">
        <v>3367021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5207124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2405014</v>
      </c>
      <c r="AF84" s="1">
        <v>1111269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2886018</v>
      </c>
      <c r="AM84" s="1">
        <v>0</v>
      </c>
      <c r="AN84" s="1">
        <v>74147498</v>
      </c>
      <c r="AO84" s="1">
        <v>28991222</v>
      </c>
      <c r="AP84" s="1">
        <v>45156276</v>
      </c>
      <c r="AQ84" s="1">
        <v>14607246</v>
      </c>
      <c r="AR84" s="1">
        <v>2191087</v>
      </c>
      <c r="AS84" s="1">
        <v>0</v>
      </c>
      <c r="AT84" s="1">
        <f t="shared" si="7"/>
        <v>90945831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11733328</v>
      </c>
      <c r="G85" s="1">
        <v>3570574</v>
      </c>
      <c r="H85" s="1">
        <v>0</v>
      </c>
      <c r="I85" s="1">
        <v>10054471</v>
      </c>
      <c r="J85" s="1">
        <v>1000000</v>
      </c>
      <c r="K85" s="1">
        <v>3465000</v>
      </c>
      <c r="L85" s="1">
        <v>0</v>
      </c>
      <c r="M85" s="1">
        <v>400000</v>
      </c>
      <c r="N85" s="1">
        <v>2244552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1342000</v>
      </c>
      <c r="U85" s="1">
        <v>0</v>
      </c>
      <c r="V85" s="1">
        <v>6928600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1603251</v>
      </c>
      <c r="AF85" s="1">
        <v>1111269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3847802</v>
      </c>
      <c r="AM85" s="1">
        <v>0</v>
      </c>
      <c r="AN85" s="1">
        <v>48400847</v>
      </c>
      <c r="AO85" s="1">
        <v>6217592</v>
      </c>
      <c r="AP85" s="1">
        <v>42183255</v>
      </c>
      <c r="AQ85" s="1">
        <v>8989516</v>
      </c>
      <c r="AR85" s="1">
        <v>1348427</v>
      </c>
      <c r="AS85" s="1">
        <v>0</v>
      </c>
      <c r="AT85" s="1">
        <f t="shared" si="7"/>
        <v>58738790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18746783</v>
      </c>
      <c r="G86" s="1">
        <v>936007</v>
      </c>
      <c r="H86" s="1">
        <v>0</v>
      </c>
      <c r="I86" s="1">
        <v>16745558</v>
      </c>
      <c r="J86" s="1">
        <v>0</v>
      </c>
      <c r="K86" s="1">
        <v>5500000</v>
      </c>
      <c r="L86" s="1">
        <v>0</v>
      </c>
      <c r="M86" s="1">
        <v>400000</v>
      </c>
      <c r="N86" s="1">
        <v>2856921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1342000</v>
      </c>
      <c r="U86" s="1">
        <v>0</v>
      </c>
      <c r="V86" s="1">
        <v>16756375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2040658</v>
      </c>
      <c r="AF86" s="1">
        <v>1111269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4897580</v>
      </c>
      <c r="AM86" s="1">
        <v>0</v>
      </c>
      <c r="AN86" s="1">
        <v>72433151</v>
      </c>
      <c r="AO86" s="1">
        <v>9787748</v>
      </c>
      <c r="AP86" s="1">
        <v>62645403</v>
      </c>
      <c r="AQ86" s="1">
        <v>13995976</v>
      </c>
      <c r="AR86" s="1">
        <v>2099396</v>
      </c>
      <c r="AS86" s="1">
        <v>0</v>
      </c>
      <c r="AT86" s="1">
        <f t="shared" si="7"/>
        <v>88528523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15740032</v>
      </c>
      <c r="G87" s="1">
        <v>0</v>
      </c>
      <c r="H87" s="1">
        <v>0</v>
      </c>
      <c r="I87" s="1">
        <v>13375115</v>
      </c>
      <c r="J87" s="1">
        <v>0</v>
      </c>
      <c r="K87" s="1">
        <v>4125000</v>
      </c>
      <c r="L87" s="1">
        <v>0</v>
      </c>
      <c r="M87" s="1">
        <v>400000</v>
      </c>
      <c r="N87" s="1">
        <v>2813282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1342000</v>
      </c>
      <c r="U87" s="1">
        <v>0</v>
      </c>
      <c r="V87" s="1">
        <v>6316027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2009487</v>
      </c>
      <c r="AF87" s="1">
        <v>1111269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3215180</v>
      </c>
      <c r="AM87" s="1">
        <v>0</v>
      </c>
      <c r="AN87" s="1">
        <v>51547392</v>
      </c>
      <c r="AO87" s="1">
        <v>9459909</v>
      </c>
      <c r="AP87" s="1">
        <v>42087483</v>
      </c>
      <c r="AQ87" s="1">
        <v>9818825</v>
      </c>
      <c r="AR87" s="1">
        <v>1472824</v>
      </c>
      <c r="AS87" s="1">
        <v>0</v>
      </c>
      <c r="AT87" s="1">
        <f t="shared" si="7"/>
        <v>62839041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12500676</v>
      </c>
      <c r="G88" s="1">
        <v>1461913</v>
      </c>
      <c r="H88" s="1">
        <v>0</v>
      </c>
      <c r="I88" s="1">
        <v>10905703</v>
      </c>
      <c r="J88" s="1">
        <v>0</v>
      </c>
      <c r="K88" s="1">
        <v>3465000</v>
      </c>
      <c r="L88" s="1">
        <v>0</v>
      </c>
      <c r="M88" s="1">
        <v>400000</v>
      </c>
      <c r="N88" s="1">
        <v>2327359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7375686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1662400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3989759</v>
      </c>
      <c r="AM88" s="1">
        <v>0</v>
      </c>
      <c r="AN88" s="1">
        <v>45188496</v>
      </c>
      <c r="AO88" s="1">
        <v>8519893</v>
      </c>
      <c r="AP88" s="1">
        <v>36668603</v>
      </c>
      <c r="AQ88" s="1">
        <v>9037699</v>
      </c>
      <c r="AR88" s="1">
        <v>1355655</v>
      </c>
      <c r="AS88" s="1">
        <v>0</v>
      </c>
      <c r="AT88" s="1">
        <f t="shared" si="7"/>
        <v>55581850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12687968</v>
      </c>
      <c r="G89" s="1">
        <v>43494151</v>
      </c>
      <c r="H89" s="1">
        <v>0</v>
      </c>
      <c r="I89" s="1">
        <v>12308159</v>
      </c>
      <c r="J89" s="1">
        <v>0</v>
      </c>
      <c r="K89" s="1">
        <v>4620000</v>
      </c>
      <c r="L89" s="1">
        <v>0</v>
      </c>
      <c r="M89" s="1">
        <v>400000</v>
      </c>
      <c r="N89" s="1">
        <v>2439118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1342000</v>
      </c>
      <c r="U89" s="1">
        <v>0</v>
      </c>
      <c r="V89" s="1">
        <v>9143247</v>
      </c>
      <c r="W89" s="1">
        <v>1100000</v>
      </c>
      <c r="X89" s="1">
        <v>1968823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1742227</v>
      </c>
      <c r="AF89" s="1">
        <v>1111269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9729962</v>
      </c>
      <c r="AM89" s="1">
        <v>0</v>
      </c>
      <c r="AN89" s="1">
        <v>102086924</v>
      </c>
      <c r="AO89" s="1">
        <v>13907013</v>
      </c>
      <c r="AP89" s="1">
        <v>88179911</v>
      </c>
      <c r="AQ89" s="1">
        <v>15039174</v>
      </c>
      <c r="AR89" s="1">
        <v>2255876</v>
      </c>
      <c r="AS89" s="1">
        <v>0</v>
      </c>
      <c r="AT89" s="1">
        <f t="shared" si="7"/>
        <v>119381974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12096745</v>
      </c>
      <c r="G90" s="1">
        <v>6159820</v>
      </c>
      <c r="H90" s="1">
        <v>0</v>
      </c>
      <c r="I90" s="1">
        <v>10787705</v>
      </c>
      <c r="J90" s="1">
        <v>0</v>
      </c>
      <c r="K90" s="1">
        <v>4620000</v>
      </c>
      <c r="L90" s="1">
        <v>0</v>
      </c>
      <c r="M90" s="1">
        <v>400000</v>
      </c>
      <c r="N90" s="1">
        <v>2206587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11142911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1576133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5169717</v>
      </c>
      <c r="AM90" s="1">
        <v>0</v>
      </c>
      <c r="AN90" s="1">
        <v>55259618</v>
      </c>
      <c r="AO90" s="1">
        <v>6923616</v>
      </c>
      <c r="AP90" s="1">
        <v>48336002</v>
      </c>
      <c r="AQ90" s="1">
        <v>11051924</v>
      </c>
      <c r="AR90" s="1">
        <v>1657789</v>
      </c>
      <c r="AS90" s="1">
        <v>0</v>
      </c>
      <c r="AT90" s="1">
        <f t="shared" si="7"/>
        <v>67969331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15656482</v>
      </c>
      <c r="G91" s="1">
        <v>7858715</v>
      </c>
      <c r="H91" s="1">
        <v>0</v>
      </c>
      <c r="I91" s="1">
        <v>14447925</v>
      </c>
      <c r="J91" s="1">
        <v>0</v>
      </c>
      <c r="K91" s="1">
        <v>5500000</v>
      </c>
      <c r="L91" s="1">
        <v>0</v>
      </c>
      <c r="M91" s="1">
        <v>400000</v>
      </c>
      <c r="N91" s="1">
        <v>2515842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1342000</v>
      </c>
      <c r="U91" s="1">
        <v>0</v>
      </c>
      <c r="V91" s="1">
        <v>13361902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1797029</v>
      </c>
      <c r="AF91" s="1">
        <v>1111269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4312872</v>
      </c>
      <c r="AM91" s="1">
        <v>0</v>
      </c>
      <c r="AN91" s="1">
        <v>69404036</v>
      </c>
      <c r="AO91" s="1">
        <v>8948856</v>
      </c>
      <c r="AP91" s="1">
        <v>60455180</v>
      </c>
      <c r="AQ91" s="1">
        <v>13390153</v>
      </c>
      <c r="AR91" s="1">
        <v>2008523</v>
      </c>
      <c r="AS91" s="1">
        <v>0</v>
      </c>
      <c r="AT91" s="1">
        <f t="shared" si="7"/>
        <v>84802712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17737528</v>
      </c>
      <c r="G92" s="1">
        <v>17673067</v>
      </c>
      <c r="H92" s="1">
        <v>0</v>
      </c>
      <c r="I92" s="1">
        <v>21392259</v>
      </c>
      <c r="J92" s="1">
        <v>0</v>
      </c>
      <c r="K92" s="1">
        <v>15180000</v>
      </c>
      <c r="L92" s="1">
        <v>0</v>
      </c>
      <c r="M92" s="1">
        <v>400000</v>
      </c>
      <c r="N92" s="1">
        <v>2797339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1342000</v>
      </c>
      <c r="U92" s="1">
        <v>0</v>
      </c>
      <c r="V92" s="1">
        <v>9623166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1998099</v>
      </c>
      <c r="AF92" s="1">
        <v>1111269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3596579</v>
      </c>
      <c r="AM92" s="1">
        <v>0</v>
      </c>
      <c r="AN92" s="1">
        <v>93951306</v>
      </c>
      <c r="AO92" s="1">
        <v>15831479</v>
      </c>
      <c r="AP92" s="1">
        <v>78119827</v>
      </c>
      <c r="AQ92" s="1">
        <v>15427066</v>
      </c>
      <c r="AR92" s="1">
        <v>2314060</v>
      </c>
      <c r="AS92" s="1">
        <v>0</v>
      </c>
      <c r="AT92" s="1">
        <f t="shared" si="7"/>
        <v>111692432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19188007</v>
      </c>
      <c r="G93" s="1">
        <v>8072718</v>
      </c>
      <c r="H93" s="1">
        <v>0</v>
      </c>
      <c r="I93" s="1">
        <v>17383318</v>
      </c>
      <c r="J93" s="1">
        <v>0</v>
      </c>
      <c r="K93" s="1">
        <v>5500000</v>
      </c>
      <c r="L93" s="1">
        <v>0</v>
      </c>
      <c r="M93" s="1">
        <v>400000</v>
      </c>
      <c r="N93" s="1">
        <v>3011349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1342000</v>
      </c>
      <c r="U93" s="1">
        <v>0</v>
      </c>
      <c r="V93" s="1">
        <v>16918070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2150964</v>
      </c>
      <c r="AF93" s="1">
        <v>1111269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4301928</v>
      </c>
      <c r="AM93" s="1">
        <v>0</v>
      </c>
      <c r="AN93" s="1">
        <v>80479623</v>
      </c>
      <c r="AO93" s="1">
        <v>29597088</v>
      </c>
      <c r="AP93" s="1">
        <v>50882535</v>
      </c>
      <c r="AQ93" s="1">
        <v>15039174</v>
      </c>
      <c r="AR93" s="1">
        <v>2255876</v>
      </c>
      <c r="AS93" s="1">
        <v>0</v>
      </c>
      <c r="AT93" s="1">
        <f t="shared" si="7"/>
        <v>97774673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18976080</v>
      </c>
      <c r="G94" s="1">
        <v>31262061</v>
      </c>
      <c r="H94" s="1">
        <v>0</v>
      </c>
      <c r="I94" s="1">
        <v>17924420</v>
      </c>
      <c r="J94" s="1">
        <v>0</v>
      </c>
      <c r="K94" s="1">
        <v>4125000</v>
      </c>
      <c r="L94" s="1">
        <v>0</v>
      </c>
      <c r="M94" s="1">
        <v>400000</v>
      </c>
      <c r="N94" s="1">
        <v>2937175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8239713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2683820</v>
      </c>
      <c r="AD94" s="1">
        <v>0</v>
      </c>
      <c r="AE94" s="1">
        <v>2097983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3146974</v>
      </c>
      <c r="AM94" s="1">
        <v>0</v>
      </c>
      <c r="AN94" s="1">
        <v>92893226</v>
      </c>
      <c r="AO94" s="1">
        <v>14742643</v>
      </c>
      <c r="AP94" s="1">
        <v>78150583</v>
      </c>
      <c r="AQ94" s="1">
        <v>15039174</v>
      </c>
      <c r="AR94" s="1">
        <v>2255876</v>
      </c>
      <c r="AS94" s="1">
        <v>0</v>
      </c>
      <c r="AT94" s="1">
        <f t="shared" si="7"/>
        <v>110188276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11809058</v>
      </c>
      <c r="G95" s="1">
        <v>11529256</v>
      </c>
      <c r="H95" s="1">
        <v>0</v>
      </c>
      <c r="I95" s="1">
        <v>10312663</v>
      </c>
      <c r="J95" s="1">
        <v>0</v>
      </c>
      <c r="K95" s="1">
        <v>4620000</v>
      </c>
      <c r="L95" s="1">
        <v>0</v>
      </c>
      <c r="M95" s="1">
        <v>400000</v>
      </c>
      <c r="N95" s="1">
        <v>2103297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1342000</v>
      </c>
      <c r="U95" s="1">
        <v>0</v>
      </c>
      <c r="V95" s="1">
        <v>8078852</v>
      </c>
      <c r="W95" s="1">
        <v>1100000</v>
      </c>
      <c r="X95" s="1">
        <v>1832440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1502354</v>
      </c>
      <c r="AF95" s="1">
        <v>1111269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8650721</v>
      </c>
      <c r="AM95" s="1">
        <v>0</v>
      </c>
      <c r="AN95" s="1">
        <v>64391910</v>
      </c>
      <c r="AO95" s="1">
        <v>8156819</v>
      </c>
      <c r="AP95" s="1">
        <v>56235091</v>
      </c>
      <c r="AQ95" s="1">
        <v>12387728</v>
      </c>
      <c r="AR95" s="1">
        <v>1858159</v>
      </c>
      <c r="AS95" s="1">
        <v>0</v>
      </c>
      <c r="AT95" s="1">
        <f t="shared" si="7"/>
        <v>78637797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12219289</v>
      </c>
      <c r="G96" s="1">
        <v>5310687</v>
      </c>
      <c r="H96" s="1">
        <v>0</v>
      </c>
      <c r="I96" s="1">
        <v>11076449</v>
      </c>
      <c r="J96" s="1">
        <v>0</v>
      </c>
      <c r="K96" s="1">
        <v>4620000</v>
      </c>
      <c r="L96" s="1">
        <v>0</v>
      </c>
      <c r="M96" s="1">
        <v>400000</v>
      </c>
      <c r="N96" s="1">
        <v>2241676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9920567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1601197</v>
      </c>
      <c r="AF96" s="1">
        <v>1111269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4355256</v>
      </c>
      <c r="AM96" s="1">
        <v>0</v>
      </c>
      <c r="AN96" s="1">
        <v>53956390</v>
      </c>
      <c r="AO96" s="1">
        <v>6669107</v>
      </c>
      <c r="AP96" s="1">
        <v>47287283</v>
      </c>
      <c r="AQ96" s="1">
        <v>10569024</v>
      </c>
      <c r="AR96" s="1">
        <v>1585354</v>
      </c>
      <c r="AS96" s="1">
        <v>0</v>
      </c>
      <c r="AT96" s="1">
        <f t="shared" si="7"/>
        <v>66110768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7392063</v>
      </c>
      <c r="G97" s="1">
        <v>952755</v>
      </c>
      <c r="H97" s="1">
        <v>0</v>
      </c>
      <c r="I97" s="1">
        <v>5396206</v>
      </c>
      <c r="J97" s="1">
        <v>0</v>
      </c>
      <c r="K97" s="1">
        <v>0</v>
      </c>
      <c r="L97" s="1">
        <v>3500010</v>
      </c>
      <c r="M97" s="1">
        <v>400000</v>
      </c>
      <c r="N97" s="1">
        <v>3890560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5082777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3026826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2439053</v>
      </c>
      <c r="AK97" s="1">
        <v>0</v>
      </c>
      <c r="AL97" s="1">
        <v>0</v>
      </c>
      <c r="AM97" s="1">
        <v>0</v>
      </c>
      <c r="AN97" s="1">
        <v>34291519</v>
      </c>
      <c r="AO97" s="1">
        <v>3315409</v>
      </c>
      <c r="AP97" s="1">
        <v>30976110</v>
      </c>
      <c r="AQ97" s="1">
        <v>6636050</v>
      </c>
      <c r="AR97" s="1">
        <v>995408</v>
      </c>
      <c r="AS97" s="1">
        <v>0</v>
      </c>
      <c r="AT97" s="1">
        <f t="shared" si="7"/>
        <v>41922977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12857158</v>
      </c>
      <c r="G98" s="1">
        <v>25011274</v>
      </c>
      <c r="H98" s="1">
        <v>0</v>
      </c>
      <c r="I98" s="1">
        <v>11924264</v>
      </c>
      <c r="J98" s="1">
        <v>0</v>
      </c>
      <c r="K98" s="1">
        <v>4620000</v>
      </c>
      <c r="L98" s="1">
        <v>0</v>
      </c>
      <c r="M98" s="1">
        <v>400000</v>
      </c>
      <c r="N98" s="1">
        <v>2470531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8905258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1764665</v>
      </c>
      <c r="AF98" s="1">
        <v>1111269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4588128</v>
      </c>
      <c r="AM98" s="1">
        <v>0</v>
      </c>
      <c r="AN98" s="1">
        <v>74752547</v>
      </c>
      <c r="AO98" s="1">
        <v>11238503</v>
      </c>
      <c r="AP98" s="1">
        <v>63514044</v>
      </c>
      <c r="AQ98" s="1">
        <v>14728256</v>
      </c>
      <c r="AR98" s="1">
        <v>2209238</v>
      </c>
      <c r="AS98" s="1">
        <v>0</v>
      </c>
      <c r="AT98" s="1">
        <f t="shared" si="7"/>
        <v>91690041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11932306</v>
      </c>
      <c r="G99" s="1">
        <v>1396750</v>
      </c>
      <c r="H99" s="1">
        <v>0</v>
      </c>
      <c r="I99" s="1">
        <v>10110915</v>
      </c>
      <c r="J99" s="1">
        <v>1000000</v>
      </c>
      <c r="K99" s="1">
        <v>3465000</v>
      </c>
      <c r="L99" s="1">
        <v>0</v>
      </c>
      <c r="M99" s="1">
        <v>400000</v>
      </c>
      <c r="N99" s="1">
        <v>2316908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1342000</v>
      </c>
      <c r="U99" s="1">
        <v>0</v>
      </c>
      <c r="V99" s="1">
        <v>7046922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1654933</v>
      </c>
      <c r="AF99" s="1">
        <v>1111269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3971840</v>
      </c>
      <c r="AM99" s="1">
        <v>0</v>
      </c>
      <c r="AN99" s="1">
        <v>46848843</v>
      </c>
      <c r="AO99" s="1">
        <v>7077567</v>
      </c>
      <c r="AP99" s="1">
        <v>39771276</v>
      </c>
      <c r="AQ99" s="1">
        <v>8679115</v>
      </c>
      <c r="AR99" s="1">
        <v>1301867</v>
      </c>
      <c r="AS99" s="1">
        <v>0</v>
      </c>
      <c r="AT99" s="1">
        <f t="shared" si="7"/>
        <v>56829825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13863743</v>
      </c>
      <c r="G100" s="1">
        <v>0</v>
      </c>
      <c r="H100" s="1">
        <v>0</v>
      </c>
      <c r="I100" s="1">
        <v>12273769</v>
      </c>
      <c r="J100" s="1">
        <v>1000000</v>
      </c>
      <c r="K100" s="1">
        <v>4125000</v>
      </c>
      <c r="L100" s="1">
        <v>0</v>
      </c>
      <c r="M100" s="1">
        <v>400000</v>
      </c>
      <c r="N100" s="1">
        <v>2244789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3207017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1603421</v>
      </c>
      <c r="AF100" s="1">
        <v>1111269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2084448</v>
      </c>
      <c r="AM100" s="1">
        <v>0</v>
      </c>
      <c r="AN100" s="1">
        <v>43013456</v>
      </c>
      <c r="AO100" s="1">
        <v>3786123</v>
      </c>
      <c r="AP100" s="1">
        <v>39227333</v>
      </c>
      <c r="AQ100" s="1">
        <v>8180437</v>
      </c>
      <c r="AR100" s="1">
        <v>1227066</v>
      </c>
      <c r="AS100" s="1">
        <v>0</v>
      </c>
      <c r="AT100" s="1">
        <f t="shared" si="7"/>
        <v>52420959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12296022</v>
      </c>
      <c r="G101" s="1">
        <v>6605030</v>
      </c>
      <c r="H101" s="1">
        <v>0</v>
      </c>
      <c r="I101" s="1">
        <v>10865993</v>
      </c>
      <c r="J101" s="1">
        <v>0</v>
      </c>
      <c r="K101" s="1">
        <v>3465000</v>
      </c>
      <c r="L101" s="1">
        <v>0</v>
      </c>
      <c r="M101" s="1">
        <v>400000</v>
      </c>
      <c r="N101" s="1">
        <v>2280335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8330971</v>
      </c>
      <c r="W101" s="1">
        <v>1100000</v>
      </c>
      <c r="X101" s="1">
        <v>1908003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1628810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8379780</v>
      </c>
      <c r="AM101" s="1">
        <v>0</v>
      </c>
      <c r="AN101" s="1">
        <v>57259944</v>
      </c>
      <c r="AO101" s="1">
        <v>8366585</v>
      </c>
      <c r="AP101" s="1">
        <v>48893359</v>
      </c>
      <c r="AQ101" s="1">
        <v>11451989</v>
      </c>
      <c r="AR101" s="1">
        <v>1717798</v>
      </c>
      <c r="AS101" s="1">
        <v>0</v>
      </c>
      <c r="AT101" s="1">
        <f t="shared" si="7"/>
        <v>70429731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16799494</v>
      </c>
      <c r="G102" s="1">
        <v>5447201</v>
      </c>
      <c r="H102" s="1">
        <v>0</v>
      </c>
      <c r="I102" s="1">
        <v>14897319</v>
      </c>
      <c r="J102" s="1">
        <v>0</v>
      </c>
      <c r="K102" s="1">
        <v>5500000</v>
      </c>
      <c r="L102" s="1">
        <v>0</v>
      </c>
      <c r="M102" s="1">
        <v>400000</v>
      </c>
      <c r="N102" s="1">
        <v>2915896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22239013</v>
      </c>
      <c r="W102" s="1">
        <v>1100000</v>
      </c>
      <c r="X102" s="1">
        <v>1634160</v>
      </c>
      <c r="Y102" s="1">
        <v>0</v>
      </c>
      <c r="Z102" s="1">
        <v>0</v>
      </c>
      <c r="AA102" s="1">
        <v>0</v>
      </c>
      <c r="AB102" s="1">
        <v>0</v>
      </c>
      <c r="AC102" s="1">
        <v>3074667</v>
      </c>
      <c r="AD102" s="1">
        <v>0</v>
      </c>
      <c r="AE102" s="1">
        <v>2082783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10205149</v>
      </c>
      <c r="AM102" s="1">
        <v>0</v>
      </c>
      <c r="AN102" s="1">
        <v>86295682</v>
      </c>
      <c r="AO102" s="1">
        <v>11872888</v>
      </c>
      <c r="AP102" s="1">
        <v>74422794</v>
      </c>
      <c r="AQ102" s="1">
        <v>15039174</v>
      </c>
      <c r="AR102" s="1">
        <v>2255876</v>
      </c>
      <c r="AS102" s="1">
        <v>0</v>
      </c>
      <c r="AT102" s="1">
        <f t="shared" si="7"/>
        <v>103590732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6767526</v>
      </c>
      <c r="G103" s="1">
        <v>3048355</v>
      </c>
      <c r="H103" s="1">
        <v>0</v>
      </c>
      <c r="I103" s="1">
        <v>5143320</v>
      </c>
      <c r="J103" s="1">
        <v>0</v>
      </c>
      <c r="K103" s="1">
        <v>0</v>
      </c>
      <c r="L103" s="1">
        <v>3500010</v>
      </c>
      <c r="M103" s="1">
        <v>400000</v>
      </c>
      <c r="N103" s="1">
        <v>3561855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4799338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2845907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3442848</v>
      </c>
      <c r="AK103" s="1">
        <v>0</v>
      </c>
      <c r="AL103" s="1">
        <v>0</v>
      </c>
      <c r="AM103" s="1">
        <v>0</v>
      </c>
      <c r="AN103" s="1">
        <v>36831697</v>
      </c>
      <c r="AO103" s="1">
        <v>3666593</v>
      </c>
      <c r="AP103" s="1">
        <v>33165104</v>
      </c>
      <c r="AQ103" s="1">
        <v>6921832</v>
      </c>
      <c r="AR103" s="1">
        <v>1038275</v>
      </c>
      <c r="AS103" s="1">
        <v>0</v>
      </c>
      <c r="AT103" s="1">
        <f t="shared" si="7"/>
        <v>44791804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16757470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2222538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18980008</v>
      </c>
      <c r="AO104" s="1">
        <v>18980008</v>
      </c>
      <c r="AP104" s="1">
        <v>0</v>
      </c>
      <c r="AQ104" s="1">
        <v>0</v>
      </c>
      <c r="AR104" s="1">
        <v>0</v>
      </c>
      <c r="AS104" s="1">
        <v>0</v>
      </c>
      <c r="AT104" s="1">
        <f t="shared" si="7"/>
        <v>18980008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12559233</v>
      </c>
      <c r="G105" s="1">
        <v>4701708</v>
      </c>
      <c r="H105" s="1">
        <v>0</v>
      </c>
      <c r="I105" s="1">
        <v>12278882</v>
      </c>
      <c r="J105" s="1">
        <v>0</v>
      </c>
      <c r="K105" s="1">
        <v>4620000</v>
      </c>
      <c r="L105" s="1">
        <v>0</v>
      </c>
      <c r="M105" s="1">
        <v>400000</v>
      </c>
      <c r="N105" s="1">
        <v>2395461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1342000</v>
      </c>
      <c r="U105" s="1">
        <v>0</v>
      </c>
      <c r="V105" s="1">
        <v>17450388</v>
      </c>
      <c r="W105" s="1">
        <v>1100000</v>
      </c>
      <c r="X105" s="1">
        <v>1948847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1711044</v>
      </c>
      <c r="AF105" s="1">
        <v>2222538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10269735</v>
      </c>
      <c r="AM105" s="1">
        <v>0</v>
      </c>
      <c r="AN105" s="1">
        <v>72999836</v>
      </c>
      <c r="AO105" s="1">
        <v>12919884</v>
      </c>
      <c r="AP105" s="1">
        <v>60079952</v>
      </c>
      <c r="AQ105" s="1">
        <v>13887060</v>
      </c>
      <c r="AR105" s="1">
        <v>2083059</v>
      </c>
      <c r="AS105" s="1">
        <v>0</v>
      </c>
      <c r="AT105" s="1">
        <f t="shared" si="7"/>
        <v>88969955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18901385</v>
      </c>
      <c r="G106" s="1">
        <v>8204785</v>
      </c>
      <c r="H106" s="1">
        <v>0</v>
      </c>
      <c r="I106" s="1">
        <v>17235626</v>
      </c>
      <c r="J106" s="1">
        <v>0</v>
      </c>
      <c r="K106" s="1">
        <v>4125000</v>
      </c>
      <c r="L106" s="1">
        <v>0</v>
      </c>
      <c r="M106" s="1">
        <v>400000</v>
      </c>
      <c r="N106" s="1">
        <v>2911033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1342000</v>
      </c>
      <c r="U106" s="1">
        <v>0</v>
      </c>
      <c r="V106" s="1">
        <v>10033229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2345085</v>
      </c>
      <c r="AD106" s="1">
        <v>0</v>
      </c>
      <c r="AE106" s="1">
        <v>2079309</v>
      </c>
      <c r="AF106" s="1">
        <v>1111269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3742755</v>
      </c>
      <c r="AM106" s="1">
        <v>0</v>
      </c>
      <c r="AN106" s="1">
        <v>73531476</v>
      </c>
      <c r="AO106" s="1">
        <v>28622273</v>
      </c>
      <c r="AP106" s="1">
        <v>44909203</v>
      </c>
      <c r="AQ106" s="1">
        <v>14215641</v>
      </c>
      <c r="AR106" s="1">
        <v>2132346</v>
      </c>
      <c r="AS106" s="1">
        <v>0</v>
      </c>
      <c r="AT106" s="1">
        <f t="shared" si="7"/>
        <v>89879463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12536651</v>
      </c>
      <c r="G107" s="1">
        <v>3097179</v>
      </c>
      <c r="H107" s="1">
        <v>0</v>
      </c>
      <c r="I107" s="1">
        <v>10898824</v>
      </c>
      <c r="J107" s="1">
        <v>0</v>
      </c>
      <c r="K107" s="1">
        <v>4620000</v>
      </c>
      <c r="L107" s="1">
        <v>0</v>
      </c>
      <c r="M107" s="1">
        <v>400000</v>
      </c>
      <c r="N107" s="1">
        <v>2387557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15805872</v>
      </c>
      <c r="W107" s="1">
        <v>1100000</v>
      </c>
      <c r="X107" s="1">
        <v>1945342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1705398</v>
      </c>
      <c r="AF107" s="1">
        <v>2222538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7990383</v>
      </c>
      <c r="AM107" s="1">
        <v>0</v>
      </c>
      <c r="AN107" s="1">
        <v>64709744</v>
      </c>
      <c r="AO107" s="1">
        <v>9866097</v>
      </c>
      <c r="AP107" s="1">
        <v>54843647</v>
      </c>
      <c r="AQ107" s="1">
        <v>12497441</v>
      </c>
      <c r="AR107" s="1">
        <v>1874616</v>
      </c>
      <c r="AS107" s="1">
        <v>0</v>
      </c>
      <c r="AT107" s="1">
        <f t="shared" si="7"/>
        <v>79081801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6951849</v>
      </c>
      <c r="G108" s="1">
        <v>1275200</v>
      </c>
      <c r="H108" s="1">
        <v>0</v>
      </c>
      <c r="I108" s="1">
        <v>5144369</v>
      </c>
      <c r="J108" s="1">
        <v>0</v>
      </c>
      <c r="K108" s="1">
        <v>0</v>
      </c>
      <c r="L108" s="1">
        <v>3500010</v>
      </c>
      <c r="M108" s="1">
        <v>400000</v>
      </c>
      <c r="N108" s="1">
        <v>3683099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4871392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2891899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3497690</v>
      </c>
      <c r="AK108" s="1">
        <v>0</v>
      </c>
      <c r="AL108" s="1">
        <v>0</v>
      </c>
      <c r="AM108" s="1">
        <v>0</v>
      </c>
      <c r="AN108" s="1">
        <v>36649315</v>
      </c>
      <c r="AO108" s="1">
        <v>3560386</v>
      </c>
      <c r="AP108" s="1">
        <v>33088929</v>
      </c>
      <c r="AQ108" s="1">
        <v>6663102</v>
      </c>
      <c r="AR108" s="1">
        <v>999465</v>
      </c>
      <c r="AS108" s="1">
        <v>0</v>
      </c>
      <c r="AT108" s="1">
        <f t="shared" si="7"/>
        <v>44311882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11446765</v>
      </c>
      <c r="G109" s="1">
        <v>5788586</v>
      </c>
      <c r="H109" s="1">
        <v>0</v>
      </c>
      <c r="I109" s="1">
        <v>10180389</v>
      </c>
      <c r="J109" s="1">
        <v>0</v>
      </c>
      <c r="K109" s="1">
        <v>4620000</v>
      </c>
      <c r="L109" s="1">
        <v>0</v>
      </c>
      <c r="M109" s="1">
        <v>400000</v>
      </c>
      <c r="N109" s="1">
        <v>2004096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1342000</v>
      </c>
      <c r="U109" s="1">
        <v>0</v>
      </c>
      <c r="V109" s="1">
        <v>14770480</v>
      </c>
      <c r="W109" s="1">
        <v>1100000</v>
      </c>
      <c r="X109" s="1">
        <v>1776222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1431497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8129341</v>
      </c>
      <c r="AM109" s="1">
        <v>0</v>
      </c>
      <c r="AN109" s="1">
        <v>62989376</v>
      </c>
      <c r="AO109" s="1">
        <v>11048932</v>
      </c>
      <c r="AP109" s="1">
        <v>51940444</v>
      </c>
      <c r="AQ109" s="1">
        <v>12329475</v>
      </c>
      <c r="AR109" s="1">
        <v>1849421</v>
      </c>
      <c r="AS109" s="1">
        <v>0</v>
      </c>
      <c r="AT109" s="1">
        <f t="shared" si="7"/>
        <v>77168272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18335091</v>
      </c>
      <c r="G110" s="1">
        <v>11137389</v>
      </c>
      <c r="H110" s="1">
        <v>0</v>
      </c>
      <c r="I110" s="1">
        <v>16111916</v>
      </c>
      <c r="J110" s="1">
        <v>0</v>
      </c>
      <c r="K110" s="1">
        <v>5500000</v>
      </c>
      <c r="L110" s="1">
        <v>0</v>
      </c>
      <c r="M110" s="1">
        <v>400000</v>
      </c>
      <c r="N110" s="1">
        <v>2712829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15311847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1937736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4650564</v>
      </c>
      <c r="AM110" s="1">
        <v>0</v>
      </c>
      <c r="AN110" s="1">
        <v>77197372</v>
      </c>
      <c r="AO110" s="1">
        <v>10463057</v>
      </c>
      <c r="AP110" s="1">
        <v>66734315</v>
      </c>
      <c r="AQ110" s="1">
        <v>15039174</v>
      </c>
      <c r="AR110" s="1">
        <v>2255876</v>
      </c>
      <c r="AS110" s="1">
        <v>0</v>
      </c>
      <c r="AT110" s="1">
        <f t="shared" si="7"/>
        <v>94492422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12243911</v>
      </c>
      <c r="G111" s="1">
        <v>8025252</v>
      </c>
      <c r="H111" s="1">
        <v>0</v>
      </c>
      <c r="I111" s="1">
        <v>10918040</v>
      </c>
      <c r="J111" s="1">
        <v>0</v>
      </c>
      <c r="K111" s="1">
        <v>3465000</v>
      </c>
      <c r="L111" s="1">
        <v>0</v>
      </c>
      <c r="M111" s="1">
        <v>400000</v>
      </c>
      <c r="N111" s="1">
        <v>2264896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1342000</v>
      </c>
      <c r="U111" s="1">
        <v>0</v>
      </c>
      <c r="V111" s="1">
        <v>8435256</v>
      </c>
      <c r="W111" s="1">
        <v>1100000</v>
      </c>
      <c r="X111" s="1">
        <v>1899917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1617782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8850078</v>
      </c>
      <c r="AM111" s="1">
        <v>0</v>
      </c>
      <c r="AN111" s="1">
        <v>60562132</v>
      </c>
      <c r="AO111" s="1">
        <v>8658593</v>
      </c>
      <c r="AP111" s="1">
        <v>51903539</v>
      </c>
      <c r="AQ111" s="1">
        <v>11844026</v>
      </c>
      <c r="AR111" s="1">
        <v>1776604</v>
      </c>
      <c r="AS111" s="1">
        <v>0</v>
      </c>
      <c r="AT111" s="1">
        <f t="shared" si="7"/>
        <v>74182762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16655315</v>
      </c>
      <c r="G112" s="1">
        <v>2660355</v>
      </c>
      <c r="H112" s="1">
        <v>0</v>
      </c>
      <c r="I112" s="1">
        <v>13751653</v>
      </c>
      <c r="J112" s="1">
        <v>0</v>
      </c>
      <c r="K112" s="1">
        <v>5500000</v>
      </c>
      <c r="L112" s="1">
        <v>0</v>
      </c>
      <c r="M112" s="1">
        <v>400000</v>
      </c>
      <c r="N112" s="1">
        <v>2865433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16896792</v>
      </c>
      <c r="W112" s="1">
        <v>1100000</v>
      </c>
      <c r="X112" s="1">
        <v>2584445</v>
      </c>
      <c r="Y112" s="1">
        <v>0</v>
      </c>
      <c r="Z112" s="1">
        <v>0</v>
      </c>
      <c r="AA112" s="1">
        <v>0</v>
      </c>
      <c r="AB112" s="1">
        <v>0</v>
      </c>
      <c r="AC112" s="1">
        <v>3074667</v>
      </c>
      <c r="AD112" s="1">
        <v>0</v>
      </c>
      <c r="AE112" s="1">
        <v>2046738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15246805</v>
      </c>
      <c r="AM112" s="1">
        <v>0</v>
      </c>
      <c r="AN112" s="1">
        <v>82782203</v>
      </c>
      <c r="AO112" s="1">
        <v>11021539</v>
      </c>
      <c r="AP112" s="1">
        <v>71760664</v>
      </c>
      <c r="AQ112" s="1">
        <v>15039174</v>
      </c>
      <c r="AR112" s="1">
        <v>2255876</v>
      </c>
      <c r="AS112" s="1">
        <v>0</v>
      </c>
      <c r="AT112" s="1">
        <f t="shared" si="7"/>
        <v>100077253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16479868</v>
      </c>
      <c r="G113" s="1">
        <v>9774086</v>
      </c>
      <c r="H113" s="1">
        <v>0</v>
      </c>
      <c r="I113" s="1">
        <v>15294559</v>
      </c>
      <c r="J113" s="1">
        <v>0</v>
      </c>
      <c r="K113" s="1">
        <v>5500000</v>
      </c>
      <c r="L113" s="1">
        <v>0</v>
      </c>
      <c r="M113" s="1">
        <v>400000</v>
      </c>
      <c r="N113" s="1">
        <v>2804026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13242876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2002876</v>
      </c>
      <c r="AF113" s="1">
        <v>2222538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4165982</v>
      </c>
      <c r="AM113" s="1">
        <v>0</v>
      </c>
      <c r="AN113" s="1">
        <v>72986811</v>
      </c>
      <c r="AO113" s="1">
        <v>9740652</v>
      </c>
      <c r="AP113" s="1">
        <v>63246159</v>
      </c>
      <c r="AQ113" s="1">
        <v>14152855</v>
      </c>
      <c r="AR113" s="1">
        <v>2122928</v>
      </c>
      <c r="AS113" s="1">
        <v>0</v>
      </c>
      <c r="AT113" s="1">
        <f t="shared" si="7"/>
        <v>89262594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16782123</v>
      </c>
      <c r="G114" s="1">
        <v>14079656</v>
      </c>
      <c r="H114" s="1">
        <v>0</v>
      </c>
      <c r="I114" s="1">
        <v>14584084</v>
      </c>
      <c r="J114" s="1">
        <v>0</v>
      </c>
      <c r="K114" s="1">
        <v>4125000</v>
      </c>
      <c r="L114" s="1">
        <v>0</v>
      </c>
      <c r="M114" s="1">
        <v>400000</v>
      </c>
      <c r="N114" s="1">
        <v>2909817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8608661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2078440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4156880</v>
      </c>
      <c r="AM114" s="1">
        <v>0</v>
      </c>
      <c r="AN114" s="1">
        <v>68824661</v>
      </c>
      <c r="AO114" s="1">
        <v>12988546</v>
      </c>
      <c r="AP114" s="1">
        <v>55836115</v>
      </c>
      <c r="AQ114" s="1">
        <v>13764932</v>
      </c>
      <c r="AR114" s="1">
        <v>2064740</v>
      </c>
      <c r="AS114" s="1">
        <v>0</v>
      </c>
      <c r="AT114" s="1">
        <f t="shared" si="7"/>
        <v>84654333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14301261</v>
      </c>
      <c r="G115" s="1">
        <v>8845032</v>
      </c>
      <c r="H115" s="1">
        <v>0</v>
      </c>
      <c r="I115" s="1">
        <v>13275069</v>
      </c>
      <c r="J115" s="1">
        <v>0</v>
      </c>
      <c r="K115" s="1">
        <v>4125000</v>
      </c>
      <c r="L115" s="1">
        <v>0</v>
      </c>
      <c r="M115" s="1">
        <v>400000</v>
      </c>
      <c r="N115" s="1">
        <v>2447939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1342000</v>
      </c>
      <c r="U115" s="1">
        <v>0</v>
      </c>
      <c r="V115" s="1">
        <v>6624850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2374164</v>
      </c>
      <c r="AD115" s="1">
        <v>0</v>
      </c>
      <c r="AE115" s="1">
        <v>1748528</v>
      </c>
      <c r="AF115" s="1">
        <v>1111269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2657762</v>
      </c>
      <c r="AM115" s="1">
        <v>0</v>
      </c>
      <c r="AN115" s="1">
        <v>60352874</v>
      </c>
      <c r="AO115" s="1">
        <v>12539697</v>
      </c>
      <c r="AP115" s="1">
        <v>47813177</v>
      </c>
      <c r="AQ115" s="1">
        <v>11579921</v>
      </c>
      <c r="AR115" s="1">
        <v>1736988</v>
      </c>
      <c r="AS115" s="1">
        <v>0</v>
      </c>
      <c r="AT115" s="1">
        <f t="shared" si="7"/>
        <v>73669783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11921901</v>
      </c>
      <c r="G116" s="1">
        <v>6310865</v>
      </c>
      <c r="H116" s="1">
        <v>0</v>
      </c>
      <c r="I116" s="1">
        <v>9419480</v>
      </c>
      <c r="J116" s="1">
        <v>0</v>
      </c>
      <c r="K116" s="1">
        <v>4620000</v>
      </c>
      <c r="L116" s="1">
        <v>0</v>
      </c>
      <c r="M116" s="1">
        <v>400000</v>
      </c>
      <c r="N116" s="1">
        <v>2162993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14146094</v>
      </c>
      <c r="W116" s="1">
        <v>1100000</v>
      </c>
      <c r="X116" s="1">
        <v>1849950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1544995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7284558</v>
      </c>
      <c r="AM116" s="1">
        <v>0</v>
      </c>
      <c r="AN116" s="1">
        <v>60760836</v>
      </c>
      <c r="AO116" s="1">
        <v>9946165</v>
      </c>
      <c r="AP116" s="1">
        <v>50814671</v>
      </c>
      <c r="AQ116" s="1">
        <v>12152167</v>
      </c>
      <c r="AR116" s="1">
        <v>1822825</v>
      </c>
      <c r="AS116" s="1">
        <v>0</v>
      </c>
      <c r="AT116" s="1">
        <f t="shared" si="7"/>
        <v>74735828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5950010</v>
      </c>
      <c r="G117" s="1">
        <v>4024690</v>
      </c>
      <c r="H117" s="1">
        <v>0</v>
      </c>
      <c r="I117" s="1">
        <v>4403007</v>
      </c>
      <c r="J117" s="1">
        <v>0</v>
      </c>
      <c r="K117" s="1">
        <v>0</v>
      </c>
      <c r="L117" s="1">
        <v>3500010</v>
      </c>
      <c r="M117" s="1">
        <v>400000</v>
      </c>
      <c r="N117" s="1">
        <v>3152323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4337007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29089585</v>
      </c>
      <c r="AO117" s="1">
        <v>2365918</v>
      </c>
      <c r="AP117" s="1">
        <v>26723667</v>
      </c>
      <c r="AQ117" s="1">
        <v>5373409</v>
      </c>
      <c r="AR117" s="1">
        <v>806011</v>
      </c>
      <c r="AS117" s="1">
        <v>0</v>
      </c>
      <c r="AT117" s="1">
        <f t="shared" si="7"/>
        <v>35269005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12910127</v>
      </c>
      <c r="G118" s="1">
        <v>18958506</v>
      </c>
      <c r="H118" s="1">
        <v>0</v>
      </c>
      <c r="I118" s="1">
        <v>12023472</v>
      </c>
      <c r="J118" s="1">
        <v>0</v>
      </c>
      <c r="K118" s="1">
        <v>4620000</v>
      </c>
      <c r="L118" s="1">
        <v>0</v>
      </c>
      <c r="M118" s="1">
        <v>400000</v>
      </c>
      <c r="N118" s="1">
        <v>2518274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1342000</v>
      </c>
      <c r="U118" s="1">
        <v>0</v>
      </c>
      <c r="V118" s="1">
        <v>12618447</v>
      </c>
      <c r="W118" s="1">
        <v>1100000</v>
      </c>
      <c r="X118" s="1">
        <v>2003296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1798768</v>
      </c>
      <c r="AF118" s="1">
        <v>1111269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10492501</v>
      </c>
      <c r="AM118" s="1">
        <v>0</v>
      </c>
      <c r="AN118" s="1">
        <v>81896660</v>
      </c>
      <c r="AO118" s="1">
        <v>10958785</v>
      </c>
      <c r="AP118" s="1">
        <v>70937875</v>
      </c>
      <c r="AQ118" s="1">
        <v>15039174</v>
      </c>
      <c r="AR118" s="1">
        <v>2255876</v>
      </c>
      <c r="AS118" s="1">
        <v>0</v>
      </c>
      <c r="AT118" s="1">
        <f t="shared" si="7"/>
        <v>99191710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12500592</v>
      </c>
      <c r="G119" s="1">
        <v>9542192</v>
      </c>
      <c r="H119" s="1">
        <v>0</v>
      </c>
      <c r="I119" s="1">
        <v>11879077</v>
      </c>
      <c r="J119" s="1">
        <v>0</v>
      </c>
      <c r="K119" s="1">
        <v>4620000</v>
      </c>
      <c r="L119" s="1">
        <v>0</v>
      </c>
      <c r="M119" s="1">
        <v>400000</v>
      </c>
      <c r="N119" s="1">
        <v>2367336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8915285</v>
      </c>
      <c r="W119" s="1">
        <v>1100000</v>
      </c>
      <c r="X119" s="1">
        <v>1939747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1690954</v>
      </c>
      <c r="AF119" s="1">
        <v>1111269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9499422</v>
      </c>
      <c r="AM119" s="1">
        <v>0</v>
      </c>
      <c r="AN119" s="1">
        <v>65565874</v>
      </c>
      <c r="AO119" s="1">
        <v>9727219</v>
      </c>
      <c r="AP119" s="1">
        <v>55838655</v>
      </c>
      <c r="AQ119" s="1">
        <v>12890921</v>
      </c>
      <c r="AR119" s="1">
        <v>1933638</v>
      </c>
      <c r="AS119" s="1">
        <v>0</v>
      </c>
      <c r="AT119" s="1">
        <f t="shared" si="7"/>
        <v>80390433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6475734</v>
      </c>
      <c r="G120" s="1">
        <v>3781662</v>
      </c>
      <c r="H120" s="1">
        <v>0</v>
      </c>
      <c r="I120" s="1">
        <v>4792043</v>
      </c>
      <c r="J120" s="1">
        <v>0</v>
      </c>
      <c r="K120" s="1">
        <v>0</v>
      </c>
      <c r="L120" s="1">
        <v>3500010</v>
      </c>
      <c r="M120" s="1">
        <v>400000</v>
      </c>
      <c r="N120" s="1">
        <v>3408281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4612126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2726410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2200239</v>
      </c>
      <c r="AK120" s="1">
        <v>0</v>
      </c>
      <c r="AL120" s="1">
        <v>0</v>
      </c>
      <c r="AM120" s="1">
        <v>0</v>
      </c>
      <c r="AN120" s="1">
        <v>32996505</v>
      </c>
      <c r="AO120" s="1">
        <v>3746923</v>
      </c>
      <c r="AP120" s="1">
        <v>29249582</v>
      </c>
      <c r="AQ120" s="1">
        <v>6599301</v>
      </c>
      <c r="AR120" s="1">
        <v>989895</v>
      </c>
      <c r="AS120" s="1">
        <v>0</v>
      </c>
      <c r="AT120" s="1">
        <f t="shared" si="7"/>
        <v>40585701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12278304</v>
      </c>
      <c r="G121" s="1">
        <v>4836090</v>
      </c>
      <c r="H121" s="1">
        <v>0</v>
      </c>
      <c r="I121" s="1">
        <v>10478811</v>
      </c>
      <c r="J121" s="1">
        <v>0</v>
      </c>
      <c r="K121" s="1">
        <v>4620000</v>
      </c>
      <c r="L121" s="1">
        <v>0</v>
      </c>
      <c r="M121" s="1">
        <v>400000</v>
      </c>
      <c r="N121" s="1">
        <v>2268932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1342000</v>
      </c>
      <c r="U121" s="1">
        <v>0</v>
      </c>
      <c r="V121" s="1">
        <v>8133059</v>
      </c>
      <c r="W121" s="1">
        <v>1100000</v>
      </c>
      <c r="X121" s="1">
        <v>1905254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1620666</v>
      </c>
      <c r="AF121" s="1">
        <v>2222538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7962049</v>
      </c>
      <c r="AM121" s="1">
        <v>0</v>
      </c>
      <c r="AN121" s="1">
        <v>59167703</v>
      </c>
      <c r="AO121" s="1">
        <v>19797351</v>
      </c>
      <c r="AP121" s="1">
        <v>39370352</v>
      </c>
      <c r="AQ121" s="1">
        <v>11120633</v>
      </c>
      <c r="AR121" s="1">
        <v>1668095</v>
      </c>
      <c r="AS121" s="1">
        <v>0</v>
      </c>
      <c r="AT121" s="1">
        <f t="shared" si="7"/>
        <v>71956431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12312565</v>
      </c>
      <c r="G122" s="1">
        <v>18209472</v>
      </c>
      <c r="H122" s="1">
        <v>0</v>
      </c>
      <c r="I122" s="1">
        <v>11391210</v>
      </c>
      <c r="J122" s="1">
        <v>0</v>
      </c>
      <c r="K122" s="1">
        <v>3465000</v>
      </c>
      <c r="L122" s="1">
        <v>0</v>
      </c>
      <c r="M122" s="1">
        <v>400000</v>
      </c>
      <c r="N122" s="1">
        <v>2309127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12500441</v>
      </c>
      <c r="W122" s="1">
        <v>1100000</v>
      </c>
      <c r="X122" s="1">
        <v>1910570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1649377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9103724</v>
      </c>
      <c r="AM122" s="1">
        <v>0</v>
      </c>
      <c r="AN122" s="1">
        <v>74351486</v>
      </c>
      <c r="AO122" s="1">
        <v>11404482</v>
      </c>
      <c r="AP122" s="1">
        <v>62947004</v>
      </c>
      <c r="AQ122" s="1">
        <v>14870297</v>
      </c>
      <c r="AR122" s="1">
        <v>2230545</v>
      </c>
      <c r="AS122" s="1">
        <v>0</v>
      </c>
      <c r="AT122" s="1">
        <f t="shared" si="7"/>
        <v>91452328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12472122</v>
      </c>
      <c r="G123" s="1">
        <v>8507737</v>
      </c>
      <c r="H123" s="1">
        <v>0</v>
      </c>
      <c r="I123" s="1">
        <v>10807569</v>
      </c>
      <c r="J123" s="1">
        <v>0</v>
      </c>
      <c r="K123" s="1">
        <v>3465000</v>
      </c>
      <c r="L123" s="1">
        <v>0</v>
      </c>
      <c r="M123" s="1">
        <v>400000</v>
      </c>
      <c r="N123" s="1">
        <v>2317966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7400599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1655689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4238566</v>
      </c>
      <c r="AM123" s="1">
        <v>0</v>
      </c>
      <c r="AN123" s="1">
        <v>52365248</v>
      </c>
      <c r="AO123" s="1">
        <v>9625398</v>
      </c>
      <c r="AP123" s="1">
        <v>42739850</v>
      </c>
      <c r="AQ123" s="1">
        <v>10473050</v>
      </c>
      <c r="AR123" s="1">
        <v>1570957</v>
      </c>
      <c r="AS123" s="1">
        <v>0</v>
      </c>
      <c r="AT123" s="1">
        <f t="shared" si="7"/>
        <v>64409255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16024748</v>
      </c>
      <c r="G124" s="1">
        <v>0</v>
      </c>
      <c r="H124" s="1">
        <v>0</v>
      </c>
      <c r="I124" s="1">
        <v>15767547</v>
      </c>
      <c r="J124" s="1">
        <v>0</v>
      </c>
      <c r="K124" s="1">
        <v>5500000</v>
      </c>
      <c r="L124" s="1">
        <v>0</v>
      </c>
      <c r="M124" s="1">
        <v>400000</v>
      </c>
      <c r="N124" s="1">
        <v>2644734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9364404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1889097</v>
      </c>
      <c r="AF124" s="1">
        <v>1111269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4836086</v>
      </c>
      <c r="AM124" s="1">
        <v>0</v>
      </c>
      <c r="AN124" s="1">
        <v>58637885</v>
      </c>
      <c r="AO124" s="1">
        <v>9325598</v>
      </c>
      <c r="AP124" s="1">
        <v>49312287</v>
      </c>
      <c r="AQ124" s="1">
        <v>11505323</v>
      </c>
      <c r="AR124" s="1">
        <v>1725798</v>
      </c>
      <c r="AS124" s="1">
        <v>0</v>
      </c>
      <c r="AT124" s="1">
        <f t="shared" si="7"/>
        <v>71869006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16530244</v>
      </c>
      <c r="G125" s="1">
        <v>25657435</v>
      </c>
      <c r="H125" s="1">
        <v>0</v>
      </c>
      <c r="I125" s="1">
        <v>18518907</v>
      </c>
      <c r="J125" s="1">
        <v>0</v>
      </c>
      <c r="K125" s="1">
        <v>5500000</v>
      </c>
      <c r="L125" s="1">
        <v>0</v>
      </c>
      <c r="M125" s="1">
        <v>400000</v>
      </c>
      <c r="N125" s="1">
        <v>2976694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4547384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2345085</v>
      </c>
      <c r="AD125" s="1">
        <v>0</v>
      </c>
      <c r="AE125" s="1">
        <v>2126210</v>
      </c>
      <c r="AF125" s="1">
        <v>1111269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2976694</v>
      </c>
      <c r="AM125" s="1">
        <v>0</v>
      </c>
      <c r="AN125" s="1">
        <v>83789922</v>
      </c>
      <c r="AO125" s="1">
        <v>11122312</v>
      </c>
      <c r="AP125" s="1">
        <v>72667610</v>
      </c>
      <c r="AQ125" s="1">
        <v>15039174</v>
      </c>
      <c r="AR125" s="1">
        <v>2255876</v>
      </c>
      <c r="AS125" s="1">
        <v>0</v>
      </c>
      <c r="AT125" s="1">
        <f t="shared" si="7"/>
        <v>101084972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9664352</v>
      </c>
      <c r="G126" s="1">
        <v>4708978</v>
      </c>
      <c r="H126" s="1">
        <v>0</v>
      </c>
      <c r="I126" s="1">
        <v>5453074</v>
      </c>
      <c r="J126" s="1">
        <v>0</v>
      </c>
      <c r="K126" s="1">
        <v>4620000</v>
      </c>
      <c r="L126" s="1">
        <v>0</v>
      </c>
      <c r="M126" s="1">
        <v>400000</v>
      </c>
      <c r="N126" s="1">
        <v>1477789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1891745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1055563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1266676</v>
      </c>
      <c r="AM126" s="1">
        <v>0</v>
      </c>
      <c r="AN126" s="1">
        <v>31638177</v>
      </c>
      <c r="AO126" s="1">
        <v>2945213</v>
      </c>
      <c r="AP126" s="1">
        <v>28692964</v>
      </c>
      <c r="AQ126" s="1">
        <v>6327635</v>
      </c>
      <c r="AR126" s="1">
        <v>949145</v>
      </c>
      <c r="AS126" s="1">
        <v>0</v>
      </c>
      <c r="AT126" s="1">
        <f t="shared" si="7"/>
        <v>38914957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13397783</v>
      </c>
      <c r="G127" s="1">
        <v>18874325</v>
      </c>
      <c r="H127" s="1">
        <v>0</v>
      </c>
      <c r="I127" s="1">
        <v>12100709</v>
      </c>
      <c r="J127" s="1">
        <v>0</v>
      </c>
      <c r="K127" s="1">
        <v>4620000</v>
      </c>
      <c r="L127" s="1">
        <v>0</v>
      </c>
      <c r="M127" s="1">
        <v>400000</v>
      </c>
      <c r="N127" s="1">
        <v>2662750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1342000</v>
      </c>
      <c r="U127" s="1">
        <v>0</v>
      </c>
      <c r="V127" s="1">
        <v>8209076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1901965</v>
      </c>
      <c r="AF127" s="1">
        <v>2222538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4869029</v>
      </c>
      <c r="AM127" s="1">
        <v>0</v>
      </c>
      <c r="AN127" s="1">
        <v>71700175</v>
      </c>
      <c r="AO127" s="1">
        <v>10476638</v>
      </c>
      <c r="AP127" s="1">
        <v>61223537</v>
      </c>
      <c r="AQ127" s="1">
        <v>13627127</v>
      </c>
      <c r="AR127" s="1">
        <v>2044069</v>
      </c>
      <c r="AS127" s="1">
        <v>0</v>
      </c>
      <c r="AT127" s="1">
        <f t="shared" si="7"/>
        <v>87371371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12331864</v>
      </c>
      <c r="G128" s="1">
        <v>16489263</v>
      </c>
      <c r="H128" s="1">
        <v>0</v>
      </c>
      <c r="I128" s="1">
        <v>11231774</v>
      </c>
      <c r="J128" s="1">
        <v>0</v>
      </c>
      <c r="K128" s="1">
        <v>4620000</v>
      </c>
      <c r="L128" s="1">
        <v>0</v>
      </c>
      <c r="M128" s="1">
        <v>400000</v>
      </c>
      <c r="N128" s="1">
        <v>2297079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1342000</v>
      </c>
      <c r="U128" s="1">
        <v>0</v>
      </c>
      <c r="V128" s="1">
        <v>8488989</v>
      </c>
      <c r="W128" s="1">
        <v>1100000</v>
      </c>
      <c r="X128" s="1">
        <v>1913565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1640772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8621872</v>
      </c>
      <c r="AM128" s="1">
        <v>0</v>
      </c>
      <c r="AN128" s="1">
        <v>70477178</v>
      </c>
      <c r="AO128" s="1">
        <v>13527760</v>
      </c>
      <c r="AP128" s="1">
        <v>56949418</v>
      </c>
      <c r="AQ128" s="1">
        <v>13827036</v>
      </c>
      <c r="AR128" s="1">
        <v>2074055</v>
      </c>
      <c r="AS128" s="1">
        <v>0</v>
      </c>
      <c r="AT128" s="1">
        <f t="shared" si="7"/>
        <v>86378269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16212354</v>
      </c>
      <c r="G129" s="1">
        <v>12200518</v>
      </c>
      <c r="H129" s="1">
        <v>0</v>
      </c>
      <c r="I129" s="1">
        <v>13416429</v>
      </c>
      <c r="J129" s="1">
        <v>0</v>
      </c>
      <c r="K129" s="1">
        <v>5500000</v>
      </c>
      <c r="L129" s="1">
        <v>0</v>
      </c>
      <c r="M129" s="1">
        <v>400000</v>
      </c>
      <c r="N129" s="1">
        <v>2710397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1342000</v>
      </c>
      <c r="U129" s="1">
        <v>0</v>
      </c>
      <c r="V129" s="1">
        <v>12397832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1935997</v>
      </c>
      <c r="AF129" s="1">
        <v>1111269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3871996</v>
      </c>
      <c r="AM129" s="1">
        <v>0</v>
      </c>
      <c r="AN129" s="1">
        <v>72198792</v>
      </c>
      <c r="AO129" s="1">
        <v>11378375</v>
      </c>
      <c r="AP129" s="1">
        <v>60820417</v>
      </c>
      <c r="AQ129" s="1">
        <v>13949105</v>
      </c>
      <c r="AR129" s="1">
        <v>2092366</v>
      </c>
      <c r="AS129" s="1">
        <v>0</v>
      </c>
      <c r="AT129" s="1">
        <f t="shared" si="7"/>
        <v>88240263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13914171</v>
      </c>
      <c r="G130" s="1">
        <v>22086981</v>
      </c>
      <c r="H130" s="1">
        <v>0</v>
      </c>
      <c r="I130" s="1">
        <v>13404506</v>
      </c>
      <c r="J130" s="1">
        <v>0</v>
      </c>
      <c r="K130" s="1">
        <v>0</v>
      </c>
      <c r="L130" s="1">
        <v>0</v>
      </c>
      <c r="M130" s="1">
        <v>400000</v>
      </c>
      <c r="N130" s="1">
        <v>2808891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1342000</v>
      </c>
      <c r="U130" s="1">
        <v>0</v>
      </c>
      <c r="V130" s="1">
        <v>8882111</v>
      </c>
      <c r="W130" s="1">
        <v>1100000</v>
      </c>
      <c r="X130" s="1">
        <v>2159096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2006351</v>
      </c>
      <c r="AF130" s="1">
        <v>2222538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7785682</v>
      </c>
      <c r="AM130" s="1">
        <v>0</v>
      </c>
      <c r="AN130" s="1">
        <v>78112327</v>
      </c>
      <c r="AO130" s="1">
        <v>11515400</v>
      </c>
      <c r="AP130" s="1">
        <v>66596927</v>
      </c>
      <c r="AQ130" s="1">
        <v>14909558</v>
      </c>
      <c r="AR130" s="1">
        <v>2236434</v>
      </c>
      <c r="AS130" s="1">
        <v>0</v>
      </c>
      <c r="AT130" s="1">
        <f t="shared" si="7"/>
        <v>95258319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11124973</v>
      </c>
      <c r="G131" s="1">
        <v>4249919</v>
      </c>
      <c r="H131" s="1">
        <v>0</v>
      </c>
      <c r="I131" s="1">
        <v>9788367</v>
      </c>
      <c r="J131" s="1">
        <v>0</v>
      </c>
      <c r="K131" s="1">
        <v>4620000</v>
      </c>
      <c r="L131" s="1">
        <v>0</v>
      </c>
      <c r="M131" s="1">
        <v>400000</v>
      </c>
      <c r="N131" s="1">
        <v>1886468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1342000</v>
      </c>
      <c r="U131" s="1">
        <v>0</v>
      </c>
      <c r="V131" s="1">
        <v>14346286</v>
      </c>
      <c r="W131" s="1">
        <v>1100000</v>
      </c>
      <c r="X131" s="1">
        <v>1726289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1347478</v>
      </c>
      <c r="AF131" s="1">
        <v>1111269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8457909</v>
      </c>
      <c r="AM131" s="1">
        <v>0</v>
      </c>
      <c r="AN131" s="1">
        <v>61500958</v>
      </c>
      <c r="AO131" s="1">
        <v>7651138</v>
      </c>
      <c r="AP131" s="1">
        <v>53849820</v>
      </c>
      <c r="AQ131" s="1">
        <v>11809538</v>
      </c>
      <c r="AR131" s="1">
        <v>1771431</v>
      </c>
      <c r="AS131" s="1">
        <v>0</v>
      </c>
      <c r="AT131" s="1">
        <f t="shared" ref="AT131:AT194" si="12">AS131+AR131+AQ131+AN131</f>
        <v>75081927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16403435</v>
      </c>
      <c r="G132" s="1">
        <v>15569400</v>
      </c>
      <c r="H132" s="1">
        <v>0</v>
      </c>
      <c r="I132" s="1">
        <v>12182116</v>
      </c>
      <c r="J132" s="1">
        <v>0</v>
      </c>
      <c r="K132" s="1">
        <v>5500000</v>
      </c>
      <c r="L132" s="1">
        <v>0</v>
      </c>
      <c r="M132" s="1">
        <v>400000</v>
      </c>
      <c r="N132" s="1">
        <v>2777276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1342000</v>
      </c>
      <c r="U132" s="1">
        <v>0</v>
      </c>
      <c r="V132" s="1">
        <v>11901694</v>
      </c>
      <c r="W132" s="1">
        <v>1100000</v>
      </c>
      <c r="X132" s="1">
        <v>2545361</v>
      </c>
      <c r="Y132" s="1">
        <v>0</v>
      </c>
      <c r="Z132" s="1">
        <v>0</v>
      </c>
      <c r="AA132" s="1">
        <v>0</v>
      </c>
      <c r="AB132" s="1">
        <v>0</v>
      </c>
      <c r="AC132" s="1">
        <v>3074667</v>
      </c>
      <c r="AD132" s="1">
        <v>0</v>
      </c>
      <c r="AE132" s="1">
        <v>1983768</v>
      </c>
      <c r="AF132" s="1">
        <v>1111269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14224243</v>
      </c>
      <c r="AM132" s="1">
        <v>0</v>
      </c>
      <c r="AN132" s="1">
        <v>90115229</v>
      </c>
      <c r="AO132" s="1">
        <v>11580641</v>
      </c>
      <c r="AP132" s="1">
        <v>78534588</v>
      </c>
      <c r="AQ132" s="1">
        <v>15039174</v>
      </c>
      <c r="AR132" s="1">
        <v>2255876</v>
      </c>
      <c r="AS132" s="1">
        <v>0</v>
      </c>
      <c r="AT132" s="1">
        <f t="shared" si="12"/>
        <v>107410279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18955235</v>
      </c>
      <c r="G133" s="1">
        <v>19764174</v>
      </c>
      <c r="H133" s="1">
        <v>0</v>
      </c>
      <c r="I133" s="1">
        <v>17490168</v>
      </c>
      <c r="J133" s="1">
        <v>0</v>
      </c>
      <c r="K133" s="1">
        <v>0</v>
      </c>
      <c r="L133" s="1">
        <v>0</v>
      </c>
      <c r="M133" s="1">
        <v>400000</v>
      </c>
      <c r="N133" s="1">
        <v>2929880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1342000</v>
      </c>
      <c r="U133" s="1">
        <v>0</v>
      </c>
      <c r="V133" s="1">
        <v>21808160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2683820</v>
      </c>
      <c r="AD133" s="1">
        <v>0</v>
      </c>
      <c r="AE133" s="1">
        <v>2092771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4855229</v>
      </c>
      <c r="AM133" s="1">
        <v>0</v>
      </c>
      <c r="AN133" s="1">
        <v>93421437</v>
      </c>
      <c r="AO133" s="1">
        <v>37720761</v>
      </c>
      <c r="AP133" s="1">
        <v>55700676</v>
      </c>
      <c r="AQ133" s="1">
        <v>15039174</v>
      </c>
      <c r="AR133" s="1">
        <v>2255876</v>
      </c>
      <c r="AS133" s="1">
        <v>0</v>
      </c>
      <c r="AT133" s="1">
        <f t="shared" si="12"/>
        <v>110716487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11874816</v>
      </c>
      <c r="G134" s="1">
        <v>7067028</v>
      </c>
      <c r="H134" s="1">
        <v>0</v>
      </c>
      <c r="I134" s="1">
        <v>10549529</v>
      </c>
      <c r="J134" s="1">
        <v>0</v>
      </c>
      <c r="K134" s="1">
        <v>4620000</v>
      </c>
      <c r="L134" s="1">
        <v>0</v>
      </c>
      <c r="M134" s="1">
        <v>400000</v>
      </c>
      <c r="N134" s="1">
        <v>2155915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15007327</v>
      </c>
      <c r="W134" s="1">
        <v>1100000</v>
      </c>
      <c r="X134" s="1">
        <v>1842644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1539939</v>
      </c>
      <c r="AF134" s="1">
        <v>2222538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8182263</v>
      </c>
      <c r="AM134" s="1">
        <v>0</v>
      </c>
      <c r="AN134" s="1">
        <v>66561999</v>
      </c>
      <c r="AO134" s="1">
        <v>10051739</v>
      </c>
      <c r="AP134" s="1">
        <v>56510260</v>
      </c>
      <c r="AQ134" s="1">
        <v>12867892</v>
      </c>
      <c r="AR134" s="1">
        <v>1930184</v>
      </c>
      <c r="AS134" s="1">
        <v>0</v>
      </c>
      <c r="AT134" s="1">
        <f t="shared" si="12"/>
        <v>81360075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19490262</v>
      </c>
      <c r="G135" s="1">
        <v>16926604</v>
      </c>
      <c r="H135" s="1">
        <v>0</v>
      </c>
      <c r="I135" s="1">
        <v>17994204</v>
      </c>
      <c r="J135" s="1">
        <v>0</v>
      </c>
      <c r="K135" s="1">
        <v>5500000</v>
      </c>
      <c r="L135" s="1">
        <v>0</v>
      </c>
      <c r="M135" s="1">
        <v>400000</v>
      </c>
      <c r="N135" s="1">
        <v>3117139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1342000</v>
      </c>
      <c r="U135" s="1">
        <v>0</v>
      </c>
      <c r="V135" s="1">
        <v>11236656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2226528</v>
      </c>
      <c r="AF135" s="1">
        <v>1111269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4987423</v>
      </c>
      <c r="AM135" s="1">
        <v>0</v>
      </c>
      <c r="AN135" s="1">
        <v>85432085</v>
      </c>
      <c r="AO135" s="1">
        <v>11112328</v>
      </c>
      <c r="AP135" s="1">
        <v>74319757</v>
      </c>
      <c r="AQ135" s="1">
        <v>15039174</v>
      </c>
      <c r="AR135" s="1">
        <v>2255876</v>
      </c>
      <c r="AS135" s="1">
        <v>0</v>
      </c>
      <c r="AT135" s="1">
        <f t="shared" si="12"/>
        <v>102727135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16757804</v>
      </c>
      <c r="G136" s="1">
        <v>18021600</v>
      </c>
      <c r="H136" s="1">
        <v>0</v>
      </c>
      <c r="I136" s="1">
        <v>14872907</v>
      </c>
      <c r="J136" s="1">
        <v>0</v>
      </c>
      <c r="K136" s="1">
        <v>4125000</v>
      </c>
      <c r="L136" s="1">
        <v>0</v>
      </c>
      <c r="M136" s="1">
        <v>400000</v>
      </c>
      <c r="N136" s="1">
        <v>2901304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1342000</v>
      </c>
      <c r="U136" s="1">
        <v>0</v>
      </c>
      <c r="V136" s="1">
        <v>14480937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2072360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4476298</v>
      </c>
      <c r="AM136" s="1">
        <v>0</v>
      </c>
      <c r="AN136" s="1">
        <v>80550210</v>
      </c>
      <c r="AO136" s="1">
        <v>28402246</v>
      </c>
      <c r="AP136" s="1">
        <v>52147964</v>
      </c>
      <c r="AQ136" s="1">
        <v>15039174</v>
      </c>
      <c r="AR136" s="1">
        <v>2255876</v>
      </c>
      <c r="AS136" s="1">
        <v>0</v>
      </c>
      <c r="AT136" s="1">
        <f t="shared" si="12"/>
        <v>97845260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16507661</v>
      </c>
      <c r="G137" s="1">
        <v>3180218</v>
      </c>
      <c r="H137" s="1">
        <v>0</v>
      </c>
      <c r="I137" s="1">
        <v>13903863</v>
      </c>
      <c r="J137" s="1">
        <v>0</v>
      </c>
      <c r="K137" s="1">
        <v>5500000</v>
      </c>
      <c r="L137" s="1">
        <v>0</v>
      </c>
      <c r="M137" s="1">
        <v>400000</v>
      </c>
      <c r="N137" s="1">
        <v>2813755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16832182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3074667</v>
      </c>
      <c r="AD137" s="1">
        <v>0</v>
      </c>
      <c r="AE137" s="1">
        <v>2009825</v>
      </c>
      <c r="AF137" s="1">
        <v>2222538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15125728</v>
      </c>
      <c r="AM137" s="1">
        <v>0</v>
      </c>
      <c r="AN137" s="1">
        <v>82670437</v>
      </c>
      <c r="AO137" s="1">
        <v>30490371</v>
      </c>
      <c r="AP137" s="1">
        <v>52180066</v>
      </c>
      <c r="AQ137" s="1">
        <v>15039174</v>
      </c>
      <c r="AR137" s="1">
        <v>2255876</v>
      </c>
      <c r="AS137" s="1">
        <v>0</v>
      </c>
      <c r="AT137" s="1">
        <f t="shared" si="12"/>
        <v>99965487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12569656</v>
      </c>
      <c r="G138" s="1">
        <v>3856836</v>
      </c>
      <c r="H138" s="1">
        <v>0</v>
      </c>
      <c r="I138" s="1">
        <v>12350954</v>
      </c>
      <c r="J138" s="1">
        <v>0</v>
      </c>
      <c r="K138" s="1">
        <v>4620000</v>
      </c>
      <c r="L138" s="1">
        <v>0</v>
      </c>
      <c r="M138" s="1">
        <v>400000</v>
      </c>
      <c r="N138" s="1">
        <v>2399109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1342000</v>
      </c>
      <c r="U138" s="1">
        <v>0</v>
      </c>
      <c r="V138" s="1">
        <v>17495679</v>
      </c>
      <c r="W138" s="1">
        <v>1100000</v>
      </c>
      <c r="X138" s="1">
        <v>1950464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1713649</v>
      </c>
      <c r="AF138" s="1">
        <v>1111269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10282764</v>
      </c>
      <c r="AM138" s="1">
        <v>0</v>
      </c>
      <c r="AN138" s="1">
        <v>71192380</v>
      </c>
      <c r="AO138" s="1">
        <v>33276630</v>
      </c>
      <c r="AP138" s="1">
        <v>37915750</v>
      </c>
      <c r="AQ138" s="1">
        <v>13747822</v>
      </c>
      <c r="AR138" s="1">
        <v>2062173</v>
      </c>
      <c r="AS138" s="1">
        <v>0</v>
      </c>
      <c r="AT138" s="1">
        <f t="shared" si="12"/>
        <v>87002375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12013784</v>
      </c>
      <c r="G139" s="1">
        <v>5858798</v>
      </c>
      <c r="H139" s="1">
        <v>0</v>
      </c>
      <c r="I139" s="1">
        <v>10292324</v>
      </c>
      <c r="J139" s="1">
        <v>0</v>
      </c>
      <c r="K139" s="1">
        <v>4620000</v>
      </c>
      <c r="L139" s="1">
        <v>0</v>
      </c>
      <c r="M139" s="1">
        <v>400000</v>
      </c>
      <c r="N139" s="1">
        <v>2204554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1342000</v>
      </c>
      <c r="U139" s="1">
        <v>0</v>
      </c>
      <c r="V139" s="1">
        <v>14949636</v>
      </c>
      <c r="W139" s="1">
        <v>1100000</v>
      </c>
      <c r="X139" s="1">
        <v>1864208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1574681</v>
      </c>
      <c r="AF139" s="1">
        <v>1111269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7509345</v>
      </c>
      <c r="AM139" s="1">
        <v>0</v>
      </c>
      <c r="AN139" s="1">
        <v>64840599</v>
      </c>
      <c r="AO139" s="1">
        <v>12635051</v>
      </c>
      <c r="AP139" s="1">
        <v>52205548</v>
      </c>
      <c r="AQ139" s="1">
        <v>12477466</v>
      </c>
      <c r="AR139" s="1">
        <v>1871620</v>
      </c>
      <c r="AS139" s="1">
        <v>0</v>
      </c>
      <c r="AT139" s="1">
        <f t="shared" si="12"/>
        <v>79189685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14837019</v>
      </c>
      <c r="G140" s="1">
        <v>6042091</v>
      </c>
      <c r="H140" s="1">
        <v>0</v>
      </c>
      <c r="I140" s="1">
        <v>10933468</v>
      </c>
      <c r="J140" s="1">
        <v>0</v>
      </c>
      <c r="K140" s="1">
        <v>5500000</v>
      </c>
      <c r="L140" s="1">
        <v>0</v>
      </c>
      <c r="M140" s="1">
        <v>400000</v>
      </c>
      <c r="N140" s="1">
        <v>2290530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3166042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1636093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1963312</v>
      </c>
      <c r="AM140" s="1">
        <v>0</v>
      </c>
      <c r="AN140" s="1">
        <v>47868555</v>
      </c>
      <c r="AO140" s="1">
        <v>8435194</v>
      </c>
      <c r="AP140" s="1">
        <v>39433361</v>
      </c>
      <c r="AQ140" s="1">
        <v>9573711</v>
      </c>
      <c r="AR140" s="1">
        <v>1436057</v>
      </c>
      <c r="AS140" s="1">
        <v>0</v>
      </c>
      <c r="AT140" s="1">
        <f t="shared" si="12"/>
        <v>58878323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10860199</v>
      </c>
      <c r="G141" s="1">
        <v>1295768</v>
      </c>
      <c r="H141" s="1">
        <v>0</v>
      </c>
      <c r="I141" s="1">
        <v>8950311</v>
      </c>
      <c r="J141" s="1">
        <v>0</v>
      </c>
      <c r="K141" s="1">
        <v>3465000</v>
      </c>
      <c r="L141" s="1">
        <v>0</v>
      </c>
      <c r="M141" s="1">
        <v>400000</v>
      </c>
      <c r="N141" s="1">
        <v>1930094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7928391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1378638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3308731</v>
      </c>
      <c r="AM141" s="1">
        <v>0</v>
      </c>
      <c r="AN141" s="1">
        <v>40617132</v>
      </c>
      <c r="AO141" s="1">
        <v>20609508</v>
      </c>
      <c r="AP141" s="1">
        <v>20007624</v>
      </c>
      <c r="AQ141" s="1">
        <v>8123426</v>
      </c>
      <c r="AR141" s="1">
        <v>1218514</v>
      </c>
      <c r="AS141" s="1">
        <v>0</v>
      </c>
      <c r="AT141" s="1">
        <f t="shared" si="12"/>
        <v>49959072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12614820</v>
      </c>
      <c r="G142" s="1">
        <v>6455702</v>
      </c>
      <c r="H142" s="1">
        <v>0</v>
      </c>
      <c r="I142" s="1">
        <v>12391304</v>
      </c>
      <c r="J142" s="1">
        <v>0</v>
      </c>
      <c r="K142" s="1">
        <v>4620000</v>
      </c>
      <c r="L142" s="1">
        <v>0</v>
      </c>
      <c r="M142" s="1">
        <v>400000</v>
      </c>
      <c r="N142" s="1">
        <v>2414916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1342000</v>
      </c>
      <c r="U142" s="1">
        <v>0</v>
      </c>
      <c r="V142" s="1">
        <v>17570913</v>
      </c>
      <c r="W142" s="1">
        <v>1100000</v>
      </c>
      <c r="X142" s="1">
        <v>1957472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1724940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10339219</v>
      </c>
      <c r="AM142" s="1">
        <v>0</v>
      </c>
      <c r="AN142" s="1">
        <v>72931286</v>
      </c>
      <c r="AO142" s="1">
        <v>30258340</v>
      </c>
      <c r="AP142" s="1">
        <v>42672946</v>
      </c>
      <c r="AQ142" s="1">
        <v>14317857</v>
      </c>
      <c r="AR142" s="1">
        <v>2147679</v>
      </c>
      <c r="AS142" s="1">
        <v>0</v>
      </c>
      <c r="AT142" s="1">
        <f t="shared" si="12"/>
        <v>89396822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14602525</v>
      </c>
      <c r="G143" s="1">
        <v>7913870</v>
      </c>
      <c r="H143" s="1">
        <v>0</v>
      </c>
      <c r="I143" s="1">
        <v>12248352</v>
      </c>
      <c r="J143" s="1">
        <v>0</v>
      </c>
      <c r="K143" s="1">
        <v>5500000</v>
      </c>
      <c r="L143" s="1">
        <v>0</v>
      </c>
      <c r="M143" s="1">
        <v>400000</v>
      </c>
      <c r="N143" s="1">
        <v>2443382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1342000</v>
      </c>
      <c r="U143" s="1">
        <v>0</v>
      </c>
      <c r="V143" s="1">
        <v>12879450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1745273</v>
      </c>
      <c r="AF143" s="1">
        <v>1111269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3769790</v>
      </c>
      <c r="AM143" s="1">
        <v>0</v>
      </c>
      <c r="AN143" s="1">
        <v>65055911</v>
      </c>
      <c r="AO143" s="1">
        <v>28619860</v>
      </c>
      <c r="AP143" s="1">
        <v>36436051</v>
      </c>
      <c r="AQ143" s="1">
        <v>12520528</v>
      </c>
      <c r="AR143" s="1">
        <v>1878079</v>
      </c>
      <c r="AS143" s="1">
        <v>0</v>
      </c>
      <c r="AT143" s="1">
        <f t="shared" si="12"/>
        <v>79454518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15913573</v>
      </c>
      <c r="G144" s="1">
        <v>7818150</v>
      </c>
      <c r="H144" s="1">
        <v>0</v>
      </c>
      <c r="I144" s="1">
        <v>12905187</v>
      </c>
      <c r="J144" s="1">
        <v>0</v>
      </c>
      <c r="K144" s="1">
        <v>5500000</v>
      </c>
      <c r="L144" s="1">
        <v>0</v>
      </c>
      <c r="M144" s="1">
        <v>400000</v>
      </c>
      <c r="N144" s="1">
        <v>2605824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1342000</v>
      </c>
      <c r="U144" s="1">
        <v>0</v>
      </c>
      <c r="V144" s="1">
        <v>11751284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1861303</v>
      </c>
      <c r="AF144" s="1">
        <v>1111269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4318222</v>
      </c>
      <c r="AM144" s="1">
        <v>0</v>
      </c>
      <c r="AN144" s="1">
        <v>66626812</v>
      </c>
      <c r="AO144" s="1">
        <v>19870287</v>
      </c>
      <c r="AP144" s="1">
        <v>46756525</v>
      </c>
      <c r="AQ144" s="1">
        <v>12834709</v>
      </c>
      <c r="AR144" s="1">
        <v>1925206</v>
      </c>
      <c r="AS144" s="1">
        <v>0</v>
      </c>
      <c r="AT144" s="1">
        <f t="shared" si="12"/>
        <v>81386727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23994562</v>
      </c>
      <c r="G145" s="1">
        <v>25239216</v>
      </c>
      <c r="H145" s="1">
        <v>0</v>
      </c>
      <c r="I145" s="1">
        <v>25461904</v>
      </c>
      <c r="J145" s="1">
        <v>0</v>
      </c>
      <c r="K145" s="1">
        <v>0</v>
      </c>
      <c r="L145" s="1">
        <v>0</v>
      </c>
      <c r="M145" s="1">
        <v>400000</v>
      </c>
      <c r="N145" s="1">
        <v>4351349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12777451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3108106</v>
      </c>
      <c r="AF145" s="1">
        <v>2222538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4662159</v>
      </c>
      <c r="AM145" s="1">
        <v>0</v>
      </c>
      <c r="AN145" s="1">
        <v>103317285</v>
      </c>
      <c r="AO145" s="1">
        <v>15570716</v>
      </c>
      <c r="AP145" s="1">
        <v>87746569</v>
      </c>
      <c r="AQ145" s="1">
        <v>15039174</v>
      </c>
      <c r="AR145" s="1">
        <v>2255876</v>
      </c>
      <c r="AS145" s="1">
        <v>0</v>
      </c>
      <c r="AT145" s="1">
        <f t="shared" si="12"/>
        <v>120612335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12295901</v>
      </c>
      <c r="G146" s="1">
        <v>1702877</v>
      </c>
      <c r="H146" s="1">
        <v>0</v>
      </c>
      <c r="I146" s="1">
        <v>10455479</v>
      </c>
      <c r="J146" s="1">
        <v>0</v>
      </c>
      <c r="K146" s="1">
        <v>3465000</v>
      </c>
      <c r="L146" s="1">
        <v>0</v>
      </c>
      <c r="M146" s="1">
        <v>400000</v>
      </c>
      <c r="N146" s="1">
        <v>2250088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1342000</v>
      </c>
      <c r="U146" s="1">
        <v>0</v>
      </c>
      <c r="V146" s="1">
        <v>7159502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1607205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3857293</v>
      </c>
      <c r="AM146" s="1">
        <v>0</v>
      </c>
      <c r="AN146" s="1">
        <v>45635345</v>
      </c>
      <c r="AO146" s="1">
        <v>4410109</v>
      </c>
      <c r="AP146" s="1">
        <v>41225236</v>
      </c>
      <c r="AQ146" s="1">
        <v>8858669</v>
      </c>
      <c r="AR146" s="1">
        <v>1328800</v>
      </c>
      <c r="AS146" s="1">
        <v>0</v>
      </c>
      <c r="AT146" s="1">
        <f t="shared" si="12"/>
        <v>55822814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16912406</v>
      </c>
      <c r="G147" s="1">
        <v>12336528</v>
      </c>
      <c r="H147" s="1">
        <v>0</v>
      </c>
      <c r="I147" s="1">
        <v>14580434</v>
      </c>
      <c r="J147" s="1">
        <v>0</v>
      </c>
      <c r="K147" s="1">
        <v>4125000</v>
      </c>
      <c r="L147" s="1">
        <v>0</v>
      </c>
      <c r="M147" s="1">
        <v>400000</v>
      </c>
      <c r="N147" s="1">
        <v>2955415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1342000</v>
      </c>
      <c r="U147" s="1">
        <v>0</v>
      </c>
      <c r="V147" s="1">
        <v>13058895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2111011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4897545</v>
      </c>
      <c r="AM147" s="1">
        <v>0</v>
      </c>
      <c r="AN147" s="1">
        <v>73819234</v>
      </c>
      <c r="AO147" s="1">
        <v>9916175</v>
      </c>
      <c r="AP147" s="1">
        <v>63903059</v>
      </c>
      <c r="AQ147" s="1">
        <v>14495447</v>
      </c>
      <c r="AR147" s="1">
        <v>2174317</v>
      </c>
      <c r="AS147" s="1">
        <v>0</v>
      </c>
      <c r="AT147" s="1">
        <f t="shared" si="12"/>
        <v>90488998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13097734</v>
      </c>
      <c r="G148" s="1">
        <v>3164622</v>
      </c>
      <c r="H148" s="1">
        <v>0</v>
      </c>
      <c r="I148" s="1">
        <v>13006667</v>
      </c>
      <c r="J148" s="1">
        <v>0</v>
      </c>
      <c r="K148" s="1">
        <v>4620000</v>
      </c>
      <c r="L148" s="1">
        <v>0</v>
      </c>
      <c r="M148" s="1">
        <v>400000</v>
      </c>
      <c r="N148" s="1">
        <v>2583937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1342000</v>
      </c>
      <c r="U148" s="1">
        <v>0</v>
      </c>
      <c r="V148" s="1">
        <v>18457207</v>
      </c>
      <c r="W148" s="1">
        <v>1100000</v>
      </c>
      <c r="X148" s="1">
        <v>2032407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1845668</v>
      </c>
      <c r="AF148" s="1">
        <v>2222538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10942862</v>
      </c>
      <c r="AM148" s="1">
        <v>0</v>
      </c>
      <c r="AN148" s="1">
        <v>74815642</v>
      </c>
      <c r="AO148" s="1">
        <v>12432646</v>
      </c>
      <c r="AP148" s="1">
        <v>62382996</v>
      </c>
      <c r="AQ148" s="1">
        <v>14250221</v>
      </c>
      <c r="AR148" s="1">
        <v>2137533</v>
      </c>
      <c r="AS148" s="1">
        <v>0</v>
      </c>
      <c r="AT148" s="1">
        <f t="shared" si="12"/>
        <v>91203396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5687383</v>
      </c>
      <c r="G149" s="1">
        <v>1110353</v>
      </c>
      <c r="H149" s="1">
        <v>0</v>
      </c>
      <c r="I149" s="1">
        <v>4322411</v>
      </c>
      <c r="J149" s="1">
        <v>0</v>
      </c>
      <c r="K149" s="1">
        <v>0</v>
      </c>
      <c r="L149" s="1">
        <v>3748238</v>
      </c>
      <c r="M149" s="1">
        <v>400000</v>
      </c>
      <c r="N149" s="1">
        <v>2993360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4277328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2512709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2030359</v>
      </c>
      <c r="AK149" s="1">
        <v>0</v>
      </c>
      <c r="AL149" s="1">
        <v>0</v>
      </c>
      <c r="AM149" s="1">
        <v>0</v>
      </c>
      <c r="AN149" s="1">
        <v>31515948</v>
      </c>
      <c r="AO149" s="1">
        <v>2697981</v>
      </c>
      <c r="AP149" s="1">
        <v>28817967</v>
      </c>
      <c r="AQ149" s="1">
        <v>5636428</v>
      </c>
      <c r="AR149" s="1">
        <v>845464</v>
      </c>
      <c r="AS149" s="1">
        <v>0</v>
      </c>
      <c r="AT149" s="1">
        <f t="shared" si="12"/>
        <v>37997840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19943645</v>
      </c>
      <c r="G150" s="1">
        <v>15600059</v>
      </c>
      <c r="H150" s="1">
        <v>0</v>
      </c>
      <c r="I150" s="1">
        <v>19515771</v>
      </c>
      <c r="J150" s="1">
        <v>0</v>
      </c>
      <c r="K150" s="1">
        <v>5500000</v>
      </c>
      <c r="L150" s="1">
        <v>0</v>
      </c>
      <c r="M150" s="1">
        <v>400000</v>
      </c>
      <c r="N150" s="1">
        <v>2933528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1342000</v>
      </c>
      <c r="U150" s="1">
        <v>0</v>
      </c>
      <c r="V150" s="1">
        <v>4700277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2095377</v>
      </c>
      <c r="AF150" s="1">
        <v>2222538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2514453</v>
      </c>
      <c r="AM150" s="1">
        <v>0</v>
      </c>
      <c r="AN150" s="1">
        <v>77867648</v>
      </c>
      <c r="AO150" s="1">
        <v>15442084</v>
      </c>
      <c r="AP150" s="1">
        <v>62425564</v>
      </c>
      <c r="AQ150" s="1">
        <v>14860622</v>
      </c>
      <c r="AR150" s="1">
        <v>2229093</v>
      </c>
      <c r="AS150" s="1">
        <v>0</v>
      </c>
      <c r="AT150" s="1">
        <f t="shared" si="12"/>
        <v>94957363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19700451</v>
      </c>
      <c r="G151" s="1">
        <v>8695968</v>
      </c>
      <c r="H151" s="1">
        <v>0</v>
      </c>
      <c r="I151" s="1">
        <v>16945178</v>
      </c>
      <c r="J151" s="1">
        <v>0</v>
      </c>
      <c r="K151" s="1">
        <v>4125000</v>
      </c>
      <c r="L151" s="1">
        <v>0</v>
      </c>
      <c r="M151" s="1">
        <v>400000</v>
      </c>
      <c r="N151" s="1">
        <v>3190706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10968286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2279075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4558150</v>
      </c>
      <c r="AM151" s="1">
        <v>0</v>
      </c>
      <c r="AN151" s="1">
        <v>71962814</v>
      </c>
      <c r="AO151" s="1">
        <v>9719752</v>
      </c>
      <c r="AP151" s="1">
        <v>62243062</v>
      </c>
      <c r="AQ151" s="1">
        <v>14392563</v>
      </c>
      <c r="AR151" s="1">
        <v>2158884</v>
      </c>
      <c r="AS151" s="1">
        <v>0</v>
      </c>
      <c r="AT151" s="1">
        <f t="shared" si="12"/>
        <v>88514261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12136934</v>
      </c>
      <c r="G152" s="1">
        <v>14417731</v>
      </c>
      <c r="H152" s="1">
        <v>0</v>
      </c>
      <c r="I152" s="1">
        <v>10821795</v>
      </c>
      <c r="J152" s="1">
        <v>0</v>
      </c>
      <c r="K152" s="1">
        <v>4620000</v>
      </c>
      <c r="L152" s="1">
        <v>0</v>
      </c>
      <c r="M152" s="1">
        <v>400000</v>
      </c>
      <c r="N152" s="1">
        <v>2223053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8265995</v>
      </c>
      <c r="W152" s="1">
        <v>1100000</v>
      </c>
      <c r="X152" s="1">
        <v>1883317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1587895</v>
      </c>
      <c r="AF152" s="1">
        <v>1111269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8404766</v>
      </c>
      <c r="AM152" s="1">
        <v>0</v>
      </c>
      <c r="AN152" s="1">
        <v>66972755</v>
      </c>
      <c r="AO152" s="1">
        <v>32063272</v>
      </c>
      <c r="AP152" s="1">
        <v>34909483</v>
      </c>
      <c r="AQ152" s="1">
        <v>13172297</v>
      </c>
      <c r="AR152" s="1">
        <v>1975845</v>
      </c>
      <c r="AS152" s="1">
        <v>0</v>
      </c>
      <c r="AT152" s="1">
        <f t="shared" si="12"/>
        <v>82120897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12637466</v>
      </c>
      <c r="G153" s="1">
        <v>8545280</v>
      </c>
      <c r="H153" s="1">
        <v>0</v>
      </c>
      <c r="I153" s="1">
        <v>11778481</v>
      </c>
      <c r="J153" s="1">
        <v>0</v>
      </c>
      <c r="K153" s="1">
        <v>4620000</v>
      </c>
      <c r="L153" s="1">
        <v>0</v>
      </c>
      <c r="M153" s="1">
        <v>400000</v>
      </c>
      <c r="N153" s="1">
        <v>2417042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1342000</v>
      </c>
      <c r="U153" s="1">
        <v>0</v>
      </c>
      <c r="V153" s="1">
        <v>8981852</v>
      </c>
      <c r="W153" s="1">
        <v>1100000</v>
      </c>
      <c r="X153" s="1">
        <v>1780267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1726458</v>
      </c>
      <c r="AF153" s="1">
        <v>2222538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9661198</v>
      </c>
      <c r="AM153" s="1">
        <v>0</v>
      </c>
      <c r="AN153" s="1">
        <v>67212582</v>
      </c>
      <c r="AO153" s="1">
        <v>11793503</v>
      </c>
      <c r="AP153" s="1">
        <v>55419079</v>
      </c>
      <c r="AQ153" s="1">
        <v>12729609</v>
      </c>
      <c r="AR153" s="1">
        <v>1909441</v>
      </c>
      <c r="AS153" s="1">
        <v>0</v>
      </c>
      <c r="AT153" s="1">
        <f t="shared" si="12"/>
        <v>81851632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12504379</v>
      </c>
      <c r="G154" s="1">
        <v>8864126</v>
      </c>
      <c r="H154" s="1">
        <v>0</v>
      </c>
      <c r="I154" s="1">
        <v>11236684</v>
      </c>
      <c r="J154" s="1">
        <v>0</v>
      </c>
      <c r="K154" s="1">
        <v>4620000</v>
      </c>
      <c r="L154" s="1">
        <v>0</v>
      </c>
      <c r="M154" s="1">
        <v>400000</v>
      </c>
      <c r="N154" s="1">
        <v>2360459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8600296</v>
      </c>
      <c r="W154" s="1">
        <v>1100000</v>
      </c>
      <c r="X154" s="1">
        <v>1940335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1686043</v>
      </c>
      <c r="AF154" s="1">
        <v>1111269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8809441</v>
      </c>
      <c r="AM154" s="1">
        <v>0</v>
      </c>
      <c r="AN154" s="1">
        <v>63233032</v>
      </c>
      <c r="AO154" s="1">
        <v>12751425</v>
      </c>
      <c r="AP154" s="1">
        <v>50481607</v>
      </c>
      <c r="AQ154" s="1">
        <v>12424353</v>
      </c>
      <c r="AR154" s="1">
        <v>1863653</v>
      </c>
      <c r="AS154" s="1">
        <v>0</v>
      </c>
      <c r="AT154" s="1">
        <f t="shared" si="12"/>
        <v>77521038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12493223</v>
      </c>
      <c r="G155" s="1">
        <v>7236195</v>
      </c>
      <c r="H155" s="1">
        <v>0</v>
      </c>
      <c r="I155" s="1">
        <v>12304667</v>
      </c>
      <c r="J155" s="1">
        <v>0</v>
      </c>
      <c r="K155" s="1">
        <v>4620000</v>
      </c>
      <c r="L155" s="1">
        <v>0</v>
      </c>
      <c r="M155" s="1">
        <v>400000</v>
      </c>
      <c r="N155" s="1">
        <v>2372358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1342000</v>
      </c>
      <c r="U155" s="1">
        <v>0</v>
      </c>
      <c r="V155" s="1">
        <v>17378146</v>
      </c>
      <c r="W155" s="1">
        <v>1100000</v>
      </c>
      <c r="X155" s="1">
        <v>1938604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1694542</v>
      </c>
      <c r="AF155" s="1">
        <v>1111269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10187222</v>
      </c>
      <c r="AM155" s="1">
        <v>0</v>
      </c>
      <c r="AN155" s="1">
        <v>74178226</v>
      </c>
      <c r="AO155" s="1">
        <v>13486129</v>
      </c>
      <c r="AP155" s="1">
        <v>60692097</v>
      </c>
      <c r="AQ155" s="1">
        <v>14344991</v>
      </c>
      <c r="AR155" s="1">
        <v>2151749</v>
      </c>
      <c r="AS155" s="1">
        <v>0</v>
      </c>
      <c r="AT155" s="1">
        <f t="shared" si="12"/>
        <v>90674966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16895035</v>
      </c>
      <c r="G156" s="1">
        <v>9184667</v>
      </c>
      <c r="H156" s="1">
        <v>0</v>
      </c>
      <c r="I156" s="1">
        <v>13998574</v>
      </c>
      <c r="J156" s="1">
        <v>0</v>
      </c>
      <c r="K156" s="1">
        <v>5500000</v>
      </c>
      <c r="L156" s="1">
        <v>0</v>
      </c>
      <c r="M156" s="1">
        <v>400000</v>
      </c>
      <c r="N156" s="1">
        <v>2949335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17157311</v>
      </c>
      <c r="W156" s="1">
        <v>1100000</v>
      </c>
      <c r="X156" s="1">
        <v>2621643</v>
      </c>
      <c r="Y156" s="1">
        <v>0</v>
      </c>
      <c r="Z156" s="1">
        <v>0</v>
      </c>
      <c r="AA156" s="1">
        <v>0</v>
      </c>
      <c r="AB156" s="1">
        <v>0</v>
      </c>
      <c r="AC156" s="1">
        <v>3074667</v>
      </c>
      <c r="AD156" s="1">
        <v>0</v>
      </c>
      <c r="AE156" s="1">
        <v>2106668</v>
      </c>
      <c r="AF156" s="1">
        <v>1111269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15443375</v>
      </c>
      <c r="AM156" s="1">
        <v>0</v>
      </c>
      <c r="AN156" s="1">
        <v>91542544</v>
      </c>
      <c r="AO156" s="1">
        <v>11744506</v>
      </c>
      <c r="AP156" s="1">
        <v>79798038</v>
      </c>
      <c r="AQ156" s="1">
        <v>15039174</v>
      </c>
      <c r="AR156" s="1">
        <v>2255876</v>
      </c>
      <c r="AS156" s="1">
        <v>0</v>
      </c>
      <c r="AT156" s="1">
        <f t="shared" si="12"/>
        <v>108837594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14948036</v>
      </c>
      <c r="G157" s="1">
        <v>10492969</v>
      </c>
      <c r="H157" s="1">
        <v>0</v>
      </c>
      <c r="I157" s="1">
        <v>11473496</v>
      </c>
      <c r="J157" s="1">
        <v>0</v>
      </c>
      <c r="K157" s="1">
        <v>5500000</v>
      </c>
      <c r="L157" s="1">
        <v>0</v>
      </c>
      <c r="M157" s="1">
        <v>400000</v>
      </c>
      <c r="N157" s="1">
        <v>2335004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3242583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1667860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2001431</v>
      </c>
      <c r="AM157" s="1">
        <v>0</v>
      </c>
      <c r="AN157" s="1">
        <v>53161379</v>
      </c>
      <c r="AO157" s="1">
        <v>20192094</v>
      </c>
      <c r="AP157" s="1">
        <v>32969285</v>
      </c>
      <c r="AQ157" s="1">
        <v>10632276</v>
      </c>
      <c r="AR157" s="1">
        <v>1594841</v>
      </c>
      <c r="AS157" s="1">
        <v>0</v>
      </c>
      <c r="AT157" s="1">
        <f t="shared" si="12"/>
        <v>65388496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17455178</v>
      </c>
      <c r="G158" s="1">
        <v>5680889</v>
      </c>
      <c r="H158" s="1">
        <v>0</v>
      </c>
      <c r="I158" s="1">
        <v>16229814</v>
      </c>
      <c r="J158" s="1">
        <v>0</v>
      </c>
      <c r="K158" s="1">
        <v>5500000</v>
      </c>
      <c r="L158" s="1">
        <v>0</v>
      </c>
      <c r="M158" s="1">
        <v>400000</v>
      </c>
      <c r="N158" s="1">
        <v>2562386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1342000</v>
      </c>
      <c r="U158" s="1">
        <v>0</v>
      </c>
      <c r="V158" s="1">
        <v>4027398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1830276</v>
      </c>
      <c r="AF158" s="1">
        <v>1111269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2196330</v>
      </c>
      <c r="AM158" s="1">
        <v>0</v>
      </c>
      <c r="AN158" s="1">
        <v>59435540</v>
      </c>
      <c r="AO158" s="1">
        <v>10017399</v>
      </c>
      <c r="AP158" s="1">
        <v>49418141</v>
      </c>
      <c r="AQ158" s="1">
        <v>11396454</v>
      </c>
      <c r="AR158" s="1">
        <v>1709468</v>
      </c>
      <c r="AS158" s="1">
        <v>0</v>
      </c>
      <c r="AT158" s="1">
        <f t="shared" si="12"/>
        <v>72541462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11984253</v>
      </c>
      <c r="G159" s="1">
        <v>6574435</v>
      </c>
      <c r="H159" s="1">
        <v>0</v>
      </c>
      <c r="I159" s="1">
        <v>11122066</v>
      </c>
      <c r="J159" s="1">
        <v>0</v>
      </c>
      <c r="K159" s="1">
        <v>3465000</v>
      </c>
      <c r="L159" s="1">
        <v>0</v>
      </c>
      <c r="M159" s="1">
        <v>400000</v>
      </c>
      <c r="N159" s="1">
        <v>2194218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1342000</v>
      </c>
      <c r="U159" s="1">
        <v>0</v>
      </c>
      <c r="V159" s="1">
        <v>15665694</v>
      </c>
      <c r="W159" s="1">
        <v>1100000</v>
      </c>
      <c r="X159" s="1">
        <v>1859625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1567298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8736015</v>
      </c>
      <c r="AM159" s="1">
        <v>0</v>
      </c>
      <c r="AN159" s="1">
        <v>66010604</v>
      </c>
      <c r="AO159" s="1">
        <v>32770754</v>
      </c>
      <c r="AP159" s="1">
        <v>33239850</v>
      </c>
      <c r="AQ159" s="1">
        <v>12933721</v>
      </c>
      <c r="AR159" s="1">
        <v>1940058</v>
      </c>
      <c r="AS159" s="1">
        <v>0</v>
      </c>
      <c r="AT159" s="1">
        <f t="shared" si="12"/>
        <v>80884383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12331673</v>
      </c>
      <c r="G160" s="1">
        <v>3723177</v>
      </c>
      <c r="H160" s="1">
        <v>0</v>
      </c>
      <c r="I160" s="1">
        <v>11135224</v>
      </c>
      <c r="J160" s="1">
        <v>0</v>
      </c>
      <c r="K160" s="1">
        <v>3465000</v>
      </c>
      <c r="L160" s="1">
        <v>0</v>
      </c>
      <c r="M160" s="1">
        <v>400000</v>
      </c>
      <c r="N160" s="1">
        <v>2315815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1342000</v>
      </c>
      <c r="U160" s="1">
        <v>0</v>
      </c>
      <c r="V160" s="1">
        <v>12796697</v>
      </c>
      <c r="W160" s="1">
        <v>1100000</v>
      </c>
      <c r="X160" s="1">
        <v>1913535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1654153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9125126</v>
      </c>
      <c r="AM160" s="1">
        <v>0</v>
      </c>
      <c r="AN160" s="1">
        <v>61302400</v>
      </c>
      <c r="AO160" s="1">
        <v>26643355</v>
      </c>
      <c r="AP160" s="1">
        <v>34659045</v>
      </c>
      <c r="AQ160" s="1">
        <v>11992080</v>
      </c>
      <c r="AR160" s="1">
        <v>1798812</v>
      </c>
      <c r="AS160" s="1">
        <v>0</v>
      </c>
      <c r="AT160" s="1">
        <f t="shared" si="12"/>
        <v>75093292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12436999</v>
      </c>
      <c r="G161" s="1">
        <v>12623074</v>
      </c>
      <c r="H161" s="1">
        <v>0</v>
      </c>
      <c r="I161" s="1">
        <v>10809466</v>
      </c>
      <c r="J161" s="1">
        <v>0</v>
      </c>
      <c r="K161" s="1">
        <v>4620000</v>
      </c>
      <c r="L161" s="1">
        <v>0</v>
      </c>
      <c r="M161" s="1">
        <v>400000</v>
      </c>
      <c r="N161" s="1">
        <v>2310273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1342000</v>
      </c>
      <c r="U161" s="1">
        <v>0</v>
      </c>
      <c r="V161" s="1">
        <v>8346822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1650195</v>
      </c>
      <c r="AF161" s="1">
        <v>1111269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4290507</v>
      </c>
      <c r="AM161" s="1">
        <v>0</v>
      </c>
      <c r="AN161" s="1">
        <v>61040605</v>
      </c>
      <c r="AO161" s="1">
        <v>7543800</v>
      </c>
      <c r="AP161" s="1">
        <v>53496805</v>
      </c>
      <c r="AQ161" s="1">
        <v>11717467</v>
      </c>
      <c r="AR161" s="1">
        <v>1757620</v>
      </c>
      <c r="AS161" s="1">
        <v>0</v>
      </c>
      <c r="AT161" s="1">
        <f t="shared" si="12"/>
        <v>74515692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12303765</v>
      </c>
      <c r="G162" s="1">
        <v>20269974</v>
      </c>
      <c r="H162" s="1">
        <v>0</v>
      </c>
      <c r="I162" s="1">
        <v>11389744</v>
      </c>
      <c r="J162" s="1">
        <v>0</v>
      </c>
      <c r="K162" s="1">
        <v>4620000</v>
      </c>
      <c r="L162" s="1">
        <v>0</v>
      </c>
      <c r="M162" s="1">
        <v>400000</v>
      </c>
      <c r="N162" s="1">
        <v>2291846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1342000</v>
      </c>
      <c r="U162" s="1">
        <v>0</v>
      </c>
      <c r="V162" s="1">
        <v>8666665</v>
      </c>
      <c r="W162" s="1">
        <v>1100000</v>
      </c>
      <c r="X162" s="1">
        <v>1909205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1637033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9257039</v>
      </c>
      <c r="AM162" s="1">
        <v>0</v>
      </c>
      <c r="AN162" s="1">
        <v>75187271</v>
      </c>
      <c r="AO162" s="1">
        <v>9996006</v>
      </c>
      <c r="AP162" s="1">
        <v>65191265</v>
      </c>
      <c r="AQ162" s="1">
        <v>14769054</v>
      </c>
      <c r="AR162" s="1">
        <v>2215358</v>
      </c>
      <c r="AS162" s="1">
        <v>0</v>
      </c>
      <c r="AT162" s="1">
        <f t="shared" si="12"/>
        <v>92171683</v>
      </c>
    </row>
    <row r="163" spans="1:46" x14ac:dyDescent="0.2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f t="shared" si="12"/>
        <v>0</v>
      </c>
    </row>
    <row r="164" spans="1:46" x14ac:dyDescent="0.2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16793207</v>
      </c>
      <c r="G164" s="1">
        <v>0</v>
      </c>
      <c r="H164" s="1">
        <v>0</v>
      </c>
      <c r="I164" s="1">
        <v>13939140</v>
      </c>
      <c r="J164" s="1">
        <v>0</v>
      </c>
      <c r="K164" s="1">
        <v>4125000</v>
      </c>
      <c r="L164" s="1">
        <v>0</v>
      </c>
      <c r="M164" s="1">
        <v>400000</v>
      </c>
      <c r="N164" s="1">
        <v>2887910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1342000</v>
      </c>
      <c r="U164" s="1">
        <v>0</v>
      </c>
      <c r="V164" s="1">
        <v>6107415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2062792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3094189</v>
      </c>
      <c r="AM164" s="1">
        <v>0</v>
      </c>
      <c r="AN164" s="1">
        <v>51851653</v>
      </c>
      <c r="AO164" s="1">
        <v>10732357</v>
      </c>
      <c r="AP164" s="1">
        <v>41119296</v>
      </c>
      <c r="AQ164" s="1">
        <v>10101931</v>
      </c>
      <c r="AR164" s="1">
        <v>1515290</v>
      </c>
      <c r="AS164" s="1">
        <v>0</v>
      </c>
      <c r="AT164" s="1">
        <f t="shared" si="12"/>
        <v>63468874</v>
      </c>
    </row>
    <row r="165" spans="1:46" x14ac:dyDescent="0.2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12258715</v>
      </c>
      <c r="G165" s="1">
        <v>9456011</v>
      </c>
      <c r="H165" s="1">
        <v>0</v>
      </c>
      <c r="I165" s="1">
        <v>11044737</v>
      </c>
      <c r="J165" s="1">
        <v>0</v>
      </c>
      <c r="K165" s="1">
        <v>4620000</v>
      </c>
      <c r="L165" s="1">
        <v>0</v>
      </c>
      <c r="M165" s="1">
        <v>400000</v>
      </c>
      <c r="N165" s="1">
        <v>2290280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1342000</v>
      </c>
      <c r="U165" s="1">
        <v>0</v>
      </c>
      <c r="V165" s="1">
        <v>15960145</v>
      </c>
      <c r="W165" s="1">
        <v>1100000</v>
      </c>
      <c r="X165" s="1">
        <v>1902214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1635914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9043412</v>
      </c>
      <c r="AM165" s="1">
        <v>0</v>
      </c>
      <c r="AN165" s="1">
        <v>71053428</v>
      </c>
      <c r="AO165" s="1">
        <v>9321519</v>
      </c>
      <c r="AP165" s="1">
        <v>61731909</v>
      </c>
      <c r="AQ165" s="1">
        <v>13942286</v>
      </c>
      <c r="AR165" s="1">
        <v>2091343</v>
      </c>
      <c r="AS165" s="1">
        <v>0</v>
      </c>
      <c r="AT165" s="1">
        <f t="shared" si="12"/>
        <v>87087057</v>
      </c>
    </row>
    <row r="166" spans="1:46" x14ac:dyDescent="0.2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16601171</v>
      </c>
      <c r="G166" s="1">
        <v>0</v>
      </c>
      <c r="H166" s="1">
        <v>0</v>
      </c>
      <c r="I166" s="1">
        <v>13389242</v>
      </c>
      <c r="J166" s="1">
        <v>0</v>
      </c>
      <c r="K166" s="1">
        <v>4125000</v>
      </c>
      <c r="L166" s="1">
        <v>0</v>
      </c>
      <c r="M166" s="1">
        <v>400000</v>
      </c>
      <c r="N166" s="1">
        <v>2827810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1342000</v>
      </c>
      <c r="U166" s="1">
        <v>0</v>
      </c>
      <c r="V166" s="1">
        <v>7804323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2019865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3231783</v>
      </c>
      <c r="AM166" s="1">
        <v>0</v>
      </c>
      <c r="AN166" s="1">
        <v>52841194</v>
      </c>
      <c r="AO166" s="1">
        <v>8806301</v>
      </c>
      <c r="AP166" s="1">
        <v>44034893</v>
      </c>
      <c r="AQ166" s="1">
        <v>10299839</v>
      </c>
      <c r="AR166" s="1">
        <v>1544976</v>
      </c>
      <c r="AS166" s="1">
        <v>0</v>
      </c>
      <c r="AT166" s="1">
        <f t="shared" si="12"/>
        <v>64686009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11726490</v>
      </c>
      <c r="G167" s="1">
        <v>4700932</v>
      </c>
      <c r="H167" s="1">
        <v>0</v>
      </c>
      <c r="I167" s="1">
        <v>10266090</v>
      </c>
      <c r="J167" s="1">
        <v>1000000</v>
      </c>
      <c r="K167" s="1">
        <v>3465000</v>
      </c>
      <c r="L167" s="1">
        <v>0</v>
      </c>
      <c r="M167" s="1">
        <v>400000</v>
      </c>
      <c r="N167" s="1">
        <v>2243243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1342000</v>
      </c>
      <c r="U167" s="1">
        <v>0</v>
      </c>
      <c r="V167" s="1">
        <v>6975670</v>
      </c>
      <c r="W167" s="1">
        <v>1100000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1602316</v>
      </c>
      <c r="AF167" s="1">
        <v>1111269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3845560</v>
      </c>
      <c r="AM167" s="1">
        <v>0</v>
      </c>
      <c r="AN167" s="1">
        <v>49778570</v>
      </c>
      <c r="AO167" s="1">
        <v>9055296</v>
      </c>
      <c r="AP167" s="1">
        <v>40723274</v>
      </c>
      <c r="AQ167" s="1">
        <v>9265060</v>
      </c>
      <c r="AR167" s="1">
        <v>1389759</v>
      </c>
      <c r="AS167" s="1">
        <v>0</v>
      </c>
      <c r="AT167" s="1">
        <f t="shared" si="12"/>
        <v>60433389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12654825</v>
      </c>
      <c r="G168" s="1">
        <v>1496902</v>
      </c>
      <c r="H168" s="1">
        <v>0</v>
      </c>
      <c r="I168" s="1">
        <v>11302667</v>
      </c>
      <c r="J168" s="1">
        <v>0</v>
      </c>
      <c r="K168" s="1">
        <v>3465000</v>
      </c>
      <c r="L168" s="1">
        <v>0</v>
      </c>
      <c r="M168" s="1">
        <v>400000</v>
      </c>
      <c r="N168" s="1">
        <v>2385712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1342000</v>
      </c>
      <c r="U168" s="1">
        <v>0</v>
      </c>
      <c r="V168" s="1">
        <v>7552213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1704080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4089793</v>
      </c>
      <c r="AM168" s="1">
        <v>0</v>
      </c>
      <c r="AN168" s="1">
        <v>47493192</v>
      </c>
      <c r="AO168" s="1">
        <v>8333035</v>
      </c>
      <c r="AP168" s="1">
        <v>39160157</v>
      </c>
      <c r="AQ168" s="1">
        <v>9230238</v>
      </c>
      <c r="AR168" s="1">
        <v>1384536</v>
      </c>
      <c r="AS168" s="1">
        <v>0</v>
      </c>
      <c r="AT168" s="1">
        <f t="shared" si="12"/>
        <v>58107966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15049769</v>
      </c>
      <c r="G169" s="1">
        <v>16104316</v>
      </c>
      <c r="H169" s="1">
        <v>0</v>
      </c>
      <c r="I169" s="1">
        <v>13464359</v>
      </c>
      <c r="J169" s="1">
        <v>0</v>
      </c>
      <c r="K169" s="1">
        <v>4125000</v>
      </c>
      <c r="L169" s="1">
        <v>0</v>
      </c>
      <c r="M169" s="1">
        <v>400000</v>
      </c>
      <c r="N169" s="1">
        <v>2424821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1342000</v>
      </c>
      <c r="U169" s="1">
        <v>0</v>
      </c>
      <c r="V169" s="1">
        <v>5928648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2373226</v>
      </c>
      <c r="AD169" s="1">
        <v>0</v>
      </c>
      <c r="AE169" s="1">
        <v>1732015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2598023</v>
      </c>
      <c r="AM169" s="1">
        <v>0</v>
      </c>
      <c r="AN169" s="1">
        <v>66642177</v>
      </c>
      <c r="AO169" s="1">
        <v>9768274</v>
      </c>
      <c r="AP169" s="1">
        <v>56873903</v>
      </c>
      <c r="AQ169" s="1">
        <v>13060035</v>
      </c>
      <c r="AR169" s="1">
        <v>1959005</v>
      </c>
      <c r="AS169" s="1">
        <v>0</v>
      </c>
      <c r="AT169" s="1">
        <f t="shared" si="12"/>
        <v>81661217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18941338</v>
      </c>
      <c r="G170" s="1">
        <v>0</v>
      </c>
      <c r="H170" s="1">
        <v>0</v>
      </c>
      <c r="I170" s="1">
        <v>18523217</v>
      </c>
      <c r="J170" s="1">
        <v>0</v>
      </c>
      <c r="K170" s="1">
        <v>5500000</v>
      </c>
      <c r="L170" s="1">
        <v>0</v>
      </c>
      <c r="M170" s="1">
        <v>400000</v>
      </c>
      <c r="N170" s="1">
        <v>2925015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10880749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2089297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5348601</v>
      </c>
      <c r="AM170" s="1">
        <v>0</v>
      </c>
      <c r="AN170" s="1">
        <v>65708217</v>
      </c>
      <c r="AO170" s="1">
        <v>33097761</v>
      </c>
      <c r="AP170" s="1">
        <v>32610456</v>
      </c>
      <c r="AQ170" s="1">
        <v>13141643</v>
      </c>
      <c r="AR170" s="1">
        <v>1971247</v>
      </c>
      <c r="AS170" s="1">
        <v>0</v>
      </c>
      <c r="AT170" s="1">
        <f t="shared" si="12"/>
        <v>80821107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4805778</v>
      </c>
      <c r="G171" s="1">
        <v>4848695</v>
      </c>
      <c r="H171" s="1">
        <v>0</v>
      </c>
      <c r="I171" s="1">
        <v>3412102</v>
      </c>
      <c r="J171" s="1">
        <v>0</v>
      </c>
      <c r="K171" s="1">
        <v>0</v>
      </c>
      <c r="L171" s="1">
        <v>5459695</v>
      </c>
      <c r="M171" s="1">
        <v>400000</v>
      </c>
      <c r="N171" s="1">
        <v>2386976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4353039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2561036</v>
      </c>
      <c r="AE171" s="1">
        <v>0</v>
      </c>
      <c r="AF171" s="1">
        <v>3333807</v>
      </c>
      <c r="AG171" s="1">
        <v>1009023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35738927</v>
      </c>
      <c r="AO171" s="1">
        <v>4315200</v>
      </c>
      <c r="AP171" s="1">
        <v>31423727</v>
      </c>
      <c r="AQ171" s="1">
        <v>6481024</v>
      </c>
      <c r="AR171" s="1">
        <v>972154</v>
      </c>
      <c r="AS171" s="1">
        <v>0</v>
      </c>
      <c r="AT171" s="1">
        <f t="shared" si="12"/>
        <v>43192105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22005583</v>
      </c>
      <c r="G172" s="1">
        <v>17574027</v>
      </c>
      <c r="H172" s="1">
        <v>0</v>
      </c>
      <c r="I172" s="1">
        <v>21978873</v>
      </c>
      <c r="J172" s="1">
        <v>0</v>
      </c>
      <c r="K172" s="1">
        <v>0</v>
      </c>
      <c r="L172" s="1">
        <v>0</v>
      </c>
      <c r="M172" s="1">
        <v>400000</v>
      </c>
      <c r="N172" s="1">
        <v>3438763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1342000</v>
      </c>
      <c r="U172" s="1">
        <v>0</v>
      </c>
      <c r="V172" s="1">
        <v>11539375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2683820</v>
      </c>
      <c r="AD172" s="1">
        <v>0</v>
      </c>
      <c r="AE172" s="1">
        <v>2456259</v>
      </c>
      <c r="AF172" s="1">
        <v>3333807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4421267</v>
      </c>
      <c r="AM172" s="1">
        <v>0</v>
      </c>
      <c r="AN172" s="1">
        <v>92273774</v>
      </c>
      <c r="AO172" s="1">
        <v>11796497</v>
      </c>
      <c r="AP172" s="1">
        <v>80477277</v>
      </c>
      <c r="AQ172" s="1">
        <v>15039174</v>
      </c>
      <c r="AR172" s="1">
        <v>2255876</v>
      </c>
      <c r="AS172" s="1">
        <v>0</v>
      </c>
      <c r="AT172" s="1">
        <f t="shared" si="12"/>
        <v>109568824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6916251</v>
      </c>
      <c r="G173" s="1">
        <v>6893908</v>
      </c>
      <c r="H173" s="1">
        <v>0</v>
      </c>
      <c r="I173" s="1">
        <v>5118025</v>
      </c>
      <c r="J173" s="1">
        <v>0</v>
      </c>
      <c r="K173" s="1">
        <v>0</v>
      </c>
      <c r="L173" s="1">
        <v>3500010</v>
      </c>
      <c r="M173" s="1">
        <v>400000</v>
      </c>
      <c r="N173" s="1">
        <v>3664239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4852404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2879779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2322159</v>
      </c>
      <c r="AK173" s="1">
        <v>0</v>
      </c>
      <c r="AL173" s="1">
        <v>0</v>
      </c>
      <c r="AM173" s="1">
        <v>0</v>
      </c>
      <c r="AN173" s="1">
        <v>39869313</v>
      </c>
      <c r="AO173" s="1">
        <v>5653690</v>
      </c>
      <c r="AP173" s="1">
        <v>34215623</v>
      </c>
      <c r="AQ173" s="1">
        <v>7529355</v>
      </c>
      <c r="AR173" s="1">
        <v>1129403</v>
      </c>
      <c r="AS173" s="1">
        <v>0</v>
      </c>
      <c r="AT173" s="1">
        <f t="shared" si="12"/>
        <v>48528071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6137869</v>
      </c>
      <c r="G174" s="1">
        <v>5766620</v>
      </c>
      <c r="H174" s="1">
        <v>0</v>
      </c>
      <c r="I174" s="1">
        <v>4542024</v>
      </c>
      <c r="J174" s="1">
        <v>0</v>
      </c>
      <c r="K174" s="1">
        <v>0</v>
      </c>
      <c r="L174" s="1">
        <v>3500010</v>
      </c>
      <c r="M174" s="1">
        <v>400000</v>
      </c>
      <c r="N174" s="1">
        <v>3230458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4432185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2611554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2108935</v>
      </c>
      <c r="AK174" s="1">
        <v>0</v>
      </c>
      <c r="AL174" s="1">
        <v>0</v>
      </c>
      <c r="AM174" s="1">
        <v>0</v>
      </c>
      <c r="AN174" s="1">
        <v>34940924</v>
      </c>
      <c r="AO174" s="1">
        <v>4839291</v>
      </c>
      <c r="AP174" s="1">
        <v>30101633</v>
      </c>
      <c r="AQ174" s="1">
        <v>6765931</v>
      </c>
      <c r="AR174" s="1">
        <v>1014890</v>
      </c>
      <c r="AS174" s="1">
        <v>0</v>
      </c>
      <c r="AT174" s="1">
        <f t="shared" si="12"/>
        <v>42721745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12863077</v>
      </c>
      <c r="G175" s="1">
        <v>12581653</v>
      </c>
      <c r="H175" s="1">
        <v>0</v>
      </c>
      <c r="I175" s="1">
        <v>14990041</v>
      </c>
      <c r="J175" s="1">
        <v>0</v>
      </c>
      <c r="K175" s="1">
        <v>0</v>
      </c>
      <c r="L175" s="1">
        <v>0</v>
      </c>
      <c r="M175" s="1">
        <v>400000</v>
      </c>
      <c r="N175" s="1">
        <v>2684929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3790836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2384014</v>
      </c>
      <c r="AD175" s="1">
        <v>0</v>
      </c>
      <c r="AE175" s="1">
        <v>1917807</v>
      </c>
      <c r="AF175" s="1">
        <v>1111269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3068490</v>
      </c>
      <c r="AM175" s="1">
        <v>0</v>
      </c>
      <c r="AN175" s="1">
        <v>56892116</v>
      </c>
      <c r="AO175" s="1">
        <v>30022037</v>
      </c>
      <c r="AP175" s="1">
        <v>26870079</v>
      </c>
      <c r="AQ175" s="1">
        <v>11156169</v>
      </c>
      <c r="AR175" s="1">
        <v>1673425</v>
      </c>
      <c r="AS175" s="1">
        <v>0</v>
      </c>
      <c r="AT175" s="1">
        <f t="shared" si="12"/>
        <v>69721710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6045725</v>
      </c>
      <c r="G176" s="1">
        <v>1499950</v>
      </c>
      <c r="H176" s="1">
        <v>0</v>
      </c>
      <c r="I176" s="1">
        <v>4836579</v>
      </c>
      <c r="J176" s="1">
        <v>0</v>
      </c>
      <c r="K176" s="1">
        <v>0</v>
      </c>
      <c r="L176" s="1">
        <v>3881241</v>
      </c>
      <c r="M176" s="1">
        <v>400000</v>
      </c>
      <c r="N176" s="1">
        <v>3181960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1939551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23996275</v>
      </c>
      <c r="AO176" s="1">
        <v>3357065</v>
      </c>
      <c r="AP176" s="1">
        <v>20639210</v>
      </c>
      <c r="AQ176" s="1">
        <v>4577001</v>
      </c>
      <c r="AR176" s="1">
        <v>686550</v>
      </c>
      <c r="AS176" s="1">
        <v>0</v>
      </c>
      <c r="AT176" s="1">
        <f t="shared" si="12"/>
        <v>29259826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5284183</v>
      </c>
      <c r="G177" s="1">
        <v>3511996</v>
      </c>
      <c r="H177" s="1">
        <v>0</v>
      </c>
      <c r="I177" s="1">
        <v>3751770</v>
      </c>
      <c r="J177" s="1">
        <v>0</v>
      </c>
      <c r="K177" s="1">
        <v>0</v>
      </c>
      <c r="L177" s="1">
        <v>3666323</v>
      </c>
      <c r="M177" s="1">
        <v>400000</v>
      </c>
      <c r="N177" s="1">
        <v>2818231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5642693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2328076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2043343</v>
      </c>
      <c r="AK177" s="1">
        <v>0</v>
      </c>
      <c r="AL177" s="1">
        <v>0</v>
      </c>
      <c r="AM177" s="1">
        <v>0</v>
      </c>
      <c r="AN177" s="1">
        <v>31657884</v>
      </c>
      <c r="AO177" s="1">
        <v>2872958</v>
      </c>
      <c r="AP177" s="1">
        <v>28784926</v>
      </c>
      <c r="AQ177" s="1">
        <v>6109323</v>
      </c>
      <c r="AR177" s="1">
        <v>916398</v>
      </c>
      <c r="AS177" s="1">
        <v>0</v>
      </c>
      <c r="AT177" s="1">
        <f t="shared" si="12"/>
        <v>38683605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6480853</v>
      </c>
      <c r="G178" s="1">
        <v>4779808</v>
      </c>
      <c r="H178" s="1">
        <v>0</v>
      </c>
      <c r="I178" s="1">
        <v>4536598</v>
      </c>
      <c r="J178" s="1">
        <v>0</v>
      </c>
      <c r="K178" s="1">
        <v>0</v>
      </c>
      <c r="L178" s="1">
        <v>3500010</v>
      </c>
      <c r="M178" s="1">
        <v>400000</v>
      </c>
      <c r="N178" s="1">
        <v>3410975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6443330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2689265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2353136</v>
      </c>
      <c r="AK178" s="1">
        <v>0</v>
      </c>
      <c r="AL178" s="1">
        <v>0</v>
      </c>
      <c r="AM178" s="1">
        <v>0</v>
      </c>
      <c r="AN178" s="1">
        <v>35693975</v>
      </c>
      <c r="AO178" s="1">
        <v>3626587</v>
      </c>
      <c r="AP178" s="1">
        <v>32067388</v>
      </c>
      <c r="AQ178" s="1">
        <v>7138795</v>
      </c>
      <c r="AR178" s="1">
        <v>1070819</v>
      </c>
      <c r="AS178" s="1">
        <v>0</v>
      </c>
      <c r="AT178" s="1">
        <f t="shared" si="12"/>
        <v>43903589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6026292</v>
      </c>
      <c r="G179" s="1">
        <v>5427776</v>
      </c>
      <c r="H179" s="1">
        <v>0</v>
      </c>
      <c r="I179" s="1">
        <v>4338931</v>
      </c>
      <c r="J179" s="1">
        <v>0</v>
      </c>
      <c r="K179" s="1">
        <v>0</v>
      </c>
      <c r="L179" s="1">
        <v>3500010</v>
      </c>
      <c r="M179" s="1">
        <v>400000</v>
      </c>
      <c r="N179" s="1">
        <v>3192738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6153901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2558696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2241146</v>
      </c>
      <c r="AK179" s="1">
        <v>0</v>
      </c>
      <c r="AL179" s="1">
        <v>0</v>
      </c>
      <c r="AM179" s="1">
        <v>0</v>
      </c>
      <c r="AN179" s="1">
        <v>37162028</v>
      </c>
      <c r="AO179" s="1">
        <v>4352098</v>
      </c>
      <c r="AP179" s="1">
        <v>32809930</v>
      </c>
      <c r="AQ179" s="1">
        <v>6987898</v>
      </c>
      <c r="AR179" s="1">
        <v>1048185</v>
      </c>
      <c r="AS179" s="1">
        <v>0</v>
      </c>
      <c r="AT179" s="1">
        <f t="shared" si="12"/>
        <v>45198111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5856316</v>
      </c>
      <c r="G180" s="1">
        <v>3762895</v>
      </c>
      <c r="H180" s="1">
        <v>0</v>
      </c>
      <c r="I180" s="1">
        <v>4216548</v>
      </c>
      <c r="J180" s="1">
        <v>0</v>
      </c>
      <c r="K180" s="1">
        <v>0</v>
      </c>
      <c r="L180" s="1">
        <v>3500010</v>
      </c>
      <c r="M180" s="1">
        <v>400000</v>
      </c>
      <c r="N180" s="1">
        <v>3082272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6019961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1111269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29049271</v>
      </c>
      <c r="AO180" s="1">
        <v>2434712</v>
      </c>
      <c r="AP180" s="1">
        <v>26614559</v>
      </c>
      <c r="AQ180" s="1">
        <v>5587600</v>
      </c>
      <c r="AR180" s="1">
        <v>838140</v>
      </c>
      <c r="AS180" s="1">
        <v>0</v>
      </c>
      <c r="AT180" s="1">
        <f t="shared" si="12"/>
        <v>35475011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5600358</v>
      </c>
      <c r="G181" s="1">
        <v>4465156</v>
      </c>
      <c r="H181" s="1">
        <v>0</v>
      </c>
      <c r="I181" s="1">
        <v>3584229</v>
      </c>
      <c r="J181" s="1">
        <v>0</v>
      </c>
      <c r="K181" s="1">
        <v>0</v>
      </c>
      <c r="L181" s="1">
        <v>3500010</v>
      </c>
      <c r="M181" s="1">
        <v>400000</v>
      </c>
      <c r="N181" s="1">
        <v>2947557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5508995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29328843</v>
      </c>
      <c r="AO181" s="1">
        <v>2406112</v>
      </c>
      <c r="AP181" s="1">
        <v>26922731</v>
      </c>
      <c r="AQ181" s="1">
        <v>5421261</v>
      </c>
      <c r="AR181" s="1">
        <v>813189</v>
      </c>
      <c r="AS181" s="1">
        <v>0</v>
      </c>
      <c r="AT181" s="1">
        <f t="shared" si="12"/>
        <v>35563293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6646721</v>
      </c>
      <c r="G182" s="1">
        <v>13141432</v>
      </c>
      <c r="H182" s="1">
        <v>0</v>
      </c>
      <c r="I182" s="1">
        <v>4918573</v>
      </c>
      <c r="J182" s="1">
        <v>0</v>
      </c>
      <c r="K182" s="1">
        <v>0</v>
      </c>
      <c r="L182" s="1">
        <v>3500010</v>
      </c>
      <c r="M182" s="1">
        <v>400000</v>
      </c>
      <c r="N182" s="1">
        <v>3521441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6662217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41001663</v>
      </c>
      <c r="AO182" s="1">
        <v>5131106</v>
      </c>
      <c r="AP182" s="1">
        <v>35870557</v>
      </c>
      <c r="AQ182" s="1">
        <v>7978079</v>
      </c>
      <c r="AR182" s="1">
        <v>1196712</v>
      </c>
      <c r="AS182" s="1">
        <v>0</v>
      </c>
      <c r="AT182" s="1">
        <f t="shared" si="12"/>
        <v>50176454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3721627</v>
      </c>
      <c r="G183" s="1">
        <v>1023996</v>
      </c>
      <c r="H183" s="1">
        <v>0</v>
      </c>
      <c r="I183" s="1">
        <v>2493491</v>
      </c>
      <c r="J183" s="1">
        <v>0</v>
      </c>
      <c r="K183" s="1">
        <v>0</v>
      </c>
      <c r="L183" s="1">
        <v>4922937</v>
      </c>
      <c r="M183" s="1">
        <v>400000</v>
      </c>
      <c r="N183" s="1">
        <v>1836329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6418850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1946158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1872450</v>
      </c>
      <c r="AK183" s="1">
        <v>0</v>
      </c>
      <c r="AL183" s="1">
        <v>0</v>
      </c>
      <c r="AM183" s="1">
        <v>0</v>
      </c>
      <c r="AN183" s="1">
        <v>27958376</v>
      </c>
      <c r="AO183" s="1">
        <v>2785874</v>
      </c>
      <c r="AP183" s="1">
        <v>25172502</v>
      </c>
      <c r="AQ183" s="1">
        <v>5147168</v>
      </c>
      <c r="AR183" s="1">
        <v>772075</v>
      </c>
      <c r="AS183" s="1">
        <v>0</v>
      </c>
      <c r="AT183" s="1">
        <f t="shared" si="12"/>
        <v>33877619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7318004</v>
      </c>
      <c r="G184" s="1">
        <v>5107481</v>
      </c>
      <c r="H184" s="1">
        <v>0</v>
      </c>
      <c r="I184" s="1">
        <v>5268963</v>
      </c>
      <c r="J184" s="1">
        <v>0</v>
      </c>
      <c r="K184" s="1">
        <v>0</v>
      </c>
      <c r="L184" s="1">
        <v>3500010</v>
      </c>
      <c r="M184" s="1">
        <v>400000</v>
      </c>
      <c r="N184" s="1">
        <v>3877088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7120177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35914261</v>
      </c>
      <c r="AO184" s="1">
        <v>3512463</v>
      </c>
      <c r="AP184" s="1">
        <v>32401798</v>
      </c>
      <c r="AQ184" s="1">
        <v>6738345</v>
      </c>
      <c r="AR184" s="1">
        <v>1010752</v>
      </c>
      <c r="AS184" s="1">
        <v>0</v>
      </c>
      <c r="AT184" s="1">
        <f t="shared" si="12"/>
        <v>43663358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6788003</v>
      </c>
      <c r="G185" s="1">
        <v>7845334</v>
      </c>
      <c r="H185" s="1">
        <v>0</v>
      </c>
      <c r="I185" s="1">
        <v>4955242</v>
      </c>
      <c r="J185" s="1">
        <v>0</v>
      </c>
      <c r="K185" s="1">
        <v>0</v>
      </c>
      <c r="L185" s="1">
        <v>3952370</v>
      </c>
      <c r="M185" s="1">
        <v>400000</v>
      </c>
      <c r="N185" s="1">
        <v>3572633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6733431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2890237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2510507</v>
      </c>
      <c r="AK185" s="1">
        <v>0</v>
      </c>
      <c r="AL185" s="1">
        <v>0</v>
      </c>
      <c r="AM185" s="1">
        <v>0</v>
      </c>
      <c r="AN185" s="1">
        <v>42970295</v>
      </c>
      <c r="AO185" s="1">
        <v>4697877</v>
      </c>
      <c r="AP185" s="1">
        <v>38272418</v>
      </c>
      <c r="AQ185" s="1">
        <v>8149551</v>
      </c>
      <c r="AR185" s="1">
        <v>1222433</v>
      </c>
      <c r="AS185" s="1">
        <v>0</v>
      </c>
      <c r="AT185" s="1">
        <f t="shared" si="12"/>
        <v>52342279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5805124</v>
      </c>
      <c r="G186" s="1">
        <v>1870495</v>
      </c>
      <c r="H186" s="1">
        <v>0</v>
      </c>
      <c r="I186" s="1">
        <v>4353843</v>
      </c>
      <c r="J186" s="1">
        <v>0</v>
      </c>
      <c r="K186" s="1">
        <v>0</v>
      </c>
      <c r="L186" s="1">
        <v>3500010</v>
      </c>
      <c r="M186" s="1">
        <v>400000</v>
      </c>
      <c r="N186" s="1">
        <v>3055329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8083116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28167917</v>
      </c>
      <c r="AO186" s="1">
        <v>4282210</v>
      </c>
      <c r="AP186" s="1">
        <v>23885707</v>
      </c>
      <c r="AQ186" s="1">
        <v>5633583</v>
      </c>
      <c r="AR186" s="1">
        <v>845038</v>
      </c>
      <c r="AS186" s="1">
        <v>0</v>
      </c>
      <c r="AT186" s="1">
        <f t="shared" si="12"/>
        <v>34646538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7038841</v>
      </c>
      <c r="G187" s="1">
        <v>1518247</v>
      </c>
      <c r="H187" s="1">
        <v>0</v>
      </c>
      <c r="I187" s="1">
        <v>5208742</v>
      </c>
      <c r="J187" s="1">
        <v>0</v>
      </c>
      <c r="K187" s="1">
        <v>0</v>
      </c>
      <c r="L187" s="1">
        <v>3500010</v>
      </c>
      <c r="M187" s="1">
        <v>400000</v>
      </c>
      <c r="N187" s="1">
        <v>3704653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9301500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2917837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4164336</v>
      </c>
      <c r="AK187" s="1">
        <v>0</v>
      </c>
      <c r="AL187" s="1">
        <v>0</v>
      </c>
      <c r="AM187" s="1">
        <v>0</v>
      </c>
      <c r="AN187" s="1">
        <v>39965435</v>
      </c>
      <c r="AO187" s="1">
        <v>5113817</v>
      </c>
      <c r="AP187" s="1">
        <v>34851618</v>
      </c>
      <c r="AQ187" s="1">
        <v>7770833</v>
      </c>
      <c r="AR187" s="1">
        <v>1165625</v>
      </c>
      <c r="AS187" s="1">
        <v>0</v>
      </c>
      <c r="AT187" s="1">
        <f t="shared" si="12"/>
        <v>48901893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5990694</v>
      </c>
      <c r="G188" s="1">
        <v>4398253</v>
      </c>
      <c r="H188" s="1">
        <v>0</v>
      </c>
      <c r="I188" s="1">
        <v>4433113</v>
      </c>
      <c r="J188" s="1">
        <v>0</v>
      </c>
      <c r="K188" s="1">
        <v>0</v>
      </c>
      <c r="L188" s="1">
        <v>3500010</v>
      </c>
      <c r="M188" s="1">
        <v>400000</v>
      </c>
      <c r="N188" s="1">
        <v>3173878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8253724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2653091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35014032</v>
      </c>
      <c r="AO188" s="1">
        <v>3436791</v>
      </c>
      <c r="AP188" s="1">
        <v>31577241</v>
      </c>
      <c r="AQ188" s="1">
        <v>6780553</v>
      </c>
      <c r="AR188" s="1">
        <v>1017083</v>
      </c>
      <c r="AS188" s="1">
        <v>0</v>
      </c>
      <c r="AT188" s="1">
        <f t="shared" si="12"/>
        <v>42811668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6026292</v>
      </c>
      <c r="G189" s="1">
        <v>2955928</v>
      </c>
      <c r="H189" s="1">
        <v>0</v>
      </c>
      <c r="I189" s="1">
        <v>4218405</v>
      </c>
      <c r="J189" s="1">
        <v>0</v>
      </c>
      <c r="K189" s="1">
        <v>0</v>
      </c>
      <c r="L189" s="1">
        <v>3500010</v>
      </c>
      <c r="M189" s="1">
        <v>400000</v>
      </c>
      <c r="N189" s="1">
        <v>3192738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6113825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2540617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3338460</v>
      </c>
      <c r="AK189" s="1">
        <v>0</v>
      </c>
      <c r="AL189" s="1">
        <v>0</v>
      </c>
      <c r="AM189" s="1">
        <v>0</v>
      </c>
      <c r="AN189" s="1">
        <v>35608813</v>
      </c>
      <c r="AO189" s="1">
        <v>4089086</v>
      </c>
      <c r="AP189" s="1">
        <v>31519727</v>
      </c>
      <c r="AQ189" s="1">
        <v>6677255</v>
      </c>
      <c r="AR189" s="1">
        <v>1001588</v>
      </c>
      <c r="AS189" s="1">
        <v>0</v>
      </c>
      <c r="AT189" s="1">
        <f t="shared" si="12"/>
        <v>43287656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5011655</v>
      </c>
      <c r="G190" s="1">
        <v>1031287</v>
      </c>
      <c r="H190" s="1">
        <v>0</v>
      </c>
      <c r="I190" s="1">
        <v>3808858</v>
      </c>
      <c r="J190" s="1">
        <v>0</v>
      </c>
      <c r="K190" s="1">
        <v>0</v>
      </c>
      <c r="L190" s="1">
        <v>3864457</v>
      </c>
      <c r="M190" s="1">
        <v>400000</v>
      </c>
      <c r="N190" s="1">
        <v>2637713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7463844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2298403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2200079</v>
      </c>
      <c r="AK190" s="1">
        <v>0</v>
      </c>
      <c r="AL190" s="1">
        <v>0</v>
      </c>
      <c r="AM190" s="1">
        <v>0</v>
      </c>
      <c r="AN190" s="1">
        <v>32038834</v>
      </c>
      <c r="AO190" s="1">
        <v>2861393</v>
      </c>
      <c r="AP190" s="1">
        <v>29177441</v>
      </c>
      <c r="AQ190" s="1">
        <v>5963259</v>
      </c>
      <c r="AR190" s="1">
        <v>894489</v>
      </c>
      <c r="AS190" s="1">
        <v>0</v>
      </c>
      <c r="AT190" s="1">
        <f t="shared" si="12"/>
        <v>38896582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6671495</v>
      </c>
      <c r="G191" s="1">
        <v>1912150</v>
      </c>
      <c r="H191" s="1">
        <v>0</v>
      </c>
      <c r="I191" s="1">
        <v>5470626</v>
      </c>
      <c r="J191" s="1">
        <v>0</v>
      </c>
      <c r="K191" s="1">
        <v>0</v>
      </c>
      <c r="L191" s="1">
        <v>3345440</v>
      </c>
      <c r="M191" s="1">
        <v>400000</v>
      </c>
      <c r="N191" s="1">
        <v>3558132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9120583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2856854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4079254</v>
      </c>
      <c r="AK191" s="1">
        <v>0</v>
      </c>
      <c r="AL191" s="1">
        <v>0</v>
      </c>
      <c r="AM191" s="1">
        <v>0</v>
      </c>
      <c r="AN191" s="1">
        <v>40737072</v>
      </c>
      <c r="AO191" s="1">
        <v>7409527</v>
      </c>
      <c r="AP191" s="1">
        <v>33327545</v>
      </c>
      <c r="AQ191" s="1">
        <v>7702907</v>
      </c>
      <c r="AR191" s="1">
        <v>1155436</v>
      </c>
      <c r="AS191" s="1">
        <v>0</v>
      </c>
      <c r="AT191" s="1">
        <f t="shared" si="12"/>
        <v>49595415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5134515</v>
      </c>
      <c r="G192" s="1">
        <v>1561204</v>
      </c>
      <c r="H192" s="1">
        <v>0</v>
      </c>
      <c r="I192" s="1">
        <v>3850886</v>
      </c>
      <c r="J192" s="1">
        <v>0</v>
      </c>
      <c r="K192" s="1">
        <v>0</v>
      </c>
      <c r="L192" s="1">
        <v>3780416</v>
      </c>
      <c r="M192" s="1">
        <v>400000</v>
      </c>
      <c r="N192" s="1">
        <v>2702377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7528596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3333807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29391801</v>
      </c>
      <c r="AO192" s="1">
        <v>2341124</v>
      </c>
      <c r="AP192" s="1">
        <v>27050677</v>
      </c>
      <c r="AQ192" s="1">
        <v>5211599</v>
      </c>
      <c r="AR192" s="1">
        <v>781740</v>
      </c>
      <c r="AS192" s="1">
        <v>0</v>
      </c>
      <c r="AT192" s="1">
        <f t="shared" si="12"/>
        <v>35385140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4361522</v>
      </c>
      <c r="G193" s="1">
        <v>1461874</v>
      </c>
      <c r="H193" s="1">
        <v>0</v>
      </c>
      <c r="I193" s="1">
        <v>2747759</v>
      </c>
      <c r="J193" s="1">
        <v>0</v>
      </c>
      <c r="K193" s="1">
        <v>0</v>
      </c>
      <c r="L193" s="1">
        <v>5194286</v>
      </c>
      <c r="M193" s="1">
        <v>400000</v>
      </c>
      <c r="N193" s="1">
        <v>2152067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7078007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2168345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2079110</v>
      </c>
      <c r="AK193" s="1">
        <v>0</v>
      </c>
      <c r="AL193" s="1">
        <v>0</v>
      </c>
      <c r="AM193" s="1">
        <v>0</v>
      </c>
      <c r="AN193" s="1">
        <v>32076777</v>
      </c>
      <c r="AO193" s="1">
        <v>2792201</v>
      </c>
      <c r="AP193" s="1">
        <v>29284576</v>
      </c>
      <c r="AQ193" s="1">
        <v>5748594</v>
      </c>
      <c r="AR193" s="1">
        <v>862289</v>
      </c>
      <c r="AS193" s="1">
        <v>0</v>
      </c>
      <c r="AT193" s="1">
        <f t="shared" si="12"/>
        <v>38687660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26160726</v>
      </c>
      <c r="G194" s="1">
        <v>20762646</v>
      </c>
      <c r="H194" s="1">
        <v>0</v>
      </c>
      <c r="I194" s="1">
        <v>28715847</v>
      </c>
      <c r="J194" s="1">
        <v>0</v>
      </c>
      <c r="K194" s="1">
        <v>5500000</v>
      </c>
      <c r="L194" s="1">
        <v>0</v>
      </c>
      <c r="M194" s="1">
        <v>400000</v>
      </c>
      <c r="N194" s="1">
        <v>4140378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23152152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2957412</v>
      </c>
      <c r="AF194" s="1">
        <v>2222538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6624604</v>
      </c>
      <c r="AM194" s="1">
        <v>0</v>
      </c>
      <c r="AN194" s="1">
        <v>121736303</v>
      </c>
      <c r="AO194" s="1">
        <v>43425815</v>
      </c>
      <c r="AP194" s="1">
        <v>78310488</v>
      </c>
      <c r="AQ194" s="1">
        <v>15039174</v>
      </c>
      <c r="AR194" s="1">
        <v>2255876</v>
      </c>
      <c r="AS194" s="1">
        <v>0</v>
      </c>
      <c r="AT194" s="1">
        <f t="shared" si="12"/>
        <v>139031353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5856316</v>
      </c>
      <c r="G195" s="1">
        <v>6578760</v>
      </c>
      <c r="H195" s="1">
        <v>0</v>
      </c>
      <c r="I195" s="1">
        <v>3982295</v>
      </c>
      <c r="J195" s="1">
        <v>0</v>
      </c>
      <c r="K195" s="1">
        <v>0</v>
      </c>
      <c r="L195" s="1">
        <v>3500010</v>
      </c>
      <c r="M195" s="1">
        <v>400000</v>
      </c>
      <c r="N195" s="1">
        <v>3082272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5942072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2463134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36175311</v>
      </c>
      <c r="AO195" s="1">
        <v>3631886</v>
      </c>
      <c r="AP195" s="1">
        <v>32543425</v>
      </c>
      <c r="AQ195" s="1">
        <v>7012808</v>
      </c>
      <c r="AR195" s="1">
        <v>1051921</v>
      </c>
      <c r="AS195" s="1">
        <v>0</v>
      </c>
      <c r="AT195" s="1">
        <f t="shared" ref="AT195:AT258" si="17">AS195+AR195+AQ195+AN195</f>
        <v>44240040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4576527</v>
      </c>
      <c r="G196" s="1">
        <v>3771536</v>
      </c>
      <c r="H196" s="1">
        <v>0</v>
      </c>
      <c r="I196" s="1">
        <v>3890047</v>
      </c>
      <c r="J196" s="1">
        <v>0</v>
      </c>
      <c r="K196" s="1">
        <v>0</v>
      </c>
      <c r="L196" s="1">
        <v>5475367</v>
      </c>
      <c r="M196" s="1">
        <v>400000</v>
      </c>
      <c r="N196" s="1">
        <v>2258156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4633150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1111269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27216052</v>
      </c>
      <c r="AO196" s="1">
        <v>2603094</v>
      </c>
      <c r="AP196" s="1">
        <v>24612958</v>
      </c>
      <c r="AQ196" s="1">
        <v>5220957</v>
      </c>
      <c r="AR196" s="1">
        <v>783143</v>
      </c>
      <c r="AS196" s="1">
        <v>0</v>
      </c>
      <c r="AT196" s="1">
        <f t="shared" si="17"/>
        <v>33220152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7684158</v>
      </c>
      <c r="G197" s="1">
        <v>23262678</v>
      </c>
      <c r="H197" s="1">
        <v>0</v>
      </c>
      <c r="I197" s="1">
        <v>5686277</v>
      </c>
      <c r="J197" s="1">
        <v>0</v>
      </c>
      <c r="K197" s="1">
        <v>0</v>
      </c>
      <c r="L197" s="1">
        <v>3500010</v>
      </c>
      <c r="M197" s="1">
        <v>400000</v>
      </c>
      <c r="N197" s="1">
        <v>4071077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4758198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52684936</v>
      </c>
      <c r="AO197" s="1">
        <v>8275589</v>
      </c>
      <c r="AP197" s="1">
        <v>44409347</v>
      </c>
      <c r="AQ197" s="1">
        <v>10092480</v>
      </c>
      <c r="AR197" s="1">
        <v>1513872</v>
      </c>
      <c r="AS197" s="1">
        <v>0</v>
      </c>
      <c r="AT197" s="1">
        <f t="shared" si="17"/>
        <v>64291288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5830721</v>
      </c>
      <c r="G198" s="1">
        <v>5459863</v>
      </c>
      <c r="H198" s="1">
        <v>0</v>
      </c>
      <c r="I198" s="1">
        <v>5655798</v>
      </c>
      <c r="J198" s="1">
        <v>0</v>
      </c>
      <c r="K198" s="1">
        <v>0</v>
      </c>
      <c r="L198" s="1">
        <v>3927958</v>
      </c>
      <c r="M198" s="1">
        <v>400000</v>
      </c>
      <c r="N198" s="1">
        <v>3068800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4136155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2222538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31801833</v>
      </c>
      <c r="AO198" s="1">
        <v>4739199</v>
      </c>
      <c r="AP198" s="1">
        <v>27062634</v>
      </c>
      <c r="AQ198" s="1">
        <v>5915859</v>
      </c>
      <c r="AR198" s="1">
        <v>887379</v>
      </c>
      <c r="AS198" s="1">
        <v>0</v>
      </c>
      <c r="AT198" s="1">
        <f t="shared" si="17"/>
        <v>38605071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9838807</v>
      </c>
      <c r="G199" s="1">
        <v>1974982</v>
      </c>
      <c r="H199" s="1">
        <v>0</v>
      </c>
      <c r="I199" s="1">
        <v>6861422</v>
      </c>
      <c r="J199" s="1">
        <v>0</v>
      </c>
      <c r="K199" s="1">
        <v>4620000</v>
      </c>
      <c r="L199" s="1">
        <v>0</v>
      </c>
      <c r="M199" s="1">
        <v>400000</v>
      </c>
      <c r="N199" s="1">
        <v>1565551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1342000</v>
      </c>
      <c r="U199" s="1">
        <v>0</v>
      </c>
      <c r="V199" s="1">
        <v>10078950</v>
      </c>
      <c r="W199" s="1">
        <v>1100000</v>
      </c>
      <c r="X199" s="1">
        <v>1526711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1118252</v>
      </c>
      <c r="AF199" s="1">
        <v>2222538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3265294</v>
      </c>
      <c r="AM199" s="1">
        <v>0</v>
      </c>
      <c r="AN199" s="1">
        <v>45914507</v>
      </c>
      <c r="AO199" s="1">
        <v>20111033</v>
      </c>
      <c r="AP199" s="1">
        <v>25803474</v>
      </c>
      <c r="AQ199" s="1">
        <v>8469994</v>
      </c>
      <c r="AR199" s="1">
        <v>1270499</v>
      </c>
      <c r="AS199" s="1">
        <v>0</v>
      </c>
      <c r="AT199" s="1">
        <f t="shared" si="17"/>
        <v>55655000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8402343</v>
      </c>
      <c r="G200" s="1">
        <v>9221335</v>
      </c>
      <c r="H200" s="1">
        <v>0</v>
      </c>
      <c r="I200" s="1">
        <v>9494648</v>
      </c>
      <c r="J200" s="1">
        <v>0</v>
      </c>
      <c r="K200" s="1">
        <v>0</v>
      </c>
      <c r="L200" s="1">
        <v>3345440</v>
      </c>
      <c r="M200" s="1">
        <v>400000</v>
      </c>
      <c r="N200" s="1">
        <v>4254351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9431374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46760760</v>
      </c>
      <c r="AO200" s="1">
        <v>5410242</v>
      </c>
      <c r="AP200" s="1">
        <v>41350518</v>
      </c>
      <c r="AQ200" s="1">
        <v>9129898</v>
      </c>
      <c r="AR200" s="1">
        <v>1369485</v>
      </c>
      <c r="AS200" s="1">
        <v>0</v>
      </c>
      <c r="AT200" s="1">
        <f t="shared" si="17"/>
        <v>57260143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6011036</v>
      </c>
      <c r="G201" s="1">
        <v>2684243</v>
      </c>
      <c r="H201" s="1">
        <v>0</v>
      </c>
      <c r="I201" s="1">
        <v>4448167</v>
      </c>
      <c r="J201" s="1">
        <v>0</v>
      </c>
      <c r="K201" s="1">
        <v>0</v>
      </c>
      <c r="L201" s="1">
        <v>3500010</v>
      </c>
      <c r="M201" s="1">
        <v>400000</v>
      </c>
      <c r="N201" s="1">
        <v>3184654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8274270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2571580</v>
      </c>
      <c r="AE201" s="1">
        <v>0</v>
      </c>
      <c r="AF201" s="1">
        <v>2222538</v>
      </c>
      <c r="AG201" s="1">
        <v>0</v>
      </c>
      <c r="AH201" s="1">
        <v>0</v>
      </c>
      <c r="AI201" s="1">
        <v>0</v>
      </c>
      <c r="AJ201" s="1">
        <v>3681248</v>
      </c>
      <c r="AK201" s="1">
        <v>0</v>
      </c>
      <c r="AL201" s="1">
        <v>0</v>
      </c>
      <c r="AM201" s="1">
        <v>0</v>
      </c>
      <c r="AN201" s="1">
        <v>38077746</v>
      </c>
      <c r="AO201" s="1">
        <v>4614825</v>
      </c>
      <c r="AP201" s="1">
        <v>33462921</v>
      </c>
      <c r="AQ201" s="1">
        <v>7171042</v>
      </c>
      <c r="AR201" s="1">
        <v>1075656</v>
      </c>
      <c r="AS201" s="1">
        <v>0</v>
      </c>
      <c r="AT201" s="1">
        <f t="shared" si="17"/>
        <v>46324444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6005950</v>
      </c>
      <c r="G202" s="1">
        <v>1336658</v>
      </c>
      <c r="H202" s="1">
        <v>0</v>
      </c>
      <c r="I202" s="1">
        <v>4384344</v>
      </c>
      <c r="J202" s="1">
        <v>0</v>
      </c>
      <c r="K202" s="1">
        <v>0</v>
      </c>
      <c r="L202" s="1">
        <v>3500010</v>
      </c>
      <c r="M202" s="1">
        <v>400000</v>
      </c>
      <c r="N202" s="1">
        <v>3181960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8242408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2560840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3666263</v>
      </c>
      <c r="AK202" s="1">
        <v>0</v>
      </c>
      <c r="AL202" s="1">
        <v>0</v>
      </c>
      <c r="AM202" s="1">
        <v>0</v>
      </c>
      <c r="AN202" s="1">
        <v>34378433</v>
      </c>
      <c r="AO202" s="1">
        <v>3405576</v>
      </c>
      <c r="AP202" s="1">
        <v>30972857</v>
      </c>
      <c r="AQ202" s="1">
        <v>6875687</v>
      </c>
      <c r="AR202" s="1">
        <v>1031353</v>
      </c>
      <c r="AS202" s="1">
        <v>0</v>
      </c>
      <c r="AT202" s="1">
        <f t="shared" si="17"/>
        <v>42285473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5897269</v>
      </c>
      <c r="G203" s="1">
        <v>5077355</v>
      </c>
      <c r="H203" s="1">
        <v>0</v>
      </c>
      <c r="I203" s="1">
        <v>4305007</v>
      </c>
      <c r="J203" s="1">
        <v>0</v>
      </c>
      <c r="K203" s="1">
        <v>0</v>
      </c>
      <c r="L203" s="1">
        <v>3500010</v>
      </c>
      <c r="M203" s="1">
        <v>400000</v>
      </c>
      <c r="N203" s="1">
        <v>3103826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8123970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1564707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35294682</v>
      </c>
      <c r="AO203" s="1">
        <v>5435694</v>
      </c>
      <c r="AP203" s="1">
        <v>29858988</v>
      </c>
      <c r="AQ203" s="1">
        <v>6614429</v>
      </c>
      <c r="AR203" s="1">
        <v>992164</v>
      </c>
      <c r="AS203" s="1">
        <v>0</v>
      </c>
      <c r="AT203" s="1">
        <f t="shared" si="17"/>
        <v>42901275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7340872</v>
      </c>
      <c r="G204" s="1">
        <v>3377302</v>
      </c>
      <c r="H204" s="1">
        <v>0</v>
      </c>
      <c r="I204" s="1">
        <v>5505654</v>
      </c>
      <c r="J204" s="1">
        <v>0</v>
      </c>
      <c r="K204" s="1">
        <v>0</v>
      </c>
      <c r="L204" s="1">
        <v>3500010</v>
      </c>
      <c r="M204" s="1">
        <v>400000</v>
      </c>
      <c r="N204" s="1">
        <v>3863617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9638768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3031523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4322947</v>
      </c>
      <c r="AK204" s="1">
        <v>0</v>
      </c>
      <c r="AL204" s="1">
        <v>0</v>
      </c>
      <c r="AM204" s="1">
        <v>0</v>
      </c>
      <c r="AN204" s="1">
        <v>44303231</v>
      </c>
      <c r="AO204" s="1">
        <v>9714234</v>
      </c>
      <c r="AP204" s="1">
        <v>34588997</v>
      </c>
      <c r="AQ204" s="1">
        <v>8416139</v>
      </c>
      <c r="AR204" s="1">
        <v>1262421</v>
      </c>
      <c r="AS204" s="1">
        <v>0</v>
      </c>
      <c r="AT204" s="1">
        <f t="shared" si="17"/>
        <v>53981791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6804371</v>
      </c>
      <c r="G205" s="1">
        <v>3158847</v>
      </c>
      <c r="H205" s="1">
        <v>0</v>
      </c>
      <c r="I205" s="1">
        <v>5035234</v>
      </c>
      <c r="J205" s="1">
        <v>0</v>
      </c>
      <c r="K205" s="1">
        <v>0</v>
      </c>
      <c r="L205" s="1">
        <v>3500010</v>
      </c>
      <c r="M205" s="1">
        <v>400000</v>
      </c>
      <c r="N205" s="1">
        <v>3604965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8973615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2841687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5391100</v>
      </c>
      <c r="AK205" s="1">
        <v>0</v>
      </c>
      <c r="AL205" s="1">
        <v>0</v>
      </c>
      <c r="AM205" s="1">
        <v>0</v>
      </c>
      <c r="AN205" s="1">
        <v>43032367</v>
      </c>
      <c r="AO205" s="1">
        <v>5524409</v>
      </c>
      <c r="AP205" s="1">
        <v>37507958</v>
      </c>
      <c r="AQ205" s="1">
        <v>8161966</v>
      </c>
      <c r="AR205" s="1">
        <v>1224295</v>
      </c>
      <c r="AS205" s="1">
        <v>0</v>
      </c>
      <c r="AT205" s="1">
        <f t="shared" si="17"/>
        <v>52418628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5625954</v>
      </c>
      <c r="G206" s="1">
        <v>0</v>
      </c>
      <c r="H206" s="1">
        <v>0</v>
      </c>
      <c r="I206" s="1">
        <v>3994427</v>
      </c>
      <c r="J206" s="1">
        <v>0</v>
      </c>
      <c r="K206" s="1">
        <v>0</v>
      </c>
      <c r="L206" s="1">
        <v>3500010</v>
      </c>
      <c r="M206" s="1">
        <v>400000</v>
      </c>
      <c r="N206" s="1">
        <v>2961029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7801481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27605439</v>
      </c>
      <c r="AO206" s="1">
        <v>2116581</v>
      </c>
      <c r="AP206" s="1">
        <v>25488858</v>
      </c>
      <c r="AQ206" s="1">
        <v>5076580</v>
      </c>
      <c r="AR206" s="1">
        <v>761487</v>
      </c>
      <c r="AS206" s="1">
        <v>0</v>
      </c>
      <c r="AT206" s="1">
        <f t="shared" si="17"/>
        <v>33443506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5661788</v>
      </c>
      <c r="G207" s="1">
        <v>1640330</v>
      </c>
      <c r="H207" s="1">
        <v>0</v>
      </c>
      <c r="I207" s="1">
        <v>4133105</v>
      </c>
      <c r="J207" s="1">
        <v>0</v>
      </c>
      <c r="K207" s="1">
        <v>0</v>
      </c>
      <c r="L207" s="1">
        <v>3500010</v>
      </c>
      <c r="M207" s="1">
        <v>400000</v>
      </c>
      <c r="N207" s="1">
        <v>2979888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7887532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2441219</v>
      </c>
      <c r="AE207" s="1">
        <v>0</v>
      </c>
      <c r="AF207" s="1">
        <v>2222538</v>
      </c>
      <c r="AG207" s="1">
        <v>0</v>
      </c>
      <c r="AH207" s="1">
        <v>0</v>
      </c>
      <c r="AI207" s="1">
        <v>0</v>
      </c>
      <c r="AJ207" s="1">
        <v>2332914</v>
      </c>
      <c r="AK207" s="1">
        <v>0</v>
      </c>
      <c r="AL207" s="1">
        <v>0</v>
      </c>
      <c r="AM207" s="1">
        <v>0</v>
      </c>
      <c r="AN207" s="1">
        <v>34299324</v>
      </c>
      <c r="AO207" s="1">
        <v>5881154</v>
      </c>
      <c r="AP207" s="1">
        <v>28418170</v>
      </c>
      <c r="AQ207" s="1">
        <v>6415357</v>
      </c>
      <c r="AR207" s="1">
        <v>962304</v>
      </c>
      <c r="AS207" s="1">
        <v>0</v>
      </c>
      <c r="AT207" s="1">
        <f t="shared" si="17"/>
        <v>41676985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7414628</v>
      </c>
      <c r="G208" s="1">
        <v>7856218</v>
      </c>
      <c r="H208" s="1">
        <v>0</v>
      </c>
      <c r="I208" s="1">
        <v>5486824</v>
      </c>
      <c r="J208" s="1">
        <v>0</v>
      </c>
      <c r="K208" s="1">
        <v>0</v>
      </c>
      <c r="L208" s="1">
        <v>3500010</v>
      </c>
      <c r="M208" s="1">
        <v>400000</v>
      </c>
      <c r="N208" s="1">
        <v>3928280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7078417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40098184</v>
      </c>
      <c r="AO208" s="1">
        <v>4889435</v>
      </c>
      <c r="AP208" s="1">
        <v>35208749</v>
      </c>
      <c r="AQ208" s="1">
        <v>7352875</v>
      </c>
      <c r="AR208" s="1">
        <v>1102931</v>
      </c>
      <c r="AS208" s="1">
        <v>0</v>
      </c>
      <c r="AT208" s="1">
        <f t="shared" si="17"/>
        <v>48553990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6818718</v>
      </c>
      <c r="G209" s="1">
        <v>16154083</v>
      </c>
      <c r="H209" s="1">
        <v>0</v>
      </c>
      <c r="I209" s="1">
        <v>5250412</v>
      </c>
      <c r="J209" s="1">
        <v>0</v>
      </c>
      <c r="K209" s="1">
        <v>0</v>
      </c>
      <c r="L209" s="1">
        <v>3500010</v>
      </c>
      <c r="M209" s="1">
        <v>400000</v>
      </c>
      <c r="N209" s="1">
        <v>3588798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6336941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45371500</v>
      </c>
      <c r="AO209" s="1">
        <v>5101279</v>
      </c>
      <c r="AP209" s="1">
        <v>40270221</v>
      </c>
      <c r="AQ209" s="1">
        <v>8629792</v>
      </c>
      <c r="AR209" s="1">
        <v>1294469</v>
      </c>
      <c r="AS209" s="1">
        <v>0</v>
      </c>
      <c r="AT209" s="1">
        <f t="shared" si="17"/>
        <v>55295761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8093563</v>
      </c>
      <c r="G210" s="1">
        <v>1350047</v>
      </c>
      <c r="H210" s="1">
        <v>0</v>
      </c>
      <c r="I210" s="1">
        <v>6717657</v>
      </c>
      <c r="J210" s="1">
        <v>0</v>
      </c>
      <c r="K210" s="1">
        <v>0</v>
      </c>
      <c r="L210" s="1">
        <v>3345440</v>
      </c>
      <c r="M210" s="1">
        <v>400000</v>
      </c>
      <c r="N210" s="1">
        <v>4316567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7356391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33790934</v>
      </c>
      <c r="AO210" s="1">
        <v>4898502</v>
      </c>
      <c r="AP210" s="1">
        <v>28892432</v>
      </c>
      <c r="AQ210" s="1">
        <v>6535933</v>
      </c>
      <c r="AR210" s="1">
        <v>980390</v>
      </c>
      <c r="AS210" s="1">
        <v>0</v>
      </c>
      <c r="AT210" s="1">
        <f t="shared" si="17"/>
        <v>41307257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12282521</v>
      </c>
      <c r="G211" s="1">
        <v>8062070</v>
      </c>
      <c r="H211" s="1">
        <v>0</v>
      </c>
      <c r="I211" s="1">
        <v>9530652</v>
      </c>
      <c r="J211" s="1">
        <v>0</v>
      </c>
      <c r="K211" s="1">
        <v>0</v>
      </c>
      <c r="L211" s="1">
        <v>0</v>
      </c>
      <c r="M211" s="1">
        <v>400000</v>
      </c>
      <c r="N211" s="1">
        <v>2262406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9727775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1616005</v>
      </c>
      <c r="AF211" s="1">
        <v>2222538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5688337</v>
      </c>
      <c r="AM211" s="1">
        <v>0</v>
      </c>
      <c r="AN211" s="1">
        <v>52892304</v>
      </c>
      <c r="AO211" s="1">
        <v>32396349</v>
      </c>
      <c r="AP211" s="1">
        <v>20495955</v>
      </c>
      <c r="AQ211" s="1">
        <v>10133953</v>
      </c>
      <c r="AR211" s="1">
        <v>1520093</v>
      </c>
      <c r="AS211" s="1">
        <v>0</v>
      </c>
      <c r="AT211" s="1">
        <f t="shared" si="17"/>
        <v>64546350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9554514</v>
      </c>
      <c r="G212" s="1">
        <v>7615204</v>
      </c>
      <c r="H212" s="1">
        <v>0</v>
      </c>
      <c r="I212" s="1">
        <v>8025792</v>
      </c>
      <c r="J212" s="1">
        <v>0</v>
      </c>
      <c r="K212" s="1">
        <v>0</v>
      </c>
      <c r="L212" s="1">
        <v>3345440</v>
      </c>
      <c r="M212" s="1">
        <v>400000</v>
      </c>
      <c r="N212" s="1">
        <v>5095741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8790875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1111269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45038835</v>
      </c>
      <c r="AO212" s="1">
        <v>6069857</v>
      </c>
      <c r="AP212" s="1">
        <v>38968978</v>
      </c>
      <c r="AQ212" s="1">
        <v>8785513</v>
      </c>
      <c r="AR212" s="1">
        <v>1317827</v>
      </c>
      <c r="AS212" s="1">
        <v>0</v>
      </c>
      <c r="AT212" s="1">
        <f t="shared" si="17"/>
        <v>55142175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21402809</v>
      </c>
      <c r="G213" s="1">
        <v>2501455</v>
      </c>
      <c r="H213" s="1">
        <v>0</v>
      </c>
      <c r="I213" s="1">
        <v>21914733</v>
      </c>
      <c r="J213" s="1">
        <v>0</v>
      </c>
      <c r="K213" s="1">
        <v>5500000</v>
      </c>
      <c r="L213" s="1">
        <v>0</v>
      </c>
      <c r="M213" s="1">
        <v>400000</v>
      </c>
      <c r="N213" s="1">
        <v>3444235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12182013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2460168</v>
      </c>
      <c r="AF213" s="1">
        <v>2222538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4920335</v>
      </c>
      <c r="AM213" s="1">
        <v>0</v>
      </c>
      <c r="AN213" s="1">
        <v>78048286</v>
      </c>
      <c r="AO213" s="1">
        <v>10548149</v>
      </c>
      <c r="AP213" s="1">
        <v>67500137</v>
      </c>
      <c r="AQ213" s="1">
        <v>15039174</v>
      </c>
      <c r="AR213" s="1">
        <v>2255876</v>
      </c>
      <c r="AS213" s="1">
        <v>0</v>
      </c>
      <c r="AT213" s="1">
        <f t="shared" si="17"/>
        <v>95343336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10899952</v>
      </c>
      <c r="G214" s="1">
        <v>4838075</v>
      </c>
      <c r="H214" s="1">
        <v>0</v>
      </c>
      <c r="I214" s="1">
        <v>8039441</v>
      </c>
      <c r="J214" s="1">
        <v>0</v>
      </c>
      <c r="K214" s="1">
        <v>4620000</v>
      </c>
      <c r="L214" s="1">
        <v>0</v>
      </c>
      <c r="M214" s="1">
        <v>400000</v>
      </c>
      <c r="N214" s="1">
        <v>1762106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1342000</v>
      </c>
      <c r="U214" s="1">
        <v>0</v>
      </c>
      <c r="V214" s="1">
        <v>9729705</v>
      </c>
      <c r="W214" s="1">
        <v>1100000</v>
      </c>
      <c r="X214" s="1">
        <v>1691372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1258646</v>
      </c>
      <c r="AF214" s="1">
        <v>1111269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6039007</v>
      </c>
      <c r="AM214" s="1">
        <v>0</v>
      </c>
      <c r="AN214" s="1">
        <v>52831573</v>
      </c>
      <c r="AO214" s="1">
        <v>22415739</v>
      </c>
      <c r="AP214" s="1">
        <v>30415834</v>
      </c>
      <c r="AQ214" s="1">
        <v>10075661</v>
      </c>
      <c r="AR214" s="1">
        <v>1511349</v>
      </c>
      <c r="AS214" s="1">
        <v>0</v>
      </c>
      <c r="AT214" s="1">
        <f t="shared" si="17"/>
        <v>64418583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10767883</v>
      </c>
      <c r="G215" s="1">
        <v>4443944</v>
      </c>
      <c r="H215" s="1">
        <v>0</v>
      </c>
      <c r="I215" s="1">
        <v>7703920</v>
      </c>
      <c r="J215" s="1">
        <v>0</v>
      </c>
      <c r="K215" s="1">
        <v>4620000</v>
      </c>
      <c r="L215" s="1">
        <v>0</v>
      </c>
      <c r="M215" s="1">
        <v>400000</v>
      </c>
      <c r="N215" s="1">
        <v>1711480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1342000</v>
      </c>
      <c r="U215" s="1">
        <v>0</v>
      </c>
      <c r="V215" s="1">
        <v>9495647</v>
      </c>
      <c r="W215" s="1">
        <v>1100000</v>
      </c>
      <c r="X215" s="1">
        <v>1670878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1222486</v>
      </c>
      <c r="AF215" s="1">
        <v>2222538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5919835</v>
      </c>
      <c r="AM215" s="1">
        <v>0</v>
      </c>
      <c r="AN215" s="1">
        <v>52620611</v>
      </c>
      <c r="AO215" s="1">
        <v>7101788</v>
      </c>
      <c r="AP215" s="1">
        <v>45518823</v>
      </c>
      <c r="AQ215" s="1">
        <v>9811215</v>
      </c>
      <c r="AR215" s="1">
        <v>1471682</v>
      </c>
      <c r="AS215" s="1">
        <v>0</v>
      </c>
      <c r="AT215" s="1">
        <f t="shared" si="17"/>
        <v>63903508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5851197</v>
      </c>
      <c r="G216" s="1">
        <v>5946552</v>
      </c>
      <c r="H216" s="1">
        <v>0</v>
      </c>
      <c r="I216" s="1">
        <v>4212862</v>
      </c>
      <c r="J216" s="1">
        <v>0</v>
      </c>
      <c r="K216" s="1">
        <v>0</v>
      </c>
      <c r="L216" s="1">
        <v>3500010</v>
      </c>
      <c r="M216" s="1">
        <v>400000</v>
      </c>
      <c r="N216" s="1">
        <v>3079578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5880435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2496547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4349478</v>
      </c>
      <c r="AK216" s="1">
        <v>0</v>
      </c>
      <c r="AL216" s="1">
        <v>0</v>
      </c>
      <c r="AM216" s="1">
        <v>0</v>
      </c>
      <c r="AN216" s="1">
        <v>36816659</v>
      </c>
      <c r="AO216" s="1">
        <v>3815198</v>
      </c>
      <c r="AP216" s="1">
        <v>33001461</v>
      </c>
      <c r="AQ216" s="1">
        <v>7363332</v>
      </c>
      <c r="AR216" s="1">
        <v>1104500</v>
      </c>
      <c r="AS216" s="1">
        <v>0</v>
      </c>
      <c r="AT216" s="1">
        <f t="shared" si="17"/>
        <v>45284491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11277480</v>
      </c>
      <c r="G217" s="1">
        <v>7756183</v>
      </c>
      <c r="H217" s="1">
        <v>0</v>
      </c>
      <c r="I217" s="1">
        <v>8435595</v>
      </c>
      <c r="J217" s="1">
        <v>0</v>
      </c>
      <c r="K217" s="1">
        <v>4620000</v>
      </c>
      <c r="L217" s="1">
        <v>0</v>
      </c>
      <c r="M217" s="1">
        <v>400000</v>
      </c>
      <c r="N217" s="1">
        <v>1903042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1342000</v>
      </c>
      <c r="U217" s="1">
        <v>0</v>
      </c>
      <c r="V217" s="1">
        <v>10198837</v>
      </c>
      <c r="W217" s="1">
        <v>1100000</v>
      </c>
      <c r="X217" s="1">
        <v>1749954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1359316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6373737</v>
      </c>
      <c r="AM217" s="1">
        <v>0</v>
      </c>
      <c r="AN217" s="1">
        <v>56516144</v>
      </c>
      <c r="AO217" s="1">
        <v>7819255</v>
      </c>
      <c r="AP217" s="1">
        <v>48696889</v>
      </c>
      <c r="AQ217" s="1">
        <v>11034829</v>
      </c>
      <c r="AR217" s="1">
        <v>1655224</v>
      </c>
      <c r="AS217" s="1">
        <v>0</v>
      </c>
      <c r="AT217" s="1">
        <f t="shared" si="17"/>
        <v>69206197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10954162</v>
      </c>
      <c r="G218" s="1">
        <v>5186269</v>
      </c>
      <c r="H218" s="1">
        <v>0</v>
      </c>
      <c r="I218" s="1">
        <v>8247025</v>
      </c>
      <c r="J218" s="1">
        <v>0</v>
      </c>
      <c r="K218" s="1">
        <v>4620000</v>
      </c>
      <c r="L218" s="1">
        <v>0</v>
      </c>
      <c r="M218" s="1">
        <v>400000</v>
      </c>
      <c r="N218" s="1">
        <v>1783280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1342000</v>
      </c>
      <c r="U218" s="1">
        <v>0</v>
      </c>
      <c r="V218" s="1">
        <v>9850505</v>
      </c>
      <c r="W218" s="1">
        <v>1100000</v>
      </c>
      <c r="X218" s="1">
        <v>1699784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1273771</v>
      </c>
      <c r="AF218" s="1">
        <v>2222538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6088543</v>
      </c>
      <c r="AM218" s="1">
        <v>0</v>
      </c>
      <c r="AN218" s="1">
        <v>54767877</v>
      </c>
      <c r="AO218" s="1">
        <v>22674525</v>
      </c>
      <c r="AP218" s="1">
        <v>32093352</v>
      </c>
      <c r="AQ218" s="1">
        <v>10240668</v>
      </c>
      <c r="AR218" s="1">
        <v>1536100</v>
      </c>
      <c r="AS218" s="1">
        <v>0</v>
      </c>
      <c r="AT218" s="1">
        <f t="shared" si="17"/>
        <v>66544645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6593475</v>
      </c>
      <c r="G219" s="1">
        <v>3000409</v>
      </c>
      <c r="H219" s="1">
        <v>0</v>
      </c>
      <c r="I219" s="1">
        <v>4813236</v>
      </c>
      <c r="J219" s="1">
        <v>0</v>
      </c>
      <c r="K219" s="1">
        <v>0</v>
      </c>
      <c r="L219" s="1">
        <v>3530042</v>
      </c>
      <c r="M219" s="1">
        <v>400000</v>
      </c>
      <c r="N219" s="1">
        <v>3470250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6453526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2761051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3600490</v>
      </c>
      <c r="AK219" s="1">
        <v>0</v>
      </c>
      <c r="AL219" s="1">
        <v>0</v>
      </c>
      <c r="AM219" s="1">
        <v>0</v>
      </c>
      <c r="AN219" s="1">
        <v>37945017</v>
      </c>
      <c r="AO219" s="1">
        <v>3853631</v>
      </c>
      <c r="AP219" s="1">
        <v>34091386</v>
      </c>
      <c r="AQ219" s="1">
        <v>7144496</v>
      </c>
      <c r="AR219" s="1">
        <v>1071674</v>
      </c>
      <c r="AS219" s="1">
        <v>0</v>
      </c>
      <c r="AT219" s="1">
        <f t="shared" si="17"/>
        <v>46161187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20108670</v>
      </c>
      <c r="G220" s="1">
        <v>0</v>
      </c>
      <c r="H220" s="1">
        <v>0</v>
      </c>
      <c r="I220" s="1">
        <v>20951997</v>
      </c>
      <c r="J220" s="1">
        <v>0</v>
      </c>
      <c r="K220" s="1">
        <v>5500000</v>
      </c>
      <c r="L220" s="1">
        <v>0</v>
      </c>
      <c r="M220" s="1">
        <v>400000</v>
      </c>
      <c r="N220" s="1">
        <v>2991286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1342000</v>
      </c>
      <c r="U220" s="1">
        <v>0</v>
      </c>
      <c r="V220" s="1">
        <v>11353917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2136633</v>
      </c>
      <c r="AF220" s="1">
        <v>3333807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4273266</v>
      </c>
      <c r="AM220" s="1">
        <v>0</v>
      </c>
      <c r="AN220" s="1">
        <v>73491576</v>
      </c>
      <c r="AO220" s="1">
        <v>33998061</v>
      </c>
      <c r="AP220" s="1">
        <v>39493515</v>
      </c>
      <c r="AQ220" s="1">
        <v>13763154</v>
      </c>
      <c r="AR220" s="1">
        <v>2064473</v>
      </c>
      <c r="AS220" s="1">
        <v>0</v>
      </c>
      <c r="AT220" s="1">
        <f t="shared" si="17"/>
        <v>89319203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9917693</v>
      </c>
      <c r="G221" s="1">
        <v>2304815</v>
      </c>
      <c r="H221" s="1">
        <v>0</v>
      </c>
      <c r="I221" s="1">
        <v>7394828</v>
      </c>
      <c r="J221" s="1">
        <v>0</v>
      </c>
      <c r="K221" s="1">
        <v>4620000</v>
      </c>
      <c r="L221" s="1">
        <v>0</v>
      </c>
      <c r="M221" s="1">
        <v>400000</v>
      </c>
      <c r="N221" s="1">
        <v>1616856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1342000</v>
      </c>
      <c r="U221" s="1">
        <v>0</v>
      </c>
      <c r="V221" s="1">
        <v>11762187</v>
      </c>
      <c r="W221" s="1">
        <v>1100000</v>
      </c>
      <c r="X221" s="1">
        <v>1538952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1154897</v>
      </c>
      <c r="AF221" s="1">
        <v>2222538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6347608</v>
      </c>
      <c r="AM221" s="1">
        <v>0</v>
      </c>
      <c r="AN221" s="1">
        <v>51722374</v>
      </c>
      <c r="AO221" s="1">
        <v>5902770</v>
      </c>
      <c r="AP221" s="1">
        <v>45819604</v>
      </c>
      <c r="AQ221" s="1">
        <v>9631567</v>
      </c>
      <c r="AR221" s="1">
        <v>1444735</v>
      </c>
      <c r="AS221" s="1">
        <v>0</v>
      </c>
      <c r="AT221" s="1">
        <f t="shared" si="17"/>
        <v>62798676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10914102</v>
      </c>
      <c r="G222" s="1">
        <v>1899062</v>
      </c>
      <c r="H222" s="1">
        <v>0</v>
      </c>
      <c r="I222" s="1">
        <v>8056782</v>
      </c>
      <c r="J222" s="1">
        <v>0</v>
      </c>
      <c r="K222" s="1">
        <v>4620000</v>
      </c>
      <c r="L222" s="1">
        <v>0</v>
      </c>
      <c r="M222" s="1">
        <v>400000</v>
      </c>
      <c r="N222" s="1">
        <v>1787661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1342000</v>
      </c>
      <c r="U222" s="1">
        <v>0</v>
      </c>
      <c r="V222" s="1">
        <v>12922009</v>
      </c>
      <c r="W222" s="1">
        <v>1100000</v>
      </c>
      <c r="X222" s="1">
        <v>1693568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1276901</v>
      </c>
      <c r="AF222" s="1">
        <v>2222538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7002780</v>
      </c>
      <c r="AM222" s="1">
        <v>0</v>
      </c>
      <c r="AN222" s="1">
        <v>55237403</v>
      </c>
      <c r="AO222" s="1">
        <v>6993295</v>
      </c>
      <c r="AP222" s="1">
        <v>48244108</v>
      </c>
      <c r="AQ222" s="1">
        <v>10334573</v>
      </c>
      <c r="AR222" s="1">
        <v>1550186</v>
      </c>
      <c r="AS222" s="1">
        <v>0</v>
      </c>
      <c r="AT222" s="1">
        <f t="shared" si="17"/>
        <v>67122162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10051387</v>
      </c>
      <c r="G223" s="1">
        <v>2348985</v>
      </c>
      <c r="H223" s="1">
        <v>0</v>
      </c>
      <c r="I223" s="1">
        <v>7537389</v>
      </c>
      <c r="J223" s="1">
        <v>0</v>
      </c>
      <c r="K223" s="1">
        <v>4620000</v>
      </c>
      <c r="L223" s="1">
        <v>0</v>
      </c>
      <c r="M223" s="1">
        <v>400000</v>
      </c>
      <c r="N223" s="1">
        <v>1666906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1342000</v>
      </c>
      <c r="U223" s="1">
        <v>0</v>
      </c>
      <c r="V223" s="1">
        <v>11987603</v>
      </c>
      <c r="W223" s="1">
        <v>1100000</v>
      </c>
      <c r="X223" s="1">
        <v>1559698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1190647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6492105</v>
      </c>
      <c r="AM223" s="1">
        <v>0</v>
      </c>
      <c r="AN223" s="1">
        <v>50296720</v>
      </c>
      <c r="AO223" s="1">
        <v>5814393</v>
      </c>
      <c r="AP223" s="1">
        <v>44482327</v>
      </c>
      <c r="AQ223" s="1">
        <v>9790944</v>
      </c>
      <c r="AR223" s="1">
        <v>1468642</v>
      </c>
      <c r="AS223" s="1">
        <v>0</v>
      </c>
      <c r="AT223" s="1">
        <f t="shared" si="17"/>
        <v>61556306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19592751</v>
      </c>
      <c r="G224" s="1">
        <v>9056887</v>
      </c>
      <c r="H224" s="1">
        <v>0</v>
      </c>
      <c r="I224" s="1">
        <v>20179570</v>
      </c>
      <c r="J224" s="1">
        <v>0</v>
      </c>
      <c r="K224" s="1">
        <v>5500000</v>
      </c>
      <c r="L224" s="1">
        <v>0</v>
      </c>
      <c r="M224" s="1">
        <v>400000</v>
      </c>
      <c r="N224" s="1">
        <v>2810715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11026693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2007654</v>
      </c>
      <c r="AF224" s="1">
        <v>2222538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4416837</v>
      </c>
      <c r="AM224" s="1">
        <v>0</v>
      </c>
      <c r="AN224" s="1">
        <v>78313645</v>
      </c>
      <c r="AO224" s="1">
        <v>16064654</v>
      </c>
      <c r="AP224" s="1">
        <v>62248991</v>
      </c>
      <c r="AQ224" s="1">
        <v>15039174</v>
      </c>
      <c r="AR224" s="1">
        <v>2255876</v>
      </c>
      <c r="AS224" s="1">
        <v>0</v>
      </c>
      <c r="AT224" s="1">
        <f t="shared" si="17"/>
        <v>95608695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22733428</v>
      </c>
      <c r="G225" s="1">
        <v>19693845</v>
      </c>
      <c r="H225" s="1">
        <v>0</v>
      </c>
      <c r="I225" s="1">
        <v>21970250</v>
      </c>
      <c r="J225" s="1">
        <v>0</v>
      </c>
      <c r="K225" s="1">
        <v>5500000</v>
      </c>
      <c r="L225" s="1">
        <v>0</v>
      </c>
      <c r="M225" s="1">
        <v>400000</v>
      </c>
      <c r="N225" s="1">
        <v>3191922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1342000</v>
      </c>
      <c r="U225" s="1">
        <v>0</v>
      </c>
      <c r="V225" s="1">
        <v>10991587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2279943</v>
      </c>
      <c r="AF225" s="1">
        <v>2222538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4103898</v>
      </c>
      <c r="AM225" s="1">
        <v>0</v>
      </c>
      <c r="AN225" s="1">
        <v>95529411</v>
      </c>
      <c r="AO225" s="1">
        <v>34995777</v>
      </c>
      <c r="AP225" s="1">
        <v>60533634</v>
      </c>
      <c r="AQ225" s="1">
        <v>15039174</v>
      </c>
      <c r="AR225" s="1">
        <v>2255876</v>
      </c>
      <c r="AS225" s="1">
        <v>0</v>
      </c>
      <c r="AT225" s="1">
        <f t="shared" si="17"/>
        <v>112824461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7976908</v>
      </c>
      <c r="G226" s="1">
        <v>11310384</v>
      </c>
      <c r="H226" s="1">
        <v>0</v>
      </c>
      <c r="I226" s="1">
        <v>6700603</v>
      </c>
      <c r="J226" s="1">
        <v>0</v>
      </c>
      <c r="K226" s="1">
        <v>0</v>
      </c>
      <c r="L226" s="1">
        <v>3345440</v>
      </c>
      <c r="M226" s="1">
        <v>400000</v>
      </c>
      <c r="N226" s="1">
        <v>4254351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7711374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42799060</v>
      </c>
      <c r="AO226" s="1">
        <v>4820242</v>
      </c>
      <c r="AP226" s="1">
        <v>37978818</v>
      </c>
      <c r="AQ226" s="1">
        <v>8559812</v>
      </c>
      <c r="AR226" s="1">
        <v>1283972</v>
      </c>
      <c r="AS226" s="1">
        <v>0</v>
      </c>
      <c r="AT226" s="1">
        <f t="shared" si="17"/>
        <v>52642844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6519584</v>
      </c>
      <c r="G227" s="1">
        <v>8389701</v>
      </c>
      <c r="H227" s="1">
        <v>0</v>
      </c>
      <c r="I227" s="1">
        <v>4824492</v>
      </c>
      <c r="J227" s="1">
        <v>0</v>
      </c>
      <c r="K227" s="1">
        <v>0</v>
      </c>
      <c r="L227" s="1">
        <v>3500010</v>
      </c>
      <c r="M227" s="1">
        <v>400000</v>
      </c>
      <c r="N227" s="1">
        <v>3454084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6418155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37939833</v>
      </c>
      <c r="AO227" s="1">
        <v>5697193</v>
      </c>
      <c r="AP227" s="1">
        <v>32242640</v>
      </c>
      <c r="AQ227" s="1">
        <v>6921205</v>
      </c>
      <c r="AR227" s="1">
        <v>1038181</v>
      </c>
      <c r="AS227" s="1">
        <v>0</v>
      </c>
      <c r="AT227" s="1">
        <f t="shared" si="17"/>
        <v>45899219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5692503</v>
      </c>
      <c r="G228" s="1">
        <v>6699060</v>
      </c>
      <c r="H228" s="1">
        <v>0</v>
      </c>
      <c r="I228" s="1">
        <v>4212452</v>
      </c>
      <c r="J228" s="1">
        <v>0</v>
      </c>
      <c r="K228" s="1">
        <v>0</v>
      </c>
      <c r="L228" s="1">
        <v>3500010</v>
      </c>
      <c r="M228" s="1">
        <v>400000</v>
      </c>
      <c r="N228" s="1">
        <v>2996054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5801581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31512929</v>
      </c>
      <c r="AO228" s="1">
        <v>2756627</v>
      </c>
      <c r="AP228" s="1">
        <v>28756302</v>
      </c>
      <c r="AQ228" s="1">
        <v>6080332</v>
      </c>
      <c r="AR228" s="1">
        <v>912050</v>
      </c>
      <c r="AS228" s="1">
        <v>0</v>
      </c>
      <c r="AT228" s="1">
        <f t="shared" si="17"/>
        <v>38505311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11477198</v>
      </c>
      <c r="G229" s="1">
        <v>6128261</v>
      </c>
      <c r="H229" s="1">
        <v>0</v>
      </c>
      <c r="I229" s="1">
        <v>9851101</v>
      </c>
      <c r="J229" s="1">
        <v>0</v>
      </c>
      <c r="K229" s="1">
        <v>4620000</v>
      </c>
      <c r="L229" s="1">
        <v>0</v>
      </c>
      <c r="M229" s="1">
        <v>400000</v>
      </c>
      <c r="N229" s="1">
        <v>2173356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1342000</v>
      </c>
      <c r="U229" s="1">
        <v>0</v>
      </c>
      <c r="V229" s="1">
        <v>10475705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1552397</v>
      </c>
      <c r="AF229" s="1">
        <v>1111269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5091861</v>
      </c>
      <c r="AM229" s="1">
        <v>0</v>
      </c>
      <c r="AN229" s="1">
        <v>55323148</v>
      </c>
      <c r="AO229" s="1">
        <v>7718761</v>
      </c>
      <c r="AP229" s="1">
        <v>47604387</v>
      </c>
      <c r="AQ229" s="1">
        <v>10573976</v>
      </c>
      <c r="AR229" s="1">
        <v>1586096</v>
      </c>
      <c r="AS229" s="1">
        <v>0</v>
      </c>
      <c r="AT229" s="1">
        <f t="shared" si="17"/>
        <v>67483220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7084072</v>
      </c>
      <c r="G230" s="1">
        <v>4981091</v>
      </c>
      <c r="H230" s="1">
        <v>0</v>
      </c>
      <c r="I230" s="1">
        <v>5242213</v>
      </c>
      <c r="J230" s="1">
        <v>0</v>
      </c>
      <c r="K230" s="1">
        <v>0</v>
      </c>
      <c r="L230" s="1">
        <v>3500010</v>
      </c>
      <c r="M230" s="1">
        <v>400000</v>
      </c>
      <c r="N230" s="1">
        <v>3753151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6834570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35117645</v>
      </c>
      <c r="AO230" s="1">
        <v>4098561</v>
      </c>
      <c r="AP230" s="1">
        <v>31019084</v>
      </c>
      <c r="AQ230" s="1">
        <v>6579021</v>
      </c>
      <c r="AR230" s="1">
        <v>986853</v>
      </c>
      <c r="AS230" s="1">
        <v>0</v>
      </c>
      <c r="AT230" s="1">
        <f t="shared" si="17"/>
        <v>42683519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6992533</v>
      </c>
      <c r="G231" s="1">
        <v>6772170</v>
      </c>
      <c r="H231" s="1">
        <v>0</v>
      </c>
      <c r="I231" s="1">
        <v>5174475</v>
      </c>
      <c r="J231" s="1">
        <v>0</v>
      </c>
      <c r="K231" s="1">
        <v>0</v>
      </c>
      <c r="L231" s="1">
        <v>3500010</v>
      </c>
      <c r="M231" s="1">
        <v>400000</v>
      </c>
      <c r="N231" s="1">
        <v>3704653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4893093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34759472</v>
      </c>
      <c r="AO231" s="1">
        <v>3318458</v>
      </c>
      <c r="AP231" s="1">
        <v>31441014</v>
      </c>
      <c r="AQ231" s="1">
        <v>6507387</v>
      </c>
      <c r="AR231" s="1">
        <v>976108</v>
      </c>
      <c r="AS231" s="1">
        <v>0</v>
      </c>
      <c r="AT231" s="1">
        <f t="shared" si="17"/>
        <v>42242967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6702661</v>
      </c>
      <c r="G232" s="1">
        <v>7192558</v>
      </c>
      <c r="H232" s="1">
        <v>0</v>
      </c>
      <c r="I232" s="1">
        <v>4959969</v>
      </c>
      <c r="J232" s="1">
        <v>0</v>
      </c>
      <c r="K232" s="1">
        <v>0</v>
      </c>
      <c r="L232" s="1">
        <v>3500010</v>
      </c>
      <c r="M232" s="1">
        <v>400000</v>
      </c>
      <c r="N232" s="1">
        <v>3551079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7057302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36686117</v>
      </c>
      <c r="AO232" s="1">
        <v>9721913</v>
      </c>
      <c r="AP232" s="1">
        <v>26964204</v>
      </c>
      <c r="AQ232" s="1">
        <v>6892716</v>
      </c>
      <c r="AR232" s="1">
        <v>1033907</v>
      </c>
      <c r="AS232" s="1">
        <v>0</v>
      </c>
      <c r="AT232" s="1">
        <f t="shared" si="17"/>
        <v>44612740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12032805</v>
      </c>
      <c r="G233" s="1">
        <v>0</v>
      </c>
      <c r="H233" s="1">
        <v>0</v>
      </c>
      <c r="I233" s="1">
        <v>9852767</v>
      </c>
      <c r="J233" s="1">
        <v>0</v>
      </c>
      <c r="K233" s="1">
        <v>3465000</v>
      </c>
      <c r="L233" s="1">
        <v>0</v>
      </c>
      <c r="M233" s="1">
        <v>400000</v>
      </c>
      <c r="N233" s="1">
        <v>2161205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9116224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1543717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3581425</v>
      </c>
      <c r="AM233" s="1">
        <v>0</v>
      </c>
      <c r="AN233" s="1">
        <v>43253143</v>
      </c>
      <c r="AO233" s="1">
        <v>5496529</v>
      </c>
      <c r="AP233" s="1">
        <v>37756614</v>
      </c>
      <c r="AQ233" s="1">
        <v>8650629</v>
      </c>
      <c r="AR233" s="1">
        <v>1297594</v>
      </c>
      <c r="AS233" s="1">
        <v>0</v>
      </c>
      <c r="AT233" s="1">
        <f t="shared" si="17"/>
        <v>53201366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6117730</v>
      </c>
      <c r="G234" s="1">
        <v>1546185</v>
      </c>
      <c r="H234" s="1">
        <v>0</v>
      </c>
      <c r="I234" s="1">
        <v>4404766</v>
      </c>
      <c r="J234" s="1">
        <v>0</v>
      </c>
      <c r="K234" s="1">
        <v>0</v>
      </c>
      <c r="L234" s="1">
        <v>3500010</v>
      </c>
      <c r="M234" s="1">
        <v>400000</v>
      </c>
      <c r="N234" s="1">
        <v>3262789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8337206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2592794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33735377</v>
      </c>
      <c r="AO234" s="1">
        <v>3297543</v>
      </c>
      <c r="AP234" s="1">
        <v>30437834</v>
      </c>
      <c r="AQ234" s="1">
        <v>6747075</v>
      </c>
      <c r="AR234" s="1">
        <v>1012061</v>
      </c>
      <c r="AS234" s="1">
        <v>0</v>
      </c>
      <c r="AT234" s="1">
        <f t="shared" si="17"/>
        <v>41494513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11151740</v>
      </c>
      <c r="G235" s="1">
        <v>6951805</v>
      </c>
      <c r="H235" s="1">
        <v>0</v>
      </c>
      <c r="I235" s="1">
        <v>7910439</v>
      </c>
      <c r="J235" s="1">
        <v>0</v>
      </c>
      <c r="K235" s="1">
        <v>4620000</v>
      </c>
      <c r="L235" s="1">
        <v>0</v>
      </c>
      <c r="M235" s="1">
        <v>400000</v>
      </c>
      <c r="N235" s="1">
        <v>1853432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1342000</v>
      </c>
      <c r="U235" s="1">
        <v>0</v>
      </c>
      <c r="V235" s="1">
        <v>9902899</v>
      </c>
      <c r="W235" s="1">
        <v>1100000</v>
      </c>
      <c r="X235" s="1">
        <v>1730442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1323880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6258057</v>
      </c>
      <c r="AM235" s="1">
        <v>0</v>
      </c>
      <c r="AN235" s="1">
        <v>54544694</v>
      </c>
      <c r="AO235" s="1">
        <v>22801092</v>
      </c>
      <c r="AP235" s="1">
        <v>31743602</v>
      </c>
      <c r="AQ235" s="1">
        <v>10640539</v>
      </c>
      <c r="AR235" s="1">
        <v>1596081</v>
      </c>
      <c r="AS235" s="1">
        <v>0</v>
      </c>
      <c r="AT235" s="1">
        <f t="shared" si="17"/>
        <v>66781314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6086679</v>
      </c>
      <c r="G236" s="1">
        <v>4039491</v>
      </c>
      <c r="H236" s="1">
        <v>0</v>
      </c>
      <c r="I236" s="1">
        <v>4321541</v>
      </c>
      <c r="J236" s="1">
        <v>0</v>
      </c>
      <c r="K236" s="1">
        <v>0</v>
      </c>
      <c r="L236" s="1">
        <v>3500010</v>
      </c>
      <c r="M236" s="1">
        <v>400000</v>
      </c>
      <c r="N236" s="1">
        <v>3203515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6171780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2566762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2248064</v>
      </c>
      <c r="AK236" s="1">
        <v>0</v>
      </c>
      <c r="AL236" s="1">
        <v>0</v>
      </c>
      <c r="AM236" s="1">
        <v>0</v>
      </c>
      <c r="AN236" s="1">
        <v>34749111</v>
      </c>
      <c r="AO236" s="1">
        <v>3392284</v>
      </c>
      <c r="AP236" s="1">
        <v>31356827</v>
      </c>
      <c r="AQ236" s="1">
        <v>6727568</v>
      </c>
      <c r="AR236" s="1">
        <v>1009135</v>
      </c>
      <c r="AS236" s="1">
        <v>0</v>
      </c>
      <c r="AT236" s="1">
        <f t="shared" si="17"/>
        <v>42485814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16234937</v>
      </c>
      <c r="G237" s="1">
        <v>14224425</v>
      </c>
      <c r="H237" s="1">
        <v>0</v>
      </c>
      <c r="I237" s="1">
        <v>14707544</v>
      </c>
      <c r="J237" s="1">
        <v>0</v>
      </c>
      <c r="K237" s="1">
        <v>5500000</v>
      </c>
      <c r="L237" s="1">
        <v>0</v>
      </c>
      <c r="M237" s="1">
        <v>400000</v>
      </c>
      <c r="N237" s="1">
        <v>3254891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9114807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2670834</v>
      </c>
      <c r="AF237" s="1">
        <v>2222538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3642047</v>
      </c>
      <c r="AM237" s="1">
        <v>0</v>
      </c>
      <c r="AN237" s="1">
        <v>73072023</v>
      </c>
      <c r="AO237" s="1">
        <v>12002161</v>
      </c>
      <c r="AP237" s="1">
        <v>61069862</v>
      </c>
      <c r="AQ237" s="1">
        <v>14169897</v>
      </c>
      <c r="AR237" s="1">
        <v>2125485</v>
      </c>
      <c r="AS237" s="1">
        <v>0</v>
      </c>
      <c r="AT237" s="1">
        <f t="shared" si="17"/>
        <v>89367405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11271608</v>
      </c>
      <c r="G238" s="1">
        <v>13349153</v>
      </c>
      <c r="H238" s="1">
        <v>0</v>
      </c>
      <c r="I238" s="1">
        <v>11515164</v>
      </c>
      <c r="J238" s="1">
        <v>0</v>
      </c>
      <c r="K238" s="1">
        <v>0</v>
      </c>
      <c r="L238" s="1">
        <v>0</v>
      </c>
      <c r="M238" s="1">
        <v>400000</v>
      </c>
      <c r="N238" s="1">
        <v>2335477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2979321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1668198</v>
      </c>
      <c r="AF238" s="1">
        <v>2222538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3002757</v>
      </c>
      <c r="AM238" s="1">
        <v>0</v>
      </c>
      <c r="AN238" s="1">
        <v>49844216</v>
      </c>
      <c r="AO238" s="1">
        <v>18187896</v>
      </c>
      <c r="AP238" s="1">
        <v>31656320</v>
      </c>
      <c r="AQ238" s="1">
        <v>9524336</v>
      </c>
      <c r="AR238" s="1">
        <v>1428650</v>
      </c>
      <c r="AS238" s="1">
        <v>0</v>
      </c>
      <c r="AT238" s="1">
        <f t="shared" si="17"/>
        <v>60797202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22656995</v>
      </c>
      <c r="G239" s="1">
        <v>10181861</v>
      </c>
      <c r="H239" s="1">
        <v>0</v>
      </c>
      <c r="I239" s="1">
        <v>24716539</v>
      </c>
      <c r="J239" s="1">
        <v>0</v>
      </c>
      <c r="K239" s="1">
        <v>5500000</v>
      </c>
      <c r="L239" s="1">
        <v>0</v>
      </c>
      <c r="M239" s="1">
        <v>400000</v>
      </c>
      <c r="N239" s="1">
        <v>3666757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17610429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2683820</v>
      </c>
      <c r="AD239" s="1">
        <v>0</v>
      </c>
      <c r="AE239" s="1">
        <v>2619113</v>
      </c>
      <c r="AF239" s="1">
        <v>1111269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5447754</v>
      </c>
      <c r="AM239" s="1">
        <v>0</v>
      </c>
      <c r="AN239" s="1">
        <v>97694537</v>
      </c>
      <c r="AO239" s="1">
        <v>17493086</v>
      </c>
      <c r="AP239" s="1">
        <v>80201451</v>
      </c>
      <c r="AQ239" s="1">
        <v>15039174</v>
      </c>
      <c r="AR239" s="1">
        <v>2255876</v>
      </c>
      <c r="AS239" s="1">
        <v>0</v>
      </c>
      <c r="AT239" s="1">
        <f t="shared" si="17"/>
        <v>114989587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20939003</v>
      </c>
      <c r="G240" s="1">
        <v>8887646</v>
      </c>
      <c r="H240" s="1">
        <v>0</v>
      </c>
      <c r="I240" s="1">
        <v>21628218</v>
      </c>
      <c r="J240" s="1">
        <v>0</v>
      </c>
      <c r="K240" s="1">
        <v>5500000</v>
      </c>
      <c r="L240" s="1">
        <v>0</v>
      </c>
      <c r="M240" s="1">
        <v>400000</v>
      </c>
      <c r="N240" s="1">
        <v>3281903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1342000</v>
      </c>
      <c r="U240" s="1">
        <v>0</v>
      </c>
      <c r="V240" s="1">
        <v>5100640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2344217</v>
      </c>
      <c r="AF240" s="1">
        <v>2222538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2813060</v>
      </c>
      <c r="AM240" s="1">
        <v>0</v>
      </c>
      <c r="AN240" s="1">
        <v>75559225</v>
      </c>
      <c r="AO240" s="1">
        <v>9907360</v>
      </c>
      <c r="AP240" s="1">
        <v>65651865</v>
      </c>
      <c r="AQ240" s="1">
        <v>14398937</v>
      </c>
      <c r="AR240" s="1">
        <v>2159841</v>
      </c>
      <c r="AS240" s="1">
        <v>0</v>
      </c>
      <c r="AT240" s="1">
        <f t="shared" si="17"/>
        <v>92118003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5397680</v>
      </c>
      <c r="G241" s="1">
        <v>192488</v>
      </c>
      <c r="H241" s="1">
        <v>0</v>
      </c>
      <c r="I241" s="1">
        <v>4857912</v>
      </c>
      <c r="J241" s="1">
        <v>0</v>
      </c>
      <c r="K241" s="1">
        <v>0</v>
      </c>
      <c r="L241" s="1">
        <v>5485080</v>
      </c>
      <c r="M241" s="1">
        <v>400000</v>
      </c>
      <c r="N241" s="1">
        <v>2785900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6991800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29433398</v>
      </c>
      <c r="AO241" s="1">
        <v>2943678</v>
      </c>
      <c r="AP241" s="1">
        <v>26489720</v>
      </c>
      <c r="AQ241" s="1">
        <v>5442172</v>
      </c>
      <c r="AR241" s="1">
        <v>816326</v>
      </c>
      <c r="AS241" s="1">
        <v>0</v>
      </c>
      <c r="AT241" s="1">
        <f t="shared" si="17"/>
        <v>35691896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6726573</v>
      </c>
      <c r="G242" s="1">
        <v>1746202</v>
      </c>
      <c r="H242" s="1">
        <v>0</v>
      </c>
      <c r="I242" s="1">
        <v>4910398</v>
      </c>
      <c r="J242" s="1">
        <v>0</v>
      </c>
      <c r="K242" s="1">
        <v>0</v>
      </c>
      <c r="L242" s="1">
        <v>3500010</v>
      </c>
      <c r="M242" s="1">
        <v>400000</v>
      </c>
      <c r="N242" s="1">
        <v>3540302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7044549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30079303</v>
      </c>
      <c r="AO242" s="1">
        <v>2607757</v>
      </c>
      <c r="AP242" s="1">
        <v>27471546</v>
      </c>
      <c r="AQ242" s="1">
        <v>5793607</v>
      </c>
      <c r="AR242" s="1">
        <v>869041</v>
      </c>
      <c r="AS242" s="1">
        <v>0</v>
      </c>
      <c r="AT242" s="1">
        <f t="shared" si="17"/>
        <v>36741951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5677145</v>
      </c>
      <c r="G243" s="1">
        <v>3153883</v>
      </c>
      <c r="H243" s="1">
        <v>0</v>
      </c>
      <c r="I243" s="1">
        <v>4087545</v>
      </c>
      <c r="J243" s="1">
        <v>0</v>
      </c>
      <c r="K243" s="1">
        <v>0</v>
      </c>
      <c r="L243" s="1">
        <v>3500010</v>
      </c>
      <c r="M243" s="1">
        <v>400000</v>
      </c>
      <c r="N243" s="1">
        <v>2987972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5753368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28882461</v>
      </c>
      <c r="AO243" s="1">
        <v>2331122</v>
      </c>
      <c r="AP243" s="1">
        <v>26551339</v>
      </c>
      <c r="AQ243" s="1">
        <v>5331985</v>
      </c>
      <c r="AR243" s="1">
        <v>799798</v>
      </c>
      <c r="AS243" s="1">
        <v>0</v>
      </c>
      <c r="AT243" s="1">
        <f t="shared" si="17"/>
        <v>35014244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5687383</v>
      </c>
      <c r="G244" s="1">
        <v>0</v>
      </c>
      <c r="H244" s="1">
        <v>0</v>
      </c>
      <c r="I244" s="1">
        <v>4151790</v>
      </c>
      <c r="J244" s="1">
        <v>0</v>
      </c>
      <c r="K244" s="1">
        <v>0</v>
      </c>
      <c r="L244" s="1">
        <v>3500010</v>
      </c>
      <c r="M244" s="1">
        <v>400000</v>
      </c>
      <c r="N244" s="1">
        <v>2993360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4045529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22989341</v>
      </c>
      <c r="AO244" s="1">
        <v>3491465</v>
      </c>
      <c r="AP244" s="1">
        <v>19497876</v>
      </c>
      <c r="AQ244" s="1">
        <v>4375614</v>
      </c>
      <c r="AR244" s="1">
        <v>656342</v>
      </c>
      <c r="AS244" s="1">
        <v>0</v>
      </c>
      <c r="AT244" s="1">
        <f t="shared" si="17"/>
        <v>28021297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5006940</v>
      </c>
      <c r="G245" s="1">
        <v>1909553</v>
      </c>
      <c r="H245" s="1">
        <v>0</v>
      </c>
      <c r="I245" s="1">
        <v>3204442</v>
      </c>
      <c r="J245" s="1">
        <v>0</v>
      </c>
      <c r="K245" s="1">
        <v>0</v>
      </c>
      <c r="L245" s="1">
        <v>5171244</v>
      </c>
      <c r="M245" s="1">
        <v>400000</v>
      </c>
      <c r="N245" s="1">
        <v>2407183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8178260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1347147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30947307</v>
      </c>
      <c r="AO245" s="1">
        <v>4295676</v>
      </c>
      <c r="AP245" s="1">
        <v>26651631</v>
      </c>
      <c r="AQ245" s="1">
        <v>5744954</v>
      </c>
      <c r="AR245" s="1">
        <v>861743</v>
      </c>
      <c r="AS245" s="1">
        <v>0</v>
      </c>
      <c r="AT245" s="1">
        <f t="shared" si="17"/>
        <v>37554004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5751676</v>
      </c>
      <c r="G246" s="1">
        <v>2251553</v>
      </c>
      <c r="H246" s="1">
        <v>0</v>
      </c>
      <c r="I246" s="1">
        <v>4256240</v>
      </c>
      <c r="J246" s="1">
        <v>0</v>
      </c>
      <c r="K246" s="1">
        <v>0</v>
      </c>
      <c r="L246" s="1">
        <v>3712345</v>
      </c>
      <c r="M246" s="1">
        <v>400000</v>
      </c>
      <c r="N246" s="1">
        <v>3047246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8106791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29737120</v>
      </c>
      <c r="AO246" s="1">
        <v>3267087</v>
      </c>
      <c r="AP246" s="1">
        <v>26470033</v>
      </c>
      <c r="AQ246" s="1">
        <v>5725170</v>
      </c>
      <c r="AR246" s="1">
        <v>858776</v>
      </c>
      <c r="AS246" s="1">
        <v>0</v>
      </c>
      <c r="AT246" s="1">
        <f t="shared" si="17"/>
        <v>36321066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5707860</v>
      </c>
      <c r="G247" s="1">
        <v>3753552</v>
      </c>
      <c r="H247" s="1">
        <v>0</v>
      </c>
      <c r="I247" s="1">
        <v>4166738</v>
      </c>
      <c r="J247" s="1">
        <v>0</v>
      </c>
      <c r="K247" s="1">
        <v>0</v>
      </c>
      <c r="L247" s="1">
        <v>3500010</v>
      </c>
      <c r="M247" s="1">
        <v>400000</v>
      </c>
      <c r="N247" s="1">
        <v>3004137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6240061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28983627</v>
      </c>
      <c r="AO247" s="1">
        <v>2423683</v>
      </c>
      <c r="AP247" s="1">
        <v>26559944</v>
      </c>
      <c r="AQ247" s="1">
        <v>5574472</v>
      </c>
      <c r="AR247" s="1">
        <v>836171</v>
      </c>
      <c r="AS247" s="1">
        <v>0</v>
      </c>
      <c r="AT247" s="1">
        <f t="shared" si="17"/>
        <v>35394270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6386045</v>
      </c>
      <c r="G248" s="1">
        <v>4560115</v>
      </c>
      <c r="H248" s="1">
        <v>0</v>
      </c>
      <c r="I248" s="1">
        <v>4661813</v>
      </c>
      <c r="J248" s="1">
        <v>0</v>
      </c>
      <c r="K248" s="1">
        <v>0</v>
      </c>
      <c r="L248" s="1">
        <v>3500010</v>
      </c>
      <c r="M248" s="1">
        <v>400000</v>
      </c>
      <c r="N248" s="1">
        <v>3383333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6250438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31353023</v>
      </c>
      <c r="AO248" s="1">
        <v>5211463</v>
      </c>
      <c r="AP248" s="1">
        <v>26141560</v>
      </c>
      <c r="AQ248" s="1">
        <v>6048351</v>
      </c>
      <c r="AR248" s="1">
        <v>907253</v>
      </c>
      <c r="AS248" s="1">
        <v>0</v>
      </c>
      <c r="AT248" s="1">
        <f t="shared" si="17"/>
        <v>38308627</v>
      </c>
    </row>
    <row r="249" spans="1:46" x14ac:dyDescent="0.2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17"/>
        <v>0</v>
      </c>
    </row>
    <row r="250" spans="1:46" x14ac:dyDescent="0.2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10833927</v>
      </c>
      <c r="G250" s="1">
        <v>0</v>
      </c>
      <c r="H250" s="1">
        <v>0</v>
      </c>
      <c r="I250" s="1">
        <v>7778404</v>
      </c>
      <c r="J250" s="1">
        <v>0</v>
      </c>
      <c r="K250" s="1">
        <v>3465000</v>
      </c>
      <c r="L250" s="1">
        <v>0</v>
      </c>
      <c r="M250" s="1">
        <v>400000</v>
      </c>
      <c r="N250" s="1">
        <v>1918243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4496890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1370173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2082664</v>
      </c>
      <c r="AM250" s="1">
        <v>0</v>
      </c>
      <c r="AN250" s="1">
        <v>33445301</v>
      </c>
      <c r="AO250" s="1">
        <v>3248811</v>
      </c>
      <c r="AP250" s="1">
        <v>30196490</v>
      </c>
      <c r="AQ250" s="1">
        <v>6689060</v>
      </c>
      <c r="AR250" s="1">
        <v>1003359</v>
      </c>
      <c r="AS250" s="1">
        <v>0</v>
      </c>
      <c r="AT250" s="1">
        <f t="shared" si="17"/>
        <v>41137720</v>
      </c>
    </row>
    <row r="251" spans="1:46" x14ac:dyDescent="0.2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16231462</v>
      </c>
      <c r="G251" s="1">
        <v>11737844</v>
      </c>
      <c r="H251" s="1">
        <v>0</v>
      </c>
      <c r="I251" s="1">
        <v>13470083</v>
      </c>
      <c r="J251" s="1">
        <v>0</v>
      </c>
      <c r="K251" s="1">
        <v>5500000</v>
      </c>
      <c r="L251" s="1">
        <v>0</v>
      </c>
      <c r="M251" s="1">
        <v>400000</v>
      </c>
      <c r="N251" s="1">
        <v>2717085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1342000</v>
      </c>
      <c r="U251" s="1">
        <v>0</v>
      </c>
      <c r="V251" s="1">
        <v>15262496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1940775</v>
      </c>
      <c r="AF251" s="1">
        <v>1111269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4036812</v>
      </c>
      <c r="AM251" s="1">
        <v>0</v>
      </c>
      <c r="AN251" s="1">
        <v>74849826</v>
      </c>
      <c r="AO251" s="1">
        <v>30843758</v>
      </c>
      <c r="AP251" s="1">
        <v>44006068</v>
      </c>
      <c r="AQ251" s="1">
        <v>14479311</v>
      </c>
      <c r="AR251" s="1">
        <v>2171897</v>
      </c>
      <c r="AS251" s="1">
        <v>0</v>
      </c>
      <c r="AT251" s="1">
        <f t="shared" si="17"/>
        <v>91501034</v>
      </c>
    </row>
    <row r="252" spans="1:46" x14ac:dyDescent="0.2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19000400</v>
      </c>
      <c r="G252" s="1">
        <v>10082068</v>
      </c>
      <c r="H252" s="1">
        <v>0</v>
      </c>
      <c r="I252" s="1">
        <v>15683342</v>
      </c>
      <c r="J252" s="1">
        <v>0</v>
      </c>
      <c r="K252" s="1">
        <v>5500000</v>
      </c>
      <c r="L252" s="1">
        <v>0</v>
      </c>
      <c r="M252" s="1">
        <v>400000</v>
      </c>
      <c r="N252" s="1">
        <v>2945688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14171171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2104062</v>
      </c>
      <c r="AF252" s="1">
        <v>2222538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4208124</v>
      </c>
      <c r="AM252" s="1">
        <v>0</v>
      </c>
      <c r="AN252" s="1">
        <v>77417393</v>
      </c>
      <c r="AO252" s="1">
        <v>34902851</v>
      </c>
      <c r="AP252" s="1">
        <v>42514542</v>
      </c>
      <c r="AQ252" s="1">
        <v>15038971</v>
      </c>
      <c r="AR252" s="1">
        <v>2255846</v>
      </c>
      <c r="AS252" s="1">
        <v>0</v>
      </c>
      <c r="AT252" s="1">
        <f t="shared" si="17"/>
        <v>94712210</v>
      </c>
    </row>
    <row r="253" spans="1:46" x14ac:dyDescent="0.2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12550548</v>
      </c>
      <c r="G253" s="1">
        <v>6138951</v>
      </c>
      <c r="H253" s="1">
        <v>0</v>
      </c>
      <c r="I253" s="1">
        <v>11796179</v>
      </c>
      <c r="J253" s="1">
        <v>0</v>
      </c>
      <c r="K253" s="1">
        <v>4620000</v>
      </c>
      <c r="L253" s="1">
        <v>0</v>
      </c>
      <c r="M253" s="1">
        <v>400000</v>
      </c>
      <c r="N253" s="1">
        <v>2392421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1342000</v>
      </c>
      <c r="U253" s="1">
        <v>0</v>
      </c>
      <c r="V253" s="1">
        <v>13047309</v>
      </c>
      <c r="W253" s="1">
        <v>1100000</v>
      </c>
      <c r="X253" s="1">
        <v>1947499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1708872</v>
      </c>
      <c r="AF253" s="1">
        <v>1111269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9370265</v>
      </c>
      <c r="AM253" s="1">
        <v>0</v>
      </c>
      <c r="AN253" s="1">
        <v>67525313</v>
      </c>
      <c r="AO253" s="1">
        <v>8633230</v>
      </c>
      <c r="AP253" s="1">
        <v>58892083</v>
      </c>
      <c r="AQ253" s="1">
        <v>13014409</v>
      </c>
      <c r="AR253" s="1">
        <v>1952161</v>
      </c>
      <c r="AS253" s="1">
        <v>0</v>
      </c>
      <c r="AT253" s="1">
        <f t="shared" si="17"/>
        <v>82491883</v>
      </c>
    </row>
    <row r="254" spans="1:46" x14ac:dyDescent="0.2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10799306</v>
      </c>
      <c r="G254" s="1">
        <v>605832</v>
      </c>
      <c r="H254" s="1">
        <v>0</v>
      </c>
      <c r="I254" s="1">
        <v>8112730</v>
      </c>
      <c r="J254" s="1">
        <v>0</v>
      </c>
      <c r="K254" s="1">
        <v>3465000</v>
      </c>
      <c r="L254" s="1">
        <v>0</v>
      </c>
      <c r="M254" s="1">
        <v>400000</v>
      </c>
      <c r="N254" s="1">
        <v>1899154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2433819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1356538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2170461</v>
      </c>
      <c r="AM254" s="1">
        <v>0</v>
      </c>
      <c r="AN254" s="1">
        <v>32342840</v>
      </c>
      <c r="AO254" s="1">
        <v>5484180</v>
      </c>
      <c r="AP254" s="1">
        <v>26858660</v>
      </c>
      <c r="AQ254" s="1">
        <v>6468568</v>
      </c>
      <c r="AR254" s="1">
        <v>970285</v>
      </c>
      <c r="AS254" s="1">
        <v>0</v>
      </c>
      <c r="AT254" s="1">
        <f t="shared" si="17"/>
        <v>39781693</v>
      </c>
    </row>
    <row r="255" spans="1:46" x14ac:dyDescent="0.2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10794405</v>
      </c>
      <c r="G255" s="1">
        <v>6075327</v>
      </c>
      <c r="H255" s="1">
        <v>0</v>
      </c>
      <c r="I255" s="1">
        <v>8797133</v>
      </c>
      <c r="J255" s="1">
        <v>0</v>
      </c>
      <c r="K255" s="1">
        <v>4620000</v>
      </c>
      <c r="L255" s="1">
        <v>0</v>
      </c>
      <c r="M255" s="1">
        <v>400000</v>
      </c>
      <c r="N255" s="1">
        <v>1952827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1342000</v>
      </c>
      <c r="U255" s="1">
        <v>0</v>
      </c>
      <c r="V255" s="1">
        <v>13992505</v>
      </c>
      <c r="W255" s="1">
        <v>1100000</v>
      </c>
      <c r="X255" s="1">
        <v>1674994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1394877</v>
      </c>
      <c r="AF255" s="1">
        <v>1111269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7813516</v>
      </c>
      <c r="AM255" s="1">
        <v>0</v>
      </c>
      <c r="AN255" s="1">
        <v>61068853</v>
      </c>
      <c r="AO255" s="1">
        <v>27810635</v>
      </c>
      <c r="AP255" s="1">
        <v>33258218</v>
      </c>
      <c r="AQ255" s="1">
        <v>11723117</v>
      </c>
      <c r="AR255" s="1">
        <v>1758468</v>
      </c>
      <c r="AS255" s="1">
        <v>0</v>
      </c>
      <c r="AT255" s="1">
        <f t="shared" si="17"/>
        <v>74550438</v>
      </c>
    </row>
    <row r="256" spans="1:46" x14ac:dyDescent="0.2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16545878</v>
      </c>
      <c r="G256" s="1">
        <v>9629622</v>
      </c>
      <c r="H256" s="1">
        <v>0</v>
      </c>
      <c r="I256" s="1">
        <v>13180962</v>
      </c>
      <c r="J256" s="1">
        <v>0</v>
      </c>
      <c r="K256" s="1">
        <v>5500000</v>
      </c>
      <c r="L256" s="1">
        <v>0</v>
      </c>
      <c r="M256" s="1">
        <v>400000</v>
      </c>
      <c r="N256" s="1">
        <v>2827131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1342000</v>
      </c>
      <c r="U256" s="1">
        <v>0</v>
      </c>
      <c r="V256" s="1">
        <v>12452404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2019378</v>
      </c>
      <c r="AF256" s="1">
        <v>1111269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4038758</v>
      </c>
      <c r="AM256" s="1">
        <v>0</v>
      </c>
      <c r="AN256" s="1">
        <v>70147402</v>
      </c>
      <c r="AO256" s="1">
        <v>10903652</v>
      </c>
      <c r="AP256" s="1">
        <v>59243750</v>
      </c>
      <c r="AQ256" s="1">
        <v>13538827</v>
      </c>
      <c r="AR256" s="1">
        <v>2030824</v>
      </c>
      <c r="AS256" s="1">
        <v>0</v>
      </c>
      <c r="AT256" s="1">
        <f t="shared" si="17"/>
        <v>85717053</v>
      </c>
    </row>
    <row r="257" spans="1:46" x14ac:dyDescent="0.2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11263390</v>
      </c>
      <c r="G257" s="1">
        <v>7641703</v>
      </c>
      <c r="H257" s="1">
        <v>0</v>
      </c>
      <c r="I257" s="1">
        <v>9963430</v>
      </c>
      <c r="J257" s="1">
        <v>0</v>
      </c>
      <c r="K257" s="1">
        <v>4620000</v>
      </c>
      <c r="L257" s="1">
        <v>0</v>
      </c>
      <c r="M257" s="1">
        <v>400000</v>
      </c>
      <c r="N257" s="1">
        <v>2098161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1342000</v>
      </c>
      <c r="U257" s="1">
        <v>0</v>
      </c>
      <c r="V257" s="1">
        <v>7644271</v>
      </c>
      <c r="W257" s="1">
        <v>1100000</v>
      </c>
      <c r="X257" s="1">
        <v>1747767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1498686</v>
      </c>
      <c r="AF257" s="1">
        <v>2222538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8054918</v>
      </c>
      <c r="AM257" s="1">
        <v>0</v>
      </c>
      <c r="AN257" s="1">
        <v>59596864</v>
      </c>
      <c r="AO257" s="1">
        <v>26205694</v>
      </c>
      <c r="AP257" s="1">
        <v>33391170</v>
      </c>
      <c r="AQ257" s="1">
        <v>11206465</v>
      </c>
      <c r="AR257" s="1">
        <v>1680970</v>
      </c>
      <c r="AS257" s="1">
        <v>0</v>
      </c>
      <c r="AT257" s="1">
        <f t="shared" si="17"/>
        <v>72484299</v>
      </c>
    </row>
    <row r="258" spans="1:46" x14ac:dyDescent="0.2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12334555</v>
      </c>
      <c r="G258" s="1">
        <v>11009295</v>
      </c>
      <c r="H258" s="1">
        <v>0</v>
      </c>
      <c r="I258" s="1">
        <v>11430024</v>
      </c>
      <c r="J258" s="1">
        <v>0</v>
      </c>
      <c r="K258" s="1">
        <v>4620000</v>
      </c>
      <c r="L258" s="1">
        <v>0</v>
      </c>
      <c r="M258" s="1">
        <v>400000</v>
      </c>
      <c r="N258" s="1">
        <v>2303021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1342000</v>
      </c>
      <c r="U258" s="1">
        <v>0</v>
      </c>
      <c r="V258" s="1">
        <v>8603903</v>
      </c>
      <c r="W258" s="1">
        <v>1100000</v>
      </c>
      <c r="X258" s="1">
        <v>1913983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1645015</v>
      </c>
      <c r="AF258" s="1">
        <v>1111269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9293418</v>
      </c>
      <c r="AM258" s="1">
        <v>0</v>
      </c>
      <c r="AN258" s="1">
        <v>67106483</v>
      </c>
      <c r="AO258" s="1">
        <v>9845892</v>
      </c>
      <c r="AP258" s="1">
        <v>57260591</v>
      </c>
      <c r="AQ258" s="1">
        <v>12930643</v>
      </c>
      <c r="AR258" s="1">
        <v>1939596</v>
      </c>
      <c r="AS258" s="1">
        <v>0</v>
      </c>
      <c r="AT258" s="1">
        <f t="shared" si="17"/>
        <v>81976722</v>
      </c>
    </row>
    <row r="259" spans="1:46" x14ac:dyDescent="0.2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10579693</v>
      </c>
      <c r="G259" s="1">
        <v>8568253</v>
      </c>
      <c r="H259" s="1">
        <v>0</v>
      </c>
      <c r="I259" s="1">
        <v>8725737</v>
      </c>
      <c r="J259" s="1">
        <v>0</v>
      </c>
      <c r="K259" s="1">
        <v>4620000</v>
      </c>
      <c r="L259" s="1">
        <v>0</v>
      </c>
      <c r="M259" s="1">
        <v>400000</v>
      </c>
      <c r="N259" s="1">
        <v>1872975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1342000</v>
      </c>
      <c r="U259" s="1">
        <v>0</v>
      </c>
      <c r="V259" s="1">
        <v>13610414</v>
      </c>
      <c r="W259" s="1">
        <v>1100000</v>
      </c>
      <c r="X259" s="1">
        <v>1641677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1337839</v>
      </c>
      <c r="AF259" s="1">
        <v>1111269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7562020</v>
      </c>
      <c r="AM259" s="1">
        <v>0</v>
      </c>
      <c r="AN259" s="1">
        <v>62471877</v>
      </c>
      <c r="AO259" s="1">
        <v>10771575</v>
      </c>
      <c r="AP259" s="1">
        <v>51700302</v>
      </c>
      <c r="AQ259" s="1">
        <v>12003722</v>
      </c>
      <c r="AR259" s="1">
        <v>1800558</v>
      </c>
      <c r="AS259" s="1">
        <v>0</v>
      </c>
      <c r="AT259" s="1">
        <f t="shared" ref="AT259:AT322" si="26">AS259+AR259+AQ259+AN259</f>
        <v>76276157</v>
      </c>
    </row>
    <row r="260" spans="1:46" x14ac:dyDescent="0.2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12522771</v>
      </c>
      <c r="G260" s="1">
        <v>5738183</v>
      </c>
      <c r="H260" s="1">
        <v>0</v>
      </c>
      <c r="I260" s="1">
        <v>10704367</v>
      </c>
      <c r="J260" s="1">
        <v>0</v>
      </c>
      <c r="K260" s="1">
        <v>4620000</v>
      </c>
      <c r="L260" s="1">
        <v>0</v>
      </c>
      <c r="M260" s="1">
        <v>400000</v>
      </c>
      <c r="N260" s="1">
        <v>2364497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1342000</v>
      </c>
      <c r="U260" s="1">
        <v>0</v>
      </c>
      <c r="V260" s="1">
        <v>8441341</v>
      </c>
      <c r="W260" s="1">
        <v>1100000</v>
      </c>
      <c r="X260" s="1">
        <v>1943189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1688927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9026282</v>
      </c>
      <c r="AM260" s="1">
        <v>0</v>
      </c>
      <c r="AN260" s="1">
        <v>59891557</v>
      </c>
      <c r="AO260" s="1">
        <v>10430677</v>
      </c>
      <c r="AP260" s="1">
        <v>49460880</v>
      </c>
      <c r="AQ260" s="1">
        <v>11709911</v>
      </c>
      <c r="AR260" s="1">
        <v>1756487</v>
      </c>
      <c r="AS260" s="1">
        <v>0</v>
      </c>
      <c r="AT260" s="1">
        <f t="shared" si="26"/>
        <v>73357955</v>
      </c>
    </row>
    <row r="261" spans="1:46" x14ac:dyDescent="0.2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12583155</v>
      </c>
      <c r="G261" s="1">
        <v>23275177</v>
      </c>
      <c r="H261" s="1">
        <v>0</v>
      </c>
      <c r="I261" s="1">
        <v>11021978</v>
      </c>
      <c r="J261" s="1">
        <v>0</v>
      </c>
      <c r="K261" s="1">
        <v>4620000</v>
      </c>
      <c r="L261" s="1">
        <v>0</v>
      </c>
      <c r="M261" s="1">
        <v>400000</v>
      </c>
      <c r="N261" s="1">
        <v>2392232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1342000</v>
      </c>
      <c r="U261" s="1">
        <v>0</v>
      </c>
      <c r="V261" s="1">
        <v>8763327</v>
      </c>
      <c r="W261" s="1">
        <v>1100000</v>
      </c>
      <c r="X261" s="1">
        <v>1952559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1708737</v>
      </c>
      <c r="AF261" s="1">
        <v>2222538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9584653</v>
      </c>
      <c r="AM261" s="1">
        <v>0</v>
      </c>
      <c r="AN261" s="1">
        <v>80966356</v>
      </c>
      <c r="AO261" s="1">
        <v>29645762</v>
      </c>
      <c r="AP261" s="1">
        <v>51320594</v>
      </c>
      <c r="AQ261" s="1">
        <v>15039174</v>
      </c>
      <c r="AR261" s="1">
        <v>2255876</v>
      </c>
      <c r="AS261" s="1">
        <v>0</v>
      </c>
      <c r="AT261" s="1">
        <f t="shared" si="26"/>
        <v>98261406</v>
      </c>
    </row>
    <row r="262" spans="1:46" x14ac:dyDescent="0.2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16697005</v>
      </c>
      <c r="G262" s="1">
        <v>14659515</v>
      </c>
      <c r="H262" s="1">
        <v>0</v>
      </c>
      <c r="I262" s="1">
        <v>16299344</v>
      </c>
      <c r="J262" s="1">
        <v>0</v>
      </c>
      <c r="K262" s="1">
        <v>5500000</v>
      </c>
      <c r="L262" s="1">
        <v>0</v>
      </c>
      <c r="M262" s="1">
        <v>400000</v>
      </c>
      <c r="N262" s="1">
        <v>2880025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11545146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2345085</v>
      </c>
      <c r="AD262" s="1">
        <v>0</v>
      </c>
      <c r="AE262" s="1">
        <v>2057160</v>
      </c>
      <c r="AF262" s="1">
        <v>1111269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3702889</v>
      </c>
      <c r="AM262" s="1">
        <v>0</v>
      </c>
      <c r="AN262" s="1">
        <v>78297438</v>
      </c>
      <c r="AO262" s="1">
        <v>14655299</v>
      </c>
      <c r="AP262" s="1">
        <v>63642139</v>
      </c>
      <c r="AQ262" s="1">
        <v>15039174</v>
      </c>
      <c r="AR262" s="1">
        <v>2255876</v>
      </c>
      <c r="AS262" s="1">
        <v>0</v>
      </c>
      <c r="AT262" s="1">
        <f t="shared" si="26"/>
        <v>95592488</v>
      </c>
    </row>
    <row r="263" spans="1:46" x14ac:dyDescent="0.2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12875385</v>
      </c>
      <c r="G263" s="1">
        <v>19322362</v>
      </c>
      <c r="H263" s="1">
        <v>0</v>
      </c>
      <c r="I263" s="1">
        <v>12094087</v>
      </c>
      <c r="J263" s="1">
        <v>0</v>
      </c>
      <c r="K263" s="1">
        <v>4620000</v>
      </c>
      <c r="L263" s="1">
        <v>0</v>
      </c>
      <c r="M263" s="1">
        <v>400000</v>
      </c>
      <c r="N263" s="1">
        <v>2506114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1342000</v>
      </c>
      <c r="U263" s="1">
        <v>0</v>
      </c>
      <c r="V263" s="1">
        <v>9117385</v>
      </c>
      <c r="W263" s="1">
        <v>1100000</v>
      </c>
      <c r="X263" s="1">
        <v>1997905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1790081</v>
      </c>
      <c r="AF263" s="1">
        <v>1111269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9948893</v>
      </c>
      <c r="AM263" s="1">
        <v>0</v>
      </c>
      <c r="AN263" s="1">
        <v>78225481</v>
      </c>
      <c r="AO263" s="1">
        <v>32245343</v>
      </c>
      <c r="AP263" s="1">
        <v>45980138</v>
      </c>
      <c r="AQ263" s="1">
        <v>15039174</v>
      </c>
      <c r="AR263" s="1">
        <v>2255876</v>
      </c>
      <c r="AS263" s="1">
        <v>0</v>
      </c>
      <c r="AT263" s="1">
        <f t="shared" si="26"/>
        <v>95520531</v>
      </c>
    </row>
    <row r="264" spans="1:46" x14ac:dyDescent="0.2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15620003</v>
      </c>
      <c r="G264" s="1">
        <v>7737289</v>
      </c>
      <c r="H264" s="1">
        <v>0</v>
      </c>
      <c r="I264" s="1">
        <v>11895881</v>
      </c>
      <c r="J264" s="1">
        <v>0</v>
      </c>
      <c r="K264" s="1">
        <v>5500000</v>
      </c>
      <c r="L264" s="1">
        <v>0</v>
      </c>
      <c r="M264" s="1">
        <v>400000</v>
      </c>
      <c r="N264" s="1">
        <v>2804026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15359205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2002876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3605178</v>
      </c>
      <c r="AM264" s="1">
        <v>0</v>
      </c>
      <c r="AN264" s="1">
        <v>66024458</v>
      </c>
      <c r="AO264" s="1">
        <v>21912487</v>
      </c>
      <c r="AP264" s="1">
        <v>44111971</v>
      </c>
      <c r="AQ264" s="1">
        <v>13204892</v>
      </c>
      <c r="AR264" s="1">
        <v>1980734</v>
      </c>
      <c r="AS264" s="1">
        <v>0</v>
      </c>
      <c r="AT264" s="1">
        <f t="shared" si="26"/>
        <v>81210084</v>
      </c>
    </row>
    <row r="265" spans="1:46" x14ac:dyDescent="0.2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15487984</v>
      </c>
      <c r="G265" s="1">
        <v>5061476</v>
      </c>
      <c r="H265" s="1">
        <v>0</v>
      </c>
      <c r="I265" s="1">
        <v>13219984</v>
      </c>
      <c r="J265" s="1">
        <v>0</v>
      </c>
      <c r="K265" s="1">
        <v>5500000</v>
      </c>
      <c r="L265" s="1">
        <v>0</v>
      </c>
      <c r="M265" s="1">
        <v>400000</v>
      </c>
      <c r="N265" s="1">
        <v>2757820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13452581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1969871</v>
      </c>
      <c r="AF265" s="1">
        <v>1111269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4727691</v>
      </c>
      <c r="AM265" s="1">
        <v>0</v>
      </c>
      <c r="AN265" s="1">
        <v>64788676</v>
      </c>
      <c r="AO265" s="1">
        <v>9935857</v>
      </c>
      <c r="AP265" s="1">
        <v>54852819</v>
      </c>
      <c r="AQ265" s="1">
        <v>12735481</v>
      </c>
      <c r="AR265" s="1">
        <v>1910322</v>
      </c>
      <c r="AS265" s="1">
        <v>0</v>
      </c>
      <c r="AT265" s="1">
        <f t="shared" si="26"/>
        <v>79434479</v>
      </c>
    </row>
    <row r="266" spans="1:46" x14ac:dyDescent="0.2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12191150</v>
      </c>
      <c r="G266" s="1">
        <v>9914160</v>
      </c>
      <c r="H266" s="1">
        <v>0</v>
      </c>
      <c r="I266" s="1">
        <v>10860288</v>
      </c>
      <c r="J266" s="1">
        <v>0</v>
      </c>
      <c r="K266" s="1">
        <v>0</v>
      </c>
      <c r="L266" s="1">
        <v>0</v>
      </c>
      <c r="M266" s="1">
        <v>400000</v>
      </c>
      <c r="N266" s="1">
        <v>2243829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1342000</v>
      </c>
      <c r="U266" s="1">
        <v>0</v>
      </c>
      <c r="V266" s="1">
        <v>11656177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1602734</v>
      </c>
      <c r="AF266" s="1">
        <v>2222538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5256969</v>
      </c>
      <c r="AM266" s="1">
        <v>0</v>
      </c>
      <c r="AN266" s="1">
        <v>58789845</v>
      </c>
      <c r="AO266" s="1">
        <v>27303595</v>
      </c>
      <c r="AP266" s="1">
        <v>31486250</v>
      </c>
      <c r="AQ266" s="1">
        <v>11045061</v>
      </c>
      <c r="AR266" s="1">
        <v>1656759</v>
      </c>
      <c r="AS266" s="1">
        <v>0</v>
      </c>
      <c r="AT266" s="1">
        <f t="shared" si="26"/>
        <v>71491665</v>
      </c>
    </row>
    <row r="267" spans="1:46" x14ac:dyDescent="0.2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16787334</v>
      </c>
      <c r="G267" s="1">
        <v>2435134</v>
      </c>
      <c r="H267" s="1">
        <v>0</v>
      </c>
      <c r="I267" s="1">
        <v>14020771</v>
      </c>
      <c r="J267" s="1">
        <v>0</v>
      </c>
      <c r="K267" s="1">
        <v>5500000</v>
      </c>
      <c r="L267" s="1">
        <v>0</v>
      </c>
      <c r="M267" s="1">
        <v>400000</v>
      </c>
      <c r="N267" s="1">
        <v>2911641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15372818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3074667</v>
      </c>
      <c r="AD267" s="1">
        <v>0</v>
      </c>
      <c r="AE267" s="1">
        <v>2079743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10318860</v>
      </c>
      <c r="AM267" s="1">
        <v>0</v>
      </c>
      <c r="AN267" s="1">
        <v>74000968</v>
      </c>
      <c r="AO267" s="1">
        <v>30864661</v>
      </c>
      <c r="AP267" s="1">
        <v>43136307</v>
      </c>
      <c r="AQ267" s="1">
        <v>14800194</v>
      </c>
      <c r="AR267" s="1">
        <v>2220029</v>
      </c>
      <c r="AS267" s="1">
        <v>0</v>
      </c>
      <c r="AT267" s="1">
        <f t="shared" si="26"/>
        <v>91021191</v>
      </c>
    </row>
    <row r="268" spans="1:46" x14ac:dyDescent="0.2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10753023</v>
      </c>
      <c r="G268" s="1">
        <v>2702571</v>
      </c>
      <c r="H268" s="1">
        <v>0</v>
      </c>
      <c r="I268" s="1">
        <v>8936588</v>
      </c>
      <c r="J268" s="1">
        <v>0</v>
      </c>
      <c r="K268" s="1">
        <v>4620000</v>
      </c>
      <c r="L268" s="1">
        <v>0</v>
      </c>
      <c r="M268" s="1">
        <v>400000</v>
      </c>
      <c r="N268" s="1">
        <v>1938523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1342000</v>
      </c>
      <c r="U268" s="1">
        <v>0</v>
      </c>
      <c r="V268" s="1">
        <v>14005074</v>
      </c>
      <c r="W268" s="1">
        <v>1100000</v>
      </c>
      <c r="X268" s="1">
        <v>1668573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1384660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7767589</v>
      </c>
      <c r="AM268" s="1">
        <v>0</v>
      </c>
      <c r="AN268" s="1">
        <v>56618601</v>
      </c>
      <c r="AO268" s="1">
        <v>32371330</v>
      </c>
      <c r="AP268" s="1">
        <v>24247271</v>
      </c>
      <c r="AQ268" s="1">
        <v>11055320</v>
      </c>
      <c r="AR268" s="1">
        <v>1658298</v>
      </c>
      <c r="AS268" s="1">
        <v>0</v>
      </c>
      <c r="AT268" s="1">
        <f t="shared" si="26"/>
        <v>69332219</v>
      </c>
    </row>
    <row r="269" spans="1:46" x14ac:dyDescent="0.2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12653498</v>
      </c>
      <c r="G269" s="1">
        <v>10685806</v>
      </c>
      <c r="H269" s="1">
        <v>0</v>
      </c>
      <c r="I269" s="1">
        <v>10981506</v>
      </c>
      <c r="J269" s="1">
        <v>0</v>
      </c>
      <c r="K269" s="1">
        <v>4620000</v>
      </c>
      <c r="L269" s="1">
        <v>0</v>
      </c>
      <c r="M269" s="1">
        <v>400000</v>
      </c>
      <c r="N269" s="1">
        <v>2373646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7032499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1695462</v>
      </c>
      <c r="AF269" s="1">
        <v>2222538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2543193</v>
      </c>
      <c r="AM269" s="1">
        <v>0</v>
      </c>
      <c r="AN269" s="1">
        <v>56308148</v>
      </c>
      <c r="AO269" s="1">
        <v>7238637</v>
      </c>
      <c r="AP269" s="1">
        <v>49069511</v>
      </c>
      <c r="AQ269" s="1">
        <v>10817122</v>
      </c>
      <c r="AR269" s="1">
        <v>1622568</v>
      </c>
      <c r="AS269" s="1">
        <v>0</v>
      </c>
      <c r="AT269" s="1">
        <f t="shared" si="26"/>
        <v>68747838</v>
      </c>
    </row>
    <row r="270" spans="1:46" x14ac:dyDescent="0.2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16108900</v>
      </c>
      <c r="G270" s="1">
        <v>1603524</v>
      </c>
      <c r="H270" s="1">
        <v>0</v>
      </c>
      <c r="I270" s="1">
        <v>11818777</v>
      </c>
      <c r="J270" s="1">
        <v>1000000</v>
      </c>
      <c r="K270" s="1">
        <v>4125000</v>
      </c>
      <c r="L270" s="1">
        <v>0</v>
      </c>
      <c r="M270" s="1">
        <v>400000</v>
      </c>
      <c r="N270" s="1">
        <v>2936262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6409039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2097329</v>
      </c>
      <c r="AF270" s="1">
        <v>1111269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3145994</v>
      </c>
      <c r="AM270" s="1">
        <v>0</v>
      </c>
      <c r="AN270" s="1">
        <v>51856094</v>
      </c>
      <c r="AO270" s="1">
        <v>26242910</v>
      </c>
      <c r="AP270" s="1">
        <v>25613184</v>
      </c>
      <c r="AQ270" s="1">
        <v>9948965</v>
      </c>
      <c r="AR270" s="1">
        <v>1492345</v>
      </c>
      <c r="AS270" s="1">
        <v>0</v>
      </c>
      <c r="AT270" s="1">
        <f t="shared" si="26"/>
        <v>63297404</v>
      </c>
    </row>
    <row r="271" spans="1:46" x14ac:dyDescent="0.2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14526732</v>
      </c>
      <c r="G271" s="1">
        <v>0</v>
      </c>
      <c r="H271" s="1">
        <v>0</v>
      </c>
      <c r="I271" s="1">
        <v>14760852</v>
      </c>
      <c r="J271" s="1">
        <v>0</v>
      </c>
      <c r="K271" s="1">
        <v>5500000</v>
      </c>
      <c r="L271" s="1">
        <v>0</v>
      </c>
      <c r="M271" s="1">
        <v>400000</v>
      </c>
      <c r="N271" s="1">
        <v>2409665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8794239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1721189</v>
      </c>
      <c r="AF271" s="1">
        <v>1111269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4406245</v>
      </c>
      <c r="AM271" s="1">
        <v>0</v>
      </c>
      <c r="AN271" s="1">
        <v>54730191</v>
      </c>
      <c r="AO271" s="1">
        <v>9257447</v>
      </c>
      <c r="AP271" s="1">
        <v>45472744</v>
      </c>
      <c r="AQ271" s="1">
        <v>10723784</v>
      </c>
      <c r="AR271" s="1">
        <v>1608568</v>
      </c>
      <c r="AS271" s="1">
        <v>0</v>
      </c>
      <c r="AT271" s="1">
        <f t="shared" si="26"/>
        <v>67062543</v>
      </c>
    </row>
    <row r="272" spans="1:46" x14ac:dyDescent="0.2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7" si="28">"پروژه بهره برداري نيروگاه بوشهر"</f>
        <v>پروژه بهره برداري نيروگاه بوشهر</v>
      </c>
      <c r="F272" s="1">
        <v>12395514</v>
      </c>
      <c r="G272" s="1">
        <v>14488444</v>
      </c>
      <c r="H272" s="1">
        <v>0</v>
      </c>
      <c r="I272" s="1">
        <v>11038342</v>
      </c>
      <c r="J272" s="1">
        <v>0</v>
      </c>
      <c r="K272" s="1">
        <v>4620000</v>
      </c>
      <c r="L272" s="1">
        <v>0</v>
      </c>
      <c r="M272" s="1">
        <v>400000</v>
      </c>
      <c r="N272" s="1">
        <v>2319556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1342000</v>
      </c>
      <c r="U272" s="1">
        <v>0</v>
      </c>
      <c r="V272" s="1">
        <v>11824065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1656826</v>
      </c>
      <c r="AF272" s="1">
        <v>1111269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5434389</v>
      </c>
      <c r="AM272" s="1">
        <v>0</v>
      </c>
      <c r="AN272" s="1">
        <v>67730405</v>
      </c>
      <c r="AO272" s="1">
        <v>10377687</v>
      </c>
      <c r="AP272" s="1">
        <v>57352718</v>
      </c>
      <c r="AQ272" s="1">
        <v>13055427</v>
      </c>
      <c r="AR272" s="1">
        <v>1958314</v>
      </c>
      <c r="AS272" s="1">
        <v>0</v>
      </c>
      <c r="AT272" s="1">
        <f t="shared" si="26"/>
        <v>82744146</v>
      </c>
    </row>
    <row r="273" spans="1:46" x14ac:dyDescent="0.2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11492380</v>
      </c>
      <c r="G273" s="1">
        <v>5567863</v>
      </c>
      <c r="H273" s="1">
        <v>0</v>
      </c>
      <c r="I273" s="1">
        <v>10420363</v>
      </c>
      <c r="J273" s="1">
        <v>0</v>
      </c>
      <c r="K273" s="1">
        <v>4620000</v>
      </c>
      <c r="L273" s="1">
        <v>0</v>
      </c>
      <c r="M273" s="1">
        <v>400000</v>
      </c>
      <c r="N273" s="1">
        <v>2203449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1342000</v>
      </c>
      <c r="U273" s="1">
        <v>0</v>
      </c>
      <c r="V273" s="1">
        <v>11833556</v>
      </c>
      <c r="W273" s="1">
        <v>1100000</v>
      </c>
      <c r="X273" s="1">
        <v>1783300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1573892</v>
      </c>
      <c r="AF273" s="1">
        <v>1111269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8610080</v>
      </c>
      <c r="AM273" s="1">
        <v>0</v>
      </c>
      <c r="AN273" s="1">
        <v>62058152</v>
      </c>
      <c r="AO273" s="1">
        <v>10541262</v>
      </c>
      <c r="AP273" s="1">
        <v>51516890</v>
      </c>
      <c r="AQ273" s="1">
        <v>11920977</v>
      </c>
      <c r="AR273" s="1">
        <v>1788146</v>
      </c>
      <c r="AS273" s="1">
        <v>0</v>
      </c>
      <c r="AT273" s="1">
        <f t="shared" si="26"/>
        <v>75767275</v>
      </c>
    </row>
    <row r="274" spans="1:46" x14ac:dyDescent="0.2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11901382</v>
      </c>
      <c r="G274" s="1">
        <v>269454</v>
      </c>
      <c r="H274" s="1">
        <v>0</v>
      </c>
      <c r="I274" s="1">
        <v>9852403</v>
      </c>
      <c r="J274" s="1">
        <v>0</v>
      </c>
      <c r="K274" s="1">
        <v>4620000</v>
      </c>
      <c r="L274" s="1">
        <v>0</v>
      </c>
      <c r="M274" s="1">
        <v>400000</v>
      </c>
      <c r="N274" s="1">
        <v>2300295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6738613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1643068</v>
      </c>
      <c r="AF274" s="1">
        <v>1111269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3286135</v>
      </c>
      <c r="AM274" s="1">
        <v>0</v>
      </c>
      <c r="AN274" s="1">
        <v>43222619</v>
      </c>
      <c r="AO274" s="1">
        <v>6029971</v>
      </c>
      <c r="AP274" s="1">
        <v>37192648</v>
      </c>
      <c r="AQ274" s="1">
        <v>8422270</v>
      </c>
      <c r="AR274" s="1">
        <v>1263341</v>
      </c>
      <c r="AS274" s="1">
        <v>0</v>
      </c>
      <c r="AT274" s="1">
        <f t="shared" si="26"/>
        <v>52908230</v>
      </c>
    </row>
    <row r="275" spans="1:46" x14ac:dyDescent="0.2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15642586</v>
      </c>
      <c r="G275" s="1">
        <v>8139428</v>
      </c>
      <c r="H275" s="1">
        <v>0</v>
      </c>
      <c r="I275" s="1">
        <v>12607242</v>
      </c>
      <c r="J275" s="1">
        <v>0</v>
      </c>
      <c r="K275" s="1">
        <v>5500000</v>
      </c>
      <c r="L275" s="1">
        <v>0</v>
      </c>
      <c r="M275" s="1">
        <v>400000</v>
      </c>
      <c r="N275" s="1">
        <v>2811931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1342000</v>
      </c>
      <c r="U275" s="1">
        <v>0</v>
      </c>
      <c r="V275" s="1">
        <v>11960661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2008522</v>
      </c>
      <c r="AF275" s="1">
        <v>1111269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4017043</v>
      </c>
      <c r="AM275" s="1">
        <v>0</v>
      </c>
      <c r="AN275" s="1">
        <v>66640682</v>
      </c>
      <c r="AO275" s="1">
        <v>9912366</v>
      </c>
      <c r="AP275" s="1">
        <v>56728316</v>
      </c>
      <c r="AQ275" s="1">
        <v>12837483</v>
      </c>
      <c r="AR275" s="1">
        <v>1925622</v>
      </c>
      <c r="AS275" s="1">
        <v>0</v>
      </c>
      <c r="AT275" s="1">
        <f t="shared" si="26"/>
        <v>81403787</v>
      </c>
    </row>
    <row r="276" spans="1:46" x14ac:dyDescent="0.2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11344454</v>
      </c>
      <c r="G276" s="1">
        <v>6807909</v>
      </c>
      <c r="H276" s="1">
        <v>0</v>
      </c>
      <c r="I276" s="1">
        <v>10030776</v>
      </c>
      <c r="J276" s="1">
        <v>0</v>
      </c>
      <c r="K276" s="1">
        <v>4620000</v>
      </c>
      <c r="L276" s="1">
        <v>0</v>
      </c>
      <c r="M276" s="1">
        <v>400000</v>
      </c>
      <c r="N276" s="1">
        <v>2158005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1342000</v>
      </c>
      <c r="U276" s="1">
        <v>0</v>
      </c>
      <c r="V276" s="1">
        <v>14399501</v>
      </c>
      <c r="W276" s="1">
        <v>1100000</v>
      </c>
      <c r="X276" s="1">
        <v>1760346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1541433</v>
      </c>
      <c r="AF276" s="1">
        <v>1111269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8027633</v>
      </c>
      <c r="AM276" s="1">
        <v>0</v>
      </c>
      <c r="AN276" s="1">
        <v>64643326</v>
      </c>
      <c r="AO276" s="1">
        <v>11650778</v>
      </c>
      <c r="AP276" s="1">
        <v>52992548</v>
      </c>
      <c r="AQ276" s="1">
        <v>12438011</v>
      </c>
      <c r="AR276" s="1">
        <v>1865702</v>
      </c>
      <c r="AS276" s="1">
        <v>0</v>
      </c>
      <c r="AT276" s="1">
        <f t="shared" si="26"/>
        <v>78947039</v>
      </c>
    </row>
    <row r="277" spans="1:46" x14ac:dyDescent="0.2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15496669</v>
      </c>
      <c r="G277" s="1">
        <v>5048286</v>
      </c>
      <c r="H277" s="1">
        <v>0</v>
      </c>
      <c r="I277" s="1">
        <v>12956482</v>
      </c>
      <c r="J277" s="1">
        <v>0</v>
      </c>
      <c r="K277" s="1">
        <v>5500000</v>
      </c>
      <c r="L277" s="1">
        <v>0</v>
      </c>
      <c r="M277" s="1">
        <v>400000</v>
      </c>
      <c r="N277" s="1">
        <v>2760860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14486114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3074667</v>
      </c>
      <c r="AD277" s="1">
        <v>0</v>
      </c>
      <c r="AE277" s="1">
        <v>1972043</v>
      </c>
      <c r="AF277" s="1">
        <v>1111269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10094844</v>
      </c>
      <c r="AM277" s="1">
        <v>0</v>
      </c>
      <c r="AN277" s="1">
        <v>74001234</v>
      </c>
      <c r="AO277" s="1">
        <v>30776517</v>
      </c>
      <c r="AP277" s="1">
        <v>43224717</v>
      </c>
      <c r="AQ277" s="1">
        <v>14577993</v>
      </c>
      <c r="AR277" s="1">
        <v>2186699</v>
      </c>
      <c r="AS277" s="1">
        <v>0</v>
      </c>
      <c r="AT277" s="1">
        <f t="shared" si="26"/>
        <v>90765926</v>
      </c>
    </row>
    <row r="278" spans="1:46" x14ac:dyDescent="0.2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11432916</v>
      </c>
      <c r="G278" s="1">
        <v>6440100</v>
      </c>
      <c r="H278" s="1">
        <v>0</v>
      </c>
      <c r="I278" s="1">
        <v>8320922</v>
      </c>
      <c r="J278" s="1">
        <v>0</v>
      </c>
      <c r="K278" s="1">
        <v>3465000</v>
      </c>
      <c r="L278" s="1">
        <v>0</v>
      </c>
      <c r="M278" s="1">
        <v>400000</v>
      </c>
      <c r="N278" s="1">
        <v>2118787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1342000</v>
      </c>
      <c r="U278" s="1">
        <v>0</v>
      </c>
      <c r="V278" s="1">
        <v>5965060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1513419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2270130</v>
      </c>
      <c r="AM278" s="1">
        <v>0</v>
      </c>
      <c r="AN278" s="1">
        <v>44368334</v>
      </c>
      <c r="AO278" s="1">
        <v>5718319</v>
      </c>
      <c r="AP278" s="1">
        <v>38650015</v>
      </c>
      <c r="AQ278" s="1">
        <v>8605267</v>
      </c>
      <c r="AR278" s="1">
        <v>1290790</v>
      </c>
      <c r="AS278" s="1">
        <v>0</v>
      </c>
      <c r="AT278" s="1">
        <f t="shared" si="26"/>
        <v>54264391</v>
      </c>
    </row>
    <row r="279" spans="1:46" x14ac:dyDescent="0.2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11707902</v>
      </c>
      <c r="G279" s="1">
        <v>2869510</v>
      </c>
      <c r="H279" s="1">
        <v>0</v>
      </c>
      <c r="I279" s="1">
        <v>10157685</v>
      </c>
      <c r="J279" s="1">
        <v>0</v>
      </c>
      <c r="K279" s="1">
        <v>4620000</v>
      </c>
      <c r="L279" s="1">
        <v>0</v>
      </c>
      <c r="M279" s="1">
        <v>400000</v>
      </c>
      <c r="N279" s="1">
        <v>2261518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1342000</v>
      </c>
      <c r="U279" s="1">
        <v>0</v>
      </c>
      <c r="V279" s="1">
        <v>7973541</v>
      </c>
      <c r="W279" s="1">
        <v>1100000</v>
      </c>
      <c r="X279" s="1">
        <v>1816743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1615370</v>
      </c>
      <c r="AF279" s="1">
        <v>1111269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8552323</v>
      </c>
      <c r="AM279" s="1">
        <v>0</v>
      </c>
      <c r="AN279" s="1">
        <v>55527861</v>
      </c>
      <c r="AO279" s="1">
        <v>6617658</v>
      </c>
      <c r="AP279" s="1">
        <v>48910203</v>
      </c>
      <c r="AQ279" s="1">
        <v>10614918</v>
      </c>
      <c r="AR279" s="1">
        <v>1592238</v>
      </c>
      <c r="AS279" s="1">
        <v>0</v>
      </c>
      <c r="AT279" s="1">
        <f t="shared" si="26"/>
        <v>67735017</v>
      </c>
    </row>
    <row r="280" spans="1:46" x14ac:dyDescent="0.2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12540804</v>
      </c>
      <c r="G280" s="1">
        <v>3192879</v>
      </c>
      <c r="H280" s="1">
        <v>0</v>
      </c>
      <c r="I280" s="1">
        <v>10704299</v>
      </c>
      <c r="J280" s="1">
        <v>0</v>
      </c>
      <c r="K280" s="1">
        <v>3465000</v>
      </c>
      <c r="L280" s="1">
        <v>0</v>
      </c>
      <c r="M280" s="1">
        <v>400000</v>
      </c>
      <c r="N280" s="1">
        <v>2358807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10322060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1684862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4717614</v>
      </c>
      <c r="AM280" s="1">
        <v>0</v>
      </c>
      <c r="AN280" s="1">
        <v>50486325</v>
      </c>
      <c r="AO280" s="1">
        <v>6111703</v>
      </c>
      <c r="AP280" s="1">
        <v>44374622</v>
      </c>
      <c r="AQ280" s="1">
        <v>10097265</v>
      </c>
      <c r="AR280" s="1">
        <v>1514590</v>
      </c>
      <c r="AS280" s="1">
        <v>0</v>
      </c>
      <c r="AT280" s="1">
        <f t="shared" si="26"/>
        <v>62098180</v>
      </c>
    </row>
    <row r="281" spans="1:46" x14ac:dyDescent="0.2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11142844</v>
      </c>
      <c r="G281" s="1">
        <v>5032382</v>
      </c>
      <c r="H281" s="1">
        <v>0</v>
      </c>
      <c r="I281" s="1">
        <v>10169182</v>
      </c>
      <c r="J281" s="1">
        <v>0</v>
      </c>
      <c r="K281" s="1">
        <v>4620000</v>
      </c>
      <c r="L281" s="1">
        <v>0</v>
      </c>
      <c r="M281" s="1">
        <v>400000</v>
      </c>
      <c r="N281" s="1">
        <v>2073695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1342000</v>
      </c>
      <c r="U281" s="1">
        <v>0</v>
      </c>
      <c r="V281" s="1">
        <v>11408513</v>
      </c>
      <c r="W281" s="1">
        <v>1100000</v>
      </c>
      <c r="X281" s="1">
        <v>1729062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1481210</v>
      </c>
      <c r="AF281" s="1">
        <v>1111269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8201224</v>
      </c>
      <c r="AM281" s="1">
        <v>0</v>
      </c>
      <c r="AN281" s="1">
        <v>59811381</v>
      </c>
      <c r="AO281" s="1">
        <v>8503741</v>
      </c>
      <c r="AP281" s="1">
        <v>51307640</v>
      </c>
      <c r="AQ281" s="1">
        <v>11471622</v>
      </c>
      <c r="AR281" s="1">
        <v>1720743</v>
      </c>
      <c r="AS281" s="1">
        <v>0</v>
      </c>
      <c r="AT281" s="1">
        <f t="shared" si="26"/>
        <v>73003746</v>
      </c>
    </row>
    <row r="282" spans="1:46" x14ac:dyDescent="0.2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11559442</v>
      </c>
      <c r="G282" s="1">
        <v>3849634</v>
      </c>
      <c r="H282" s="1">
        <v>0</v>
      </c>
      <c r="I282" s="1">
        <v>10299756</v>
      </c>
      <c r="J282" s="1">
        <v>0</v>
      </c>
      <c r="K282" s="1">
        <v>4620000</v>
      </c>
      <c r="L282" s="1">
        <v>0</v>
      </c>
      <c r="M282" s="1">
        <v>400000</v>
      </c>
      <c r="N282" s="1">
        <v>2228187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1342000</v>
      </c>
      <c r="U282" s="1">
        <v>0</v>
      </c>
      <c r="V282" s="1">
        <v>12028485</v>
      </c>
      <c r="W282" s="1">
        <v>1100000</v>
      </c>
      <c r="X282" s="1">
        <v>1793706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1591562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8688154</v>
      </c>
      <c r="AM282" s="1">
        <v>0</v>
      </c>
      <c r="AN282" s="1">
        <v>59500926</v>
      </c>
      <c r="AO282" s="1">
        <v>26340708</v>
      </c>
      <c r="AP282" s="1">
        <v>33160218</v>
      </c>
      <c r="AQ282" s="1">
        <v>11631785</v>
      </c>
      <c r="AR282" s="1">
        <v>1744768</v>
      </c>
      <c r="AS282" s="1">
        <v>0</v>
      </c>
      <c r="AT282" s="1">
        <f t="shared" si="26"/>
        <v>72877479</v>
      </c>
    </row>
    <row r="283" spans="1:46" x14ac:dyDescent="0.2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12235554</v>
      </c>
      <c r="G283" s="1">
        <v>2684512</v>
      </c>
      <c r="H283" s="1">
        <v>0</v>
      </c>
      <c r="I283" s="1">
        <v>11266282</v>
      </c>
      <c r="J283" s="1">
        <v>0</v>
      </c>
      <c r="K283" s="1">
        <v>4620000</v>
      </c>
      <c r="L283" s="1">
        <v>0</v>
      </c>
      <c r="M283" s="1">
        <v>400000</v>
      </c>
      <c r="N283" s="1">
        <v>2262771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1342000</v>
      </c>
      <c r="U283" s="1">
        <v>0</v>
      </c>
      <c r="V283" s="1">
        <v>8391921</v>
      </c>
      <c r="W283" s="1">
        <v>1100000</v>
      </c>
      <c r="X283" s="1">
        <v>1898621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1616266</v>
      </c>
      <c r="AF283" s="1">
        <v>1111269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8713413</v>
      </c>
      <c r="AM283" s="1">
        <v>0</v>
      </c>
      <c r="AN283" s="1">
        <v>57642609</v>
      </c>
      <c r="AO283" s="1">
        <v>30874048</v>
      </c>
      <c r="AP283" s="1">
        <v>26768561</v>
      </c>
      <c r="AQ283" s="1">
        <v>11037868</v>
      </c>
      <c r="AR283" s="1">
        <v>1655680</v>
      </c>
      <c r="AS283" s="1">
        <v>0</v>
      </c>
      <c r="AT283" s="1">
        <f t="shared" si="26"/>
        <v>70336157</v>
      </c>
    </row>
    <row r="284" spans="1:46" x14ac:dyDescent="0.2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11918243</v>
      </c>
      <c r="G284" s="1">
        <v>6208853</v>
      </c>
      <c r="H284" s="1">
        <v>0</v>
      </c>
      <c r="I284" s="1">
        <v>11243303</v>
      </c>
      <c r="J284" s="1">
        <v>0</v>
      </c>
      <c r="K284" s="1">
        <v>4620000</v>
      </c>
      <c r="L284" s="1">
        <v>0</v>
      </c>
      <c r="M284" s="1">
        <v>400000</v>
      </c>
      <c r="N284" s="1">
        <v>2362630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1342000</v>
      </c>
      <c r="U284" s="1">
        <v>0</v>
      </c>
      <c r="V284" s="1">
        <v>15594759</v>
      </c>
      <c r="W284" s="1">
        <v>1100000</v>
      </c>
      <c r="X284" s="1">
        <v>1849383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1687593</v>
      </c>
      <c r="AF284" s="1">
        <v>1111269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8638250</v>
      </c>
      <c r="AM284" s="1">
        <v>0</v>
      </c>
      <c r="AN284" s="1">
        <v>68076283</v>
      </c>
      <c r="AO284" s="1">
        <v>30430970</v>
      </c>
      <c r="AP284" s="1">
        <v>37645313</v>
      </c>
      <c r="AQ284" s="1">
        <v>13124603</v>
      </c>
      <c r="AR284" s="1">
        <v>1968690</v>
      </c>
      <c r="AS284" s="1">
        <v>0</v>
      </c>
      <c r="AT284" s="1">
        <f t="shared" si="26"/>
        <v>83169576</v>
      </c>
    </row>
    <row r="285" spans="1:46" x14ac:dyDescent="0.2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14937200</v>
      </c>
      <c r="G285" s="1">
        <v>7002416</v>
      </c>
      <c r="H285" s="1">
        <v>0</v>
      </c>
      <c r="I285" s="1">
        <v>11634086</v>
      </c>
      <c r="J285" s="1">
        <v>0</v>
      </c>
      <c r="K285" s="1">
        <v>0</v>
      </c>
      <c r="L285" s="1">
        <v>0</v>
      </c>
      <c r="M285" s="1">
        <v>400000</v>
      </c>
      <c r="N285" s="1">
        <v>2551997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1342000</v>
      </c>
      <c r="U285" s="1">
        <v>0</v>
      </c>
      <c r="V285" s="1">
        <v>11969993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1822855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3499881</v>
      </c>
      <c r="AM285" s="1">
        <v>0</v>
      </c>
      <c r="AN285" s="1">
        <v>56260428</v>
      </c>
      <c r="AO285" s="1">
        <v>8708047</v>
      </c>
      <c r="AP285" s="1">
        <v>47552381</v>
      </c>
      <c r="AQ285" s="1">
        <v>10983686</v>
      </c>
      <c r="AR285" s="1">
        <v>1647553</v>
      </c>
      <c r="AS285" s="1">
        <v>0</v>
      </c>
      <c r="AT285" s="1">
        <f t="shared" si="26"/>
        <v>68891667</v>
      </c>
    </row>
    <row r="286" spans="1:46" x14ac:dyDescent="0.2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12152752</v>
      </c>
      <c r="G286" s="1">
        <v>12856906</v>
      </c>
      <c r="H286" s="1">
        <v>0</v>
      </c>
      <c r="I286" s="1">
        <v>10619455</v>
      </c>
      <c r="J286" s="1">
        <v>0</v>
      </c>
      <c r="K286" s="1">
        <v>3465000</v>
      </c>
      <c r="L286" s="1">
        <v>0</v>
      </c>
      <c r="M286" s="1">
        <v>400000</v>
      </c>
      <c r="N286" s="1">
        <v>2253193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16090699</v>
      </c>
      <c r="W286" s="1">
        <v>1100000</v>
      </c>
      <c r="X286" s="1">
        <v>1885772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1609423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8924734</v>
      </c>
      <c r="AM286" s="1">
        <v>0</v>
      </c>
      <c r="AN286" s="1">
        <v>71357934</v>
      </c>
      <c r="AO286" s="1">
        <v>11079001</v>
      </c>
      <c r="AP286" s="1">
        <v>60278933</v>
      </c>
      <c r="AQ286" s="1">
        <v>14271587</v>
      </c>
      <c r="AR286" s="1">
        <v>2140738</v>
      </c>
      <c r="AS286" s="1">
        <v>0</v>
      </c>
      <c r="AT286" s="1">
        <f t="shared" si="26"/>
        <v>87770259</v>
      </c>
    </row>
    <row r="287" spans="1:46" x14ac:dyDescent="0.2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11505085</v>
      </c>
      <c r="G287" s="1">
        <v>5541907</v>
      </c>
      <c r="H287" s="1">
        <v>0</v>
      </c>
      <c r="I287" s="1">
        <v>10229581</v>
      </c>
      <c r="J287" s="1">
        <v>0</v>
      </c>
      <c r="K287" s="1">
        <v>4620000</v>
      </c>
      <c r="L287" s="1">
        <v>0</v>
      </c>
      <c r="M287" s="1">
        <v>400000</v>
      </c>
      <c r="N287" s="1">
        <v>2206991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1342000</v>
      </c>
      <c r="U287" s="1">
        <v>0</v>
      </c>
      <c r="V287" s="1">
        <v>11778393</v>
      </c>
      <c r="W287" s="1">
        <v>1100000</v>
      </c>
      <c r="X287" s="1">
        <v>1785272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1576422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8622189</v>
      </c>
      <c r="AM287" s="1">
        <v>0</v>
      </c>
      <c r="AN287" s="1">
        <v>60707840</v>
      </c>
      <c r="AO287" s="1">
        <v>12674029</v>
      </c>
      <c r="AP287" s="1">
        <v>48033811</v>
      </c>
      <c r="AQ287" s="1">
        <v>11873168</v>
      </c>
      <c r="AR287" s="1">
        <v>1780975</v>
      </c>
      <c r="AS287" s="1">
        <v>0</v>
      </c>
      <c r="AT287" s="1">
        <f t="shared" si="26"/>
        <v>74361983</v>
      </c>
    </row>
    <row r="288" spans="1:46" x14ac:dyDescent="0.2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19128945</v>
      </c>
      <c r="G288" s="1">
        <v>11355317</v>
      </c>
      <c r="H288" s="1">
        <v>0</v>
      </c>
      <c r="I288" s="1">
        <v>15734156</v>
      </c>
      <c r="J288" s="1">
        <v>0</v>
      </c>
      <c r="K288" s="1">
        <v>5500000</v>
      </c>
      <c r="L288" s="1">
        <v>0</v>
      </c>
      <c r="M288" s="1">
        <v>400000</v>
      </c>
      <c r="N288" s="1">
        <v>2990678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1342000</v>
      </c>
      <c r="U288" s="1">
        <v>0</v>
      </c>
      <c r="V288" s="1">
        <v>15611459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2136199</v>
      </c>
      <c r="AF288" s="1">
        <v>1111269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4614189</v>
      </c>
      <c r="AM288" s="1">
        <v>0</v>
      </c>
      <c r="AN288" s="1">
        <v>81024212</v>
      </c>
      <c r="AO288" s="1">
        <v>14638595</v>
      </c>
      <c r="AP288" s="1">
        <v>66385617</v>
      </c>
      <c r="AQ288" s="1">
        <v>15039174</v>
      </c>
      <c r="AR288" s="1">
        <v>2255876</v>
      </c>
      <c r="AS288" s="1">
        <v>0</v>
      </c>
      <c r="AT288" s="1">
        <f t="shared" si="26"/>
        <v>98319262</v>
      </c>
    </row>
    <row r="289" spans="1:46" x14ac:dyDescent="0.2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26"/>
        <v>0</v>
      </c>
    </row>
    <row r="290" spans="1:46" x14ac:dyDescent="0.2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12393416</v>
      </c>
      <c r="G290" s="1">
        <v>467814</v>
      </c>
      <c r="H290" s="1">
        <v>0</v>
      </c>
      <c r="I290" s="1">
        <v>9521246</v>
      </c>
      <c r="J290" s="1">
        <v>0</v>
      </c>
      <c r="K290" s="1">
        <v>3465000</v>
      </c>
      <c r="L290" s="1">
        <v>0</v>
      </c>
      <c r="M290" s="1">
        <v>400000</v>
      </c>
      <c r="N290" s="1">
        <v>2252813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1342000</v>
      </c>
      <c r="U290" s="1">
        <v>0</v>
      </c>
      <c r="V290" s="1">
        <v>2819036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1609153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2413729</v>
      </c>
      <c r="AM290" s="1">
        <v>0</v>
      </c>
      <c r="AN290" s="1">
        <v>37784207</v>
      </c>
      <c r="AO290" s="1">
        <v>6669279</v>
      </c>
      <c r="AP290" s="1">
        <v>31114928</v>
      </c>
      <c r="AQ290" s="1">
        <v>7288441</v>
      </c>
      <c r="AR290" s="1">
        <v>1093266</v>
      </c>
      <c r="AS290" s="1">
        <v>0</v>
      </c>
      <c r="AT290" s="1">
        <f t="shared" si="26"/>
        <v>46165914</v>
      </c>
    </row>
    <row r="291" spans="1:46" x14ac:dyDescent="0.2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17878628</v>
      </c>
      <c r="G291" s="1">
        <v>4707923</v>
      </c>
      <c r="H291" s="1">
        <v>0</v>
      </c>
      <c r="I291" s="1">
        <v>14297105</v>
      </c>
      <c r="J291" s="1">
        <v>0</v>
      </c>
      <c r="K291" s="1">
        <v>4125000</v>
      </c>
      <c r="L291" s="1">
        <v>0</v>
      </c>
      <c r="M291" s="1">
        <v>400000</v>
      </c>
      <c r="N291" s="1">
        <v>2550103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7237248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1821503</v>
      </c>
      <c r="AF291" s="1">
        <v>1111269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4225886</v>
      </c>
      <c r="AM291" s="1">
        <v>0</v>
      </c>
      <c r="AN291" s="1">
        <v>59454665</v>
      </c>
      <c r="AO291" s="1">
        <v>7542817</v>
      </c>
      <c r="AP291" s="1">
        <v>51911848</v>
      </c>
      <c r="AQ291" s="1">
        <v>11668679</v>
      </c>
      <c r="AR291" s="1">
        <v>1750302</v>
      </c>
      <c r="AS291" s="1">
        <v>0</v>
      </c>
      <c r="AT291" s="1">
        <f t="shared" si="26"/>
        <v>72873646</v>
      </c>
    </row>
    <row r="292" spans="1:46" x14ac:dyDescent="0.2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18675562</v>
      </c>
      <c r="G292" s="1">
        <v>8531177</v>
      </c>
      <c r="H292" s="1">
        <v>0</v>
      </c>
      <c r="I292" s="1">
        <v>15347404</v>
      </c>
      <c r="J292" s="1">
        <v>0</v>
      </c>
      <c r="K292" s="1">
        <v>5500000</v>
      </c>
      <c r="L292" s="1">
        <v>0</v>
      </c>
      <c r="M292" s="1">
        <v>400000</v>
      </c>
      <c r="N292" s="1">
        <v>2831994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1342000</v>
      </c>
      <c r="U292" s="1">
        <v>0</v>
      </c>
      <c r="V292" s="1">
        <v>13464171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2022852</v>
      </c>
      <c r="AF292" s="1">
        <v>1111269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4207535</v>
      </c>
      <c r="AM292" s="1">
        <v>0</v>
      </c>
      <c r="AN292" s="1">
        <v>74533964</v>
      </c>
      <c r="AO292" s="1">
        <v>11473084</v>
      </c>
      <c r="AP292" s="1">
        <v>63060880</v>
      </c>
      <c r="AQ292" s="1">
        <v>14416139</v>
      </c>
      <c r="AR292" s="1">
        <v>2162421</v>
      </c>
      <c r="AS292" s="1">
        <v>0</v>
      </c>
      <c r="AT292" s="1">
        <f t="shared" si="26"/>
        <v>91112524</v>
      </c>
    </row>
    <row r="293" spans="1:46" x14ac:dyDescent="0.2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11713606</v>
      </c>
      <c r="G293" s="1">
        <v>3651532</v>
      </c>
      <c r="H293" s="1">
        <v>0</v>
      </c>
      <c r="I293" s="1">
        <v>9409621</v>
      </c>
      <c r="J293" s="1">
        <v>0</v>
      </c>
      <c r="K293" s="1">
        <v>0</v>
      </c>
      <c r="L293" s="1">
        <v>0</v>
      </c>
      <c r="M293" s="1">
        <v>400000</v>
      </c>
      <c r="N293" s="1">
        <v>2233637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1342000</v>
      </c>
      <c r="U293" s="1">
        <v>0</v>
      </c>
      <c r="V293" s="1">
        <v>2750505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1595455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2552728</v>
      </c>
      <c r="AM293" s="1">
        <v>0</v>
      </c>
      <c r="AN293" s="1">
        <v>36749084</v>
      </c>
      <c r="AO293" s="1">
        <v>4786534</v>
      </c>
      <c r="AP293" s="1">
        <v>31962550</v>
      </c>
      <c r="AQ293" s="1">
        <v>7081417</v>
      </c>
      <c r="AR293" s="1">
        <v>1062213</v>
      </c>
      <c r="AS293" s="1">
        <v>0</v>
      </c>
      <c r="AT293" s="1">
        <f t="shared" si="26"/>
        <v>44892714</v>
      </c>
    </row>
    <row r="294" spans="1:46" x14ac:dyDescent="0.2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12809114</v>
      </c>
      <c r="G294" s="1">
        <v>4619188</v>
      </c>
      <c r="H294" s="1">
        <v>0</v>
      </c>
      <c r="I294" s="1">
        <v>10597949</v>
      </c>
      <c r="J294" s="1">
        <v>0</v>
      </c>
      <c r="K294" s="1">
        <v>4620000</v>
      </c>
      <c r="L294" s="1">
        <v>0</v>
      </c>
      <c r="M294" s="1">
        <v>400000</v>
      </c>
      <c r="N294" s="1">
        <v>2432913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1342000</v>
      </c>
      <c r="U294" s="1">
        <v>0</v>
      </c>
      <c r="V294" s="1">
        <v>7219907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1737795</v>
      </c>
      <c r="AF294" s="1">
        <v>1111269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3475590</v>
      </c>
      <c r="AM294" s="1">
        <v>0</v>
      </c>
      <c r="AN294" s="1">
        <v>51465725</v>
      </c>
      <c r="AO294" s="1">
        <v>6971204</v>
      </c>
      <c r="AP294" s="1">
        <v>44494521</v>
      </c>
      <c r="AQ294" s="1">
        <v>9802491</v>
      </c>
      <c r="AR294" s="1">
        <v>1470374</v>
      </c>
      <c r="AS294" s="1">
        <v>0</v>
      </c>
      <c r="AT294" s="1">
        <f t="shared" si="26"/>
        <v>62738590</v>
      </c>
    </row>
    <row r="295" spans="1:46" x14ac:dyDescent="0.2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12173771</v>
      </c>
      <c r="G295" s="1">
        <v>2301759</v>
      </c>
      <c r="H295" s="1">
        <v>0</v>
      </c>
      <c r="I295" s="1">
        <v>10724890</v>
      </c>
      <c r="J295" s="1">
        <v>0</v>
      </c>
      <c r="K295" s="1">
        <v>3465000</v>
      </c>
      <c r="L295" s="1">
        <v>0</v>
      </c>
      <c r="M295" s="1">
        <v>400000</v>
      </c>
      <c r="N295" s="1">
        <v>2236546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1342000</v>
      </c>
      <c r="U295" s="1">
        <v>0</v>
      </c>
      <c r="V295" s="1">
        <v>8223333</v>
      </c>
      <c r="W295" s="1">
        <v>1100000</v>
      </c>
      <c r="X295" s="1">
        <v>1889033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1597533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8636433</v>
      </c>
      <c r="AM295" s="1">
        <v>0</v>
      </c>
      <c r="AN295" s="1">
        <v>54090298</v>
      </c>
      <c r="AO295" s="1">
        <v>26486746</v>
      </c>
      <c r="AP295" s="1">
        <v>27603552</v>
      </c>
      <c r="AQ295" s="1">
        <v>10549660</v>
      </c>
      <c r="AR295" s="1">
        <v>1582449</v>
      </c>
      <c r="AS295" s="1">
        <v>0</v>
      </c>
      <c r="AT295" s="1">
        <f t="shared" si="26"/>
        <v>66222407</v>
      </c>
    </row>
    <row r="296" spans="1:46" x14ac:dyDescent="0.2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15828455</v>
      </c>
      <c r="G296" s="1">
        <v>12889929</v>
      </c>
      <c r="H296" s="1">
        <v>0</v>
      </c>
      <c r="I296" s="1">
        <v>13442953</v>
      </c>
      <c r="J296" s="1">
        <v>0</v>
      </c>
      <c r="K296" s="1">
        <v>5500000</v>
      </c>
      <c r="L296" s="1">
        <v>0</v>
      </c>
      <c r="M296" s="1">
        <v>400000</v>
      </c>
      <c r="N296" s="1">
        <v>2876985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13400284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2345085</v>
      </c>
      <c r="AD296" s="1">
        <v>0</v>
      </c>
      <c r="AE296" s="1">
        <v>2054989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3452382</v>
      </c>
      <c r="AM296" s="1">
        <v>0</v>
      </c>
      <c r="AN296" s="1">
        <v>73291062</v>
      </c>
      <c r="AO296" s="1">
        <v>9942898</v>
      </c>
      <c r="AP296" s="1">
        <v>63348164</v>
      </c>
      <c r="AQ296" s="1">
        <v>14658212</v>
      </c>
      <c r="AR296" s="1">
        <v>2198732</v>
      </c>
      <c r="AS296" s="1">
        <v>0</v>
      </c>
      <c r="AT296" s="1">
        <f t="shared" si="26"/>
        <v>90148006</v>
      </c>
    </row>
    <row r="297" spans="1:46" x14ac:dyDescent="0.2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11364434</v>
      </c>
      <c r="G297" s="1">
        <v>7619283</v>
      </c>
      <c r="H297" s="1">
        <v>0</v>
      </c>
      <c r="I297" s="1">
        <v>8286683</v>
      </c>
      <c r="J297" s="1">
        <v>0</v>
      </c>
      <c r="K297" s="1">
        <v>4620000</v>
      </c>
      <c r="L297" s="1">
        <v>0</v>
      </c>
      <c r="M297" s="1">
        <v>400000</v>
      </c>
      <c r="N297" s="1">
        <v>2102311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2550756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1501651</v>
      </c>
      <c r="AF297" s="1">
        <v>3333807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2252476</v>
      </c>
      <c r="AM297" s="1">
        <v>0</v>
      </c>
      <c r="AN297" s="1">
        <v>45131401</v>
      </c>
      <c r="AO297" s="1">
        <v>17193132</v>
      </c>
      <c r="AP297" s="1">
        <v>27938269</v>
      </c>
      <c r="AQ297" s="1">
        <v>8359519</v>
      </c>
      <c r="AR297" s="1">
        <v>1253928</v>
      </c>
      <c r="AS297" s="1">
        <v>0</v>
      </c>
      <c r="AT297" s="1">
        <f t="shared" si="26"/>
        <v>54744848</v>
      </c>
    </row>
    <row r="298" spans="1:46" x14ac:dyDescent="0.2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 t="shared" ref="D298:D304" si="30">"قراردادي کارگري"</f>
        <v>قراردادي کارگري</v>
      </c>
      <c r="E298" s="1" t="str">
        <f t="shared" ref="E298:E304" si="31">"پروژه تعميرات نيروگاه بوشهر"</f>
        <v>پروژه تعميرات نيروگاه بوشهر</v>
      </c>
      <c r="F298" s="1">
        <v>4794158</v>
      </c>
      <c r="G298" s="1">
        <v>3633416</v>
      </c>
      <c r="H298" s="1">
        <v>0</v>
      </c>
      <c r="I298" s="1">
        <v>3787385</v>
      </c>
      <c r="J298" s="1">
        <v>0</v>
      </c>
      <c r="K298" s="1">
        <v>0</v>
      </c>
      <c r="L298" s="1">
        <v>5123910</v>
      </c>
      <c r="M298" s="1">
        <v>400000</v>
      </c>
      <c r="N298" s="1">
        <v>2397080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5792336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2415380</v>
      </c>
      <c r="AE298" s="1">
        <v>0</v>
      </c>
      <c r="AF298" s="1">
        <v>3333807</v>
      </c>
      <c r="AG298" s="1">
        <v>0</v>
      </c>
      <c r="AH298" s="1">
        <v>0</v>
      </c>
      <c r="AI298" s="1">
        <v>0</v>
      </c>
      <c r="AJ298" s="1">
        <v>3170981</v>
      </c>
      <c r="AK298" s="1">
        <v>0</v>
      </c>
      <c r="AL298" s="1">
        <v>0</v>
      </c>
      <c r="AM298" s="1">
        <v>0</v>
      </c>
      <c r="AN298" s="1">
        <v>35948453</v>
      </c>
      <c r="AO298" s="1">
        <v>3442640</v>
      </c>
      <c r="AP298" s="1">
        <v>32505813</v>
      </c>
      <c r="AQ298" s="1">
        <v>6522929</v>
      </c>
      <c r="AR298" s="1">
        <v>978439</v>
      </c>
      <c r="AS298" s="1">
        <v>0</v>
      </c>
      <c r="AT298" s="1">
        <f t="shared" si="26"/>
        <v>43449821</v>
      </c>
    </row>
    <row r="299" spans="1:46" x14ac:dyDescent="0.2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5825601</v>
      </c>
      <c r="G299" s="1">
        <v>5868425</v>
      </c>
      <c r="H299" s="1">
        <v>0</v>
      </c>
      <c r="I299" s="1">
        <v>3961409</v>
      </c>
      <c r="J299" s="1">
        <v>0</v>
      </c>
      <c r="K299" s="1">
        <v>0</v>
      </c>
      <c r="L299" s="1">
        <v>3500010</v>
      </c>
      <c r="M299" s="1">
        <v>400000</v>
      </c>
      <c r="N299" s="1">
        <v>3066106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5875032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2452969</v>
      </c>
      <c r="AE299" s="1">
        <v>0</v>
      </c>
      <c r="AF299" s="1">
        <v>2222538</v>
      </c>
      <c r="AG299" s="1">
        <v>0</v>
      </c>
      <c r="AH299" s="1">
        <v>0</v>
      </c>
      <c r="AI299" s="1">
        <v>0</v>
      </c>
      <c r="AJ299" s="1">
        <v>2146167</v>
      </c>
      <c r="AK299" s="1">
        <v>0</v>
      </c>
      <c r="AL299" s="1">
        <v>0</v>
      </c>
      <c r="AM299" s="1">
        <v>0</v>
      </c>
      <c r="AN299" s="1">
        <v>36418257</v>
      </c>
      <c r="AO299" s="1">
        <v>4202339</v>
      </c>
      <c r="AP299" s="1">
        <v>32215918</v>
      </c>
      <c r="AQ299" s="1">
        <v>6839144</v>
      </c>
      <c r="AR299" s="1">
        <v>1025872</v>
      </c>
      <c r="AS299" s="1">
        <v>0</v>
      </c>
      <c r="AT299" s="1">
        <f t="shared" si="26"/>
        <v>44283273</v>
      </c>
    </row>
    <row r="300" spans="1:46" x14ac:dyDescent="0.2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7185781</v>
      </c>
      <c r="G300" s="1">
        <v>1795223</v>
      </c>
      <c r="H300" s="1">
        <v>0</v>
      </c>
      <c r="I300" s="1">
        <v>5030047</v>
      </c>
      <c r="J300" s="1">
        <v>0</v>
      </c>
      <c r="K300" s="1">
        <v>0</v>
      </c>
      <c r="L300" s="1">
        <v>3500010</v>
      </c>
      <c r="M300" s="1">
        <v>400000</v>
      </c>
      <c r="N300" s="1">
        <v>3807037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6921049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2928431</v>
      </c>
      <c r="AE300" s="1">
        <v>0</v>
      </c>
      <c r="AF300" s="1">
        <v>1111269</v>
      </c>
      <c r="AG300" s="1">
        <v>0</v>
      </c>
      <c r="AH300" s="1">
        <v>0</v>
      </c>
      <c r="AI300" s="1">
        <v>0</v>
      </c>
      <c r="AJ300" s="1">
        <v>2553207</v>
      </c>
      <c r="AK300" s="1">
        <v>0</v>
      </c>
      <c r="AL300" s="1">
        <v>0</v>
      </c>
      <c r="AM300" s="1">
        <v>0</v>
      </c>
      <c r="AN300" s="1">
        <v>36332054</v>
      </c>
      <c r="AO300" s="1">
        <v>3658218</v>
      </c>
      <c r="AP300" s="1">
        <v>32673836</v>
      </c>
      <c r="AQ300" s="1">
        <v>7044157</v>
      </c>
      <c r="AR300" s="1">
        <v>1056624</v>
      </c>
      <c r="AS300" s="1">
        <v>0</v>
      </c>
      <c r="AT300" s="1">
        <f t="shared" si="26"/>
        <v>44432835</v>
      </c>
    </row>
    <row r="301" spans="1:46" x14ac:dyDescent="0.2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5651550</v>
      </c>
      <c r="G301" s="1">
        <v>2543426</v>
      </c>
      <c r="H301" s="1">
        <v>0</v>
      </c>
      <c r="I301" s="1">
        <v>4125631</v>
      </c>
      <c r="J301" s="1">
        <v>0</v>
      </c>
      <c r="K301" s="1">
        <v>0</v>
      </c>
      <c r="L301" s="1">
        <v>3500010</v>
      </c>
      <c r="M301" s="1">
        <v>400000</v>
      </c>
      <c r="N301" s="1">
        <v>2974500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7832999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2437754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3488127</v>
      </c>
      <c r="AK301" s="1">
        <v>0</v>
      </c>
      <c r="AL301" s="1">
        <v>0</v>
      </c>
      <c r="AM301" s="1">
        <v>0</v>
      </c>
      <c r="AN301" s="1">
        <v>34053997</v>
      </c>
      <c r="AO301" s="1">
        <v>4048549</v>
      </c>
      <c r="AP301" s="1">
        <v>30005448</v>
      </c>
      <c r="AQ301" s="1">
        <v>6810799</v>
      </c>
      <c r="AR301" s="1">
        <v>1021620</v>
      </c>
      <c r="AS301" s="1">
        <v>0</v>
      </c>
      <c r="AT301" s="1">
        <f t="shared" si="26"/>
        <v>41886416</v>
      </c>
    </row>
    <row r="302" spans="1:46" x14ac:dyDescent="0.2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7921222</v>
      </c>
      <c r="G302" s="1">
        <v>1672036</v>
      </c>
      <c r="H302" s="1">
        <v>0</v>
      </c>
      <c r="I302" s="1">
        <v>5861704</v>
      </c>
      <c r="J302" s="1">
        <v>0</v>
      </c>
      <c r="K302" s="1">
        <v>0</v>
      </c>
      <c r="L302" s="1">
        <v>3500010</v>
      </c>
      <c r="M302" s="1">
        <v>400000</v>
      </c>
      <c r="N302" s="1">
        <v>4224652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10158733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3226138</v>
      </c>
      <c r="AE302" s="1">
        <v>0</v>
      </c>
      <c r="AF302" s="1">
        <v>1111269</v>
      </c>
      <c r="AG302" s="1">
        <v>0</v>
      </c>
      <c r="AH302" s="1">
        <v>0</v>
      </c>
      <c r="AI302" s="1">
        <v>0</v>
      </c>
      <c r="AJ302" s="1">
        <v>3057438</v>
      </c>
      <c r="AK302" s="1">
        <v>0</v>
      </c>
      <c r="AL302" s="1">
        <v>0</v>
      </c>
      <c r="AM302" s="1">
        <v>0</v>
      </c>
      <c r="AN302" s="1">
        <v>42233202</v>
      </c>
      <c r="AO302" s="1">
        <v>8188948</v>
      </c>
      <c r="AP302" s="1">
        <v>34044254</v>
      </c>
      <c r="AQ302" s="1">
        <v>8224387</v>
      </c>
      <c r="AR302" s="1">
        <v>1233658</v>
      </c>
      <c r="AS302" s="1">
        <v>0</v>
      </c>
      <c r="AT302" s="1">
        <f t="shared" si="26"/>
        <v>51691247</v>
      </c>
    </row>
    <row r="303" spans="1:46" x14ac:dyDescent="0.2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6057108</v>
      </c>
      <c r="G303" s="1">
        <v>1217960</v>
      </c>
      <c r="H303" s="1">
        <v>0</v>
      </c>
      <c r="I303" s="1">
        <v>4300547</v>
      </c>
      <c r="J303" s="1">
        <v>0</v>
      </c>
      <c r="K303" s="1">
        <v>0</v>
      </c>
      <c r="L303" s="1">
        <v>3500010</v>
      </c>
      <c r="M303" s="1">
        <v>400000</v>
      </c>
      <c r="N303" s="1">
        <v>3230458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5978544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25784627</v>
      </c>
      <c r="AO303" s="1">
        <v>1961818</v>
      </c>
      <c r="AP303" s="1">
        <v>23822809</v>
      </c>
      <c r="AQ303" s="1">
        <v>5156925</v>
      </c>
      <c r="AR303" s="1">
        <v>773539</v>
      </c>
      <c r="AS303" s="1">
        <v>0</v>
      </c>
      <c r="AT303" s="1">
        <f t="shared" si="26"/>
        <v>31715091</v>
      </c>
    </row>
    <row r="304" spans="1:46" x14ac:dyDescent="0.2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6153429</v>
      </c>
      <c r="G304" s="1">
        <v>974489</v>
      </c>
      <c r="H304" s="1">
        <v>0</v>
      </c>
      <c r="I304" s="1">
        <v>4553537</v>
      </c>
      <c r="J304" s="1">
        <v>0</v>
      </c>
      <c r="K304" s="1">
        <v>0</v>
      </c>
      <c r="L304" s="1">
        <v>3500010</v>
      </c>
      <c r="M304" s="1">
        <v>400000</v>
      </c>
      <c r="N304" s="1">
        <v>3260095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8370805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1111269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29423634</v>
      </c>
      <c r="AO304" s="1">
        <v>2497606</v>
      </c>
      <c r="AP304" s="1">
        <v>26926028</v>
      </c>
      <c r="AQ304" s="1">
        <v>5662473</v>
      </c>
      <c r="AR304" s="1">
        <v>849371</v>
      </c>
      <c r="AS304" s="1">
        <v>0</v>
      </c>
      <c r="AT304" s="1">
        <f t="shared" si="26"/>
        <v>35935478</v>
      </c>
    </row>
    <row r="305" spans="1:46" x14ac:dyDescent="0.2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14343235</v>
      </c>
      <c r="G305" s="1">
        <v>8142347</v>
      </c>
      <c r="H305" s="1">
        <v>0</v>
      </c>
      <c r="I305" s="1">
        <v>12525615</v>
      </c>
      <c r="J305" s="1">
        <v>0</v>
      </c>
      <c r="K305" s="1">
        <v>4620000</v>
      </c>
      <c r="L305" s="1">
        <v>0</v>
      </c>
      <c r="M305" s="1">
        <v>400000</v>
      </c>
      <c r="N305" s="1">
        <v>2737149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18396047</v>
      </c>
      <c r="W305" s="1">
        <v>1100000</v>
      </c>
      <c r="X305" s="1">
        <v>2225674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1955107</v>
      </c>
      <c r="AF305" s="1">
        <v>3333807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10011881</v>
      </c>
      <c r="AM305" s="1">
        <v>0</v>
      </c>
      <c r="AN305" s="1">
        <v>79790862</v>
      </c>
      <c r="AO305" s="1">
        <v>29702337</v>
      </c>
      <c r="AP305" s="1">
        <v>50088525</v>
      </c>
      <c r="AQ305" s="1">
        <v>15039174</v>
      </c>
      <c r="AR305" s="1">
        <v>2255876</v>
      </c>
      <c r="AS305" s="1">
        <v>0</v>
      </c>
      <c r="AT305" s="1">
        <f t="shared" si="26"/>
        <v>97085912</v>
      </c>
    </row>
    <row r="306" spans="1:46" x14ac:dyDescent="0.2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9256444</v>
      </c>
      <c r="G306" s="1">
        <v>2294758</v>
      </c>
      <c r="H306" s="1">
        <v>0</v>
      </c>
      <c r="I306" s="1">
        <v>6207234</v>
      </c>
      <c r="J306" s="1">
        <v>0</v>
      </c>
      <c r="K306" s="1">
        <v>4620000</v>
      </c>
      <c r="L306" s="1">
        <v>0</v>
      </c>
      <c r="M306" s="1">
        <v>400000</v>
      </c>
      <c r="N306" s="1">
        <v>1366428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1342000</v>
      </c>
      <c r="U306" s="1">
        <v>0</v>
      </c>
      <c r="V306" s="1">
        <v>10369118</v>
      </c>
      <c r="W306" s="1">
        <v>1100000</v>
      </c>
      <c r="X306" s="1">
        <v>1436345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976019</v>
      </c>
      <c r="AF306" s="1">
        <v>1111269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5626912</v>
      </c>
      <c r="AM306" s="1">
        <v>0</v>
      </c>
      <c r="AN306" s="1">
        <v>46106527</v>
      </c>
      <c r="AO306" s="1">
        <v>5034874</v>
      </c>
      <c r="AP306" s="1">
        <v>41071653</v>
      </c>
      <c r="AQ306" s="1">
        <v>8730652</v>
      </c>
      <c r="AR306" s="1">
        <v>1309598</v>
      </c>
      <c r="AS306" s="1">
        <v>0</v>
      </c>
      <c r="AT306" s="1">
        <f t="shared" si="26"/>
        <v>56146777</v>
      </c>
    </row>
    <row r="307" spans="1:46" x14ac:dyDescent="0.2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 t="shared" ref="D307:D319" si="32">"قراردادي کارگري"</f>
        <v>قراردادي کارگري</v>
      </c>
      <c r="E307" s="1" t="str">
        <f t="shared" ref="E307:E319" si="33">"پروژه تعميرات نيروگاه بوشهر"</f>
        <v>پروژه تعميرات نيروگاه بوشهر</v>
      </c>
      <c r="F307" s="1">
        <v>6810369</v>
      </c>
      <c r="G307" s="1">
        <v>425333</v>
      </c>
      <c r="H307" s="1">
        <v>0</v>
      </c>
      <c r="I307" s="1">
        <v>5312088</v>
      </c>
      <c r="J307" s="1">
        <v>0</v>
      </c>
      <c r="K307" s="1">
        <v>0</v>
      </c>
      <c r="L307" s="1">
        <v>3345440</v>
      </c>
      <c r="M307" s="1">
        <v>400000</v>
      </c>
      <c r="N307" s="1">
        <v>3632198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9093416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1111269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31230113</v>
      </c>
      <c r="AO307" s="1">
        <v>3401093</v>
      </c>
      <c r="AP307" s="1">
        <v>27829020</v>
      </c>
      <c r="AQ307" s="1">
        <v>6023769</v>
      </c>
      <c r="AR307" s="1">
        <v>903565</v>
      </c>
      <c r="AS307" s="1">
        <v>0</v>
      </c>
      <c r="AT307" s="1">
        <f t="shared" si="26"/>
        <v>38157447</v>
      </c>
    </row>
    <row r="308" spans="1:46" x14ac:dyDescent="0.2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 t="shared" si="32"/>
        <v>قراردادي کارگري</v>
      </c>
      <c r="E308" s="1" t="str">
        <f t="shared" si="33"/>
        <v>پروژه تعميرات نيروگاه بوشهر</v>
      </c>
      <c r="F308" s="1">
        <v>5955096</v>
      </c>
      <c r="G308" s="1">
        <v>6064929</v>
      </c>
      <c r="H308" s="1">
        <v>0</v>
      </c>
      <c r="I308" s="1">
        <v>4406770</v>
      </c>
      <c r="J308" s="1">
        <v>0</v>
      </c>
      <c r="K308" s="1">
        <v>0</v>
      </c>
      <c r="L308" s="1">
        <v>3500010</v>
      </c>
      <c r="M308" s="1">
        <v>400000</v>
      </c>
      <c r="N308" s="1">
        <v>3155017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5955573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30537395</v>
      </c>
      <c r="AO308" s="1">
        <v>3240686</v>
      </c>
      <c r="AP308" s="1">
        <v>27296709</v>
      </c>
      <c r="AQ308" s="1">
        <v>6107479</v>
      </c>
      <c r="AR308" s="1">
        <v>916122</v>
      </c>
      <c r="AS308" s="1">
        <v>0</v>
      </c>
      <c r="AT308" s="1">
        <f t="shared" si="26"/>
        <v>37560996</v>
      </c>
    </row>
    <row r="309" spans="1:46" x14ac:dyDescent="0.2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6061082</v>
      </c>
      <c r="G309" s="1">
        <v>4228423</v>
      </c>
      <c r="H309" s="1">
        <v>0</v>
      </c>
      <c r="I309" s="1">
        <v>5697417</v>
      </c>
      <c r="J309" s="1">
        <v>0</v>
      </c>
      <c r="K309" s="1">
        <v>0</v>
      </c>
      <c r="L309" s="1">
        <v>3964686</v>
      </c>
      <c r="M309" s="1">
        <v>400000</v>
      </c>
      <c r="N309" s="1">
        <v>3190044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6567141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2836984</v>
      </c>
      <c r="AE309" s="1">
        <v>0</v>
      </c>
      <c r="AF309" s="1">
        <v>2222538</v>
      </c>
      <c r="AG309" s="1">
        <v>0</v>
      </c>
      <c r="AH309" s="1">
        <v>0</v>
      </c>
      <c r="AI309" s="1">
        <v>0</v>
      </c>
      <c r="AJ309" s="1">
        <v>3690260</v>
      </c>
      <c r="AK309" s="1">
        <v>0</v>
      </c>
      <c r="AL309" s="1">
        <v>0</v>
      </c>
      <c r="AM309" s="1">
        <v>0</v>
      </c>
      <c r="AN309" s="1">
        <v>39958575</v>
      </c>
      <c r="AO309" s="1">
        <v>4191909</v>
      </c>
      <c r="AP309" s="1">
        <v>35766666</v>
      </c>
      <c r="AQ309" s="1">
        <v>7547207</v>
      </c>
      <c r="AR309" s="1">
        <v>1132081</v>
      </c>
      <c r="AS309" s="1">
        <v>0</v>
      </c>
      <c r="AT309" s="1">
        <f t="shared" si="26"/>
        <v>48637863</v>
      </c>
    </row>
    <row r="310" spans="1:46" x14ac:dyDescent="0.2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9015683</v>
      </c>
      <c r="G310" s="1">
        <v>4169233</v>
      </c>
      <c r="H310" s="1">
        <v>0</v>
      </c>
      <c r="I310" s="1">
        <v>8614642</v>
      </c>
      <c r="J310" s="1">
        <v>0</v>
      </c>
      <c r="K310" s="1">
        <v>0</v>
      </c>
      <c r="L310" s="1">
        <v>3345440</v>
      </c>
      <c r="M310" s="1">
        <v>400000</v>
      </c>
      <c r="N310" s="1">
        <v>4808364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8783006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3867620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3273605</v>
      </c>
      <c r="AK310" s="1">
        <v>0</v>
      </c>
      <c r="AL310" s="1">
        <v>0</v>
      </c>
      <c r="AM310" s="1">
        <v>0</v>
      </c>
      <c r="AN310" s="1">
        <v>49600131</v>
      </c>
      <c r="AO310" s="1">
        <v>8902172</v>
      </c>
      <c r="AP310" s="1">
        <v>40697959</v>
      </c>
      <c r="AQ310" s="1">
        <v>9475519</v>
      </c>
      <c r="AR310" s="1">
        <v>1421327</v>
      </c>
      <c r="AS310" s="1">
        <v>0</v>
      </c>
      <c r="AT310" s="1">
        <f t="shared" si="26"/>
        <v>60496977</v>
      </c>
    </row>
    <row r="311" spans="1:46" x14ac:dyDescent="0.2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6470615</v>
      </c>
      <c r="G311" s="1">
        <v>3004134</v>
      </c>
      <c r="H311" s="1">
        <v>0</v>
      </c>
      <c r="I311" s="1">
        <v>4723549</v>
      </c>
      <c r="J311" s="1">
        <v>0</v>
      </c>
      <c r="K311" s="1">
        <v>0</v>
      </c>
      <c r="L311" s="1">
        <v>3868131</v>
      </c>
      <c r="M311" s="1">
        <v>400000</v>
      </c>
      <c r="N311" s="1">
        <v>3405587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6423516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2770182</v>
      </c>
      <c r="AE311" s="1">
        <v>0</v>
      </c>
      <c r="AF311" s="1">
        <v>3333807</v>
      </c>
      <c r="AG311" s="1">
        <v>0</v>
      </c>
      <c r="AH311" s="1">
        <v>0</v>
      </c>
      <c r="AI311" s="1">
        <v>0</v>
      </c>
      <c r="AJ311" s="1">
        <v>6008269</v>
      </c>
      <c r="AK311" s="1">
        <v>0</v>
      </c>
      <c r="AL311" s="1">
        <v>0</v>
      </c>
      <c r="AM311" s="1">
        <v>0</v>
      </c>
      <c r="AN311" s="1">
        <v>41507790</v>
      </c>
      <c r="AO311" s="1">
        <v>5043548</v>
      </c>
      <c r="AP311" s="1">
        <v>36464242</v>
      </c>
      <c r="AQ311" s="1">
        <v>7634797</v>
      </c>
      <c r="AR311" s="1">
        <v>1145219</v>
      </c>
      <c r="AS311" s="1">
        <v>0</v>
      </c>
      <c r="AT311" s="1">
        <f t="shared" si="26"/>
        <v>50287806</v>
      </c>
    </row>
    <row r="312" spans="1:46" x14ac:dyDescent="0.2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9871147</v>
      </c>
      <c r="G312" s="1">
        <v>7847627</v>
      </c>
      <c r="H312" s="1">
        <v>0</v>
      </c>
      <c r="I312" s="1">
        <v>8291763</v>
      </c>
      <c r="J312" s="1">
        <v>0</v>
      </c>
      <c r="K312" s="1">
        <v>0</v>
      </c>
      <c r="L312" s="1">
        <v>3345440</v>
      </c>
      <c r="M312" s="1">
        <v>400000</v>
      </c>
      <c r="N312" s="1">
        <v>5264612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9101904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4015944</v>
      </c>
      <c r="AE312" s="1">
        <v>0</v>
      </c>
      <c r="AF312" s="1">
        <v>3333807</v>
      </c>
      <c r="AG312" s="1">
        <v>0</v>
      </c>
      <c r="AH312" s="1">
        <v>0</v>
      </c>
      <c r="AI312" s="1">
        <v>0</v>
      </c>
      <c r="AJ312" s="1">
        <v>5195670</v>
      </c>
      <c r="AK312" s="1">
        <v>0</v>
      </c>
      <c r="AL312" s="1">
        <v>0</v>
      </c>
      <c r="AM312" s="1">
        <v>0</v>
      </c>
      <c r="AN312" s="1">
        <v>57767914</v>
      </c>
      <c r="AO312" s="1">
        <v>8089676</v>
      </c>
      <c r="AP312" s="1">
        <v>49678238</v>
      </c>
      <c r="AQ312" s="1">
        <v>10886821</v>
      </c>
      <c r="AR312" s="1">
        <v>1633023</v>
      </c>
      <c r="AS312" s="1">
        <v>0</v>
      </c>
      <c r="AT312" s="1">
        <f t="shared" si="26"/>
        <v>70287758</v>
      </c>
    </row>
    <row r="313" spans="1:46" x14ac:dyDescent="0.2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6895707</v>
      </c>
      <c r="G313" s="1">
        <v>1553096</v>
      </c>
      <c r="H313" s="1">
        <v>0</v>
      </c>
      <c r="I313" s="1">
        <v>5033866</v>
      </c>
      <c r="J313" s="1">
        <v>0</v>
      </c>
      <c r="K313" s="1">
        <v>0</v>
      </c>
      <c r="L313" s="1">
        <v>3500010</v>
      </c>
      <c r="M313" s="1">
        <v>400000</v>
      </c>
      <c r="N313" s="1">
        <v>3677710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6629727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2866094</v>
      </c>
      <c r="AE313" s="1">
        <v>0</v>
      </c>
      <c r="AF313" s="1">
        <v>2222538</v>
      </c>
      <c r="AG313" s="1">
        <v>0</v>
      </c>
      <c r="AH313" s="1">
        <v>0</v>
      </c>
      <c r="AI313" s="1">
        <v>0</v>
      </c>
      <c r="AJ313" s="1">
        <v>1242477</v>
      </c>
      <c r="AK313" s="1">
        <v>0</v>
      </c>
      <c r="AL313" s="1">
        <v>0</v>
      </c>
      <c r="AM313" s="1">
        <v>0</v>
      </c>
      <c r="AN313" s="1">
        <v>35121225</v>
      </c>
      <c r="AO313" s="1">
        <v>5998825</v>
      </c>
      <c r="AP313" s="1">
        <v>29122400</v>
      </c>
      <c r="AQ313" s="1">
        <v>6579737</v>
      </c>
      <c r="AR313" s="1">
        <v>986961</v>
      </c>
      <c r="AS313" s="1">
        <v>0</v>
      </c>
      <c r="AT313" s="1">
        <f t="shared" si="26"/>
        <v>42687923</v>
      </c>
    </row>
    <row r="314" spans="1:46" x14ac:dyDescent="0.2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7618047</v>
      </c>
      <c r="G314" s="1">
        <v>431103</v>
      </c>
      <c r="H314" s="1">
        <v>0</v>
      </c>
      <c r="I314" s="1">
        <v>5637354</v>
      </c>
      <c r="J314" s="1">
        <v>0</v>
      </c>
      <c r="K314" s="1">
        <v>0</v>
      </c>
      <c r="L314" s="1">
        <v>3500010</v>
      </c>
      <c r="M314" s="1">
        <v>400000</v>
      </c>
      <c r="N314" s="1">
        <v>4036052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7784513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32729617</v>
      </c>
      <c r="AO314" s="1">
        <v>2977444</v>
      </c>
      <c r="AP314" s="1">
        <v>29752173</v>
      </c>
      <c r="AQ314" s="1">
        <v>6101416</v>
      </c>
      <c r="AR314" s="1">
        <v>915212</v>
      </c>
      <c r="AS314" s="1">
        <v>0</v>
      </c>
      <c r="AT314" s="1">
        <f t="shared" si="26"/>
        <v>39746245</v>
      </c>
    </row>
    <row r="315" spans="1:46" x14ac:dyDescent="0.2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5646431</v>
      </c>
      <c r="G315" s="1">
        <v>13744505</v>
      </c>
      <c r="H315" s="1">
        <v>0</v>
      </c>
      <c r="I315" s="1">
        <v>4178359</v>
      </c>
      <c r="J315" s="1">
        <v>0</v>
      </c>
      <c r="K315" s="1">
        <v>0</v>
      </c>
      <c r="L315" s="1">
        <v>3500010</v>
      </c>
      <c r="M315" s="1">
        <v>400000</v>
      </c>
      <c r="N315" s="1">
        <v>2971806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3726787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37490436</v>
      </c>
      <c r="AO315" s="1">
        <v>5180138</v>
      </c>
      <c r="AP315" s="1">
        <v>32310298</v>
      </c>
      <c r="AQ315" s="1">
        <v>7053580</v>
      </c>
      <c r="AR315" s="1">
        <v>1058037</v>
      </c>
      <c r="AS315" s="1">
        <v>0</v>
      </c>
      <c r="AT315" s="1">
        <f t="shared" si="26"/>
        <v>45602053</v>
      </c>
    </row>
    <row r="316" spans="1:46" x14ac:dyDescent="0.2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8679396</v>
      </c>
      <c r="G316" s="1">
        <v>3418903</v>
      </c>
      <c r="H316" s="1">
        <v>0</v>
      </c>
      <c r="I316" s="1">
        <v>6422754</v>
      </c>
      <c r="J316" s="1">
        <v>0</v>
      </c>
      <c r="K316" s="1">
        <v>0</v>
      </c>
      <c r="L316" s="1">
        <v>3500010</v>
      </c>
      <c r="M316" s="1">
        <v>400000</v>
      </c>
      <c r="N316" s="1">
        <v>4450972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5816313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1347147</v>
      </c>
      <c r="AD316" s="1">
        <v>0</v>
      </c>
      <c r="AE316" s="1">
        <v>0</v>
      </c>
      <c r="AF316" s="1">
        <v>3333807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38469302</v>
      </c>
      <c r="AO316" s="1">
        <v>6605601</v>
      </c>
      <c r="AP316" s="1">
        <v>31863701</v>
      </c>
      <c r="AQ316" s="1">
        <v>7027099</v>
      </c>
      <c r="AR316" s="1">
        <v>1054065</v>
      </c>
      <c r="AS316" s="1">
        <v>0</v>
      </c>
      <c r="AT316" s="1">
        <f t="shared" si="26"/>
        <v>46550466</v>
      </c>
    </row>
    <row r="317" spans="1:46" x14ac:dyDescent="0.2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7212219</v>
      </c>
      <c r="G317" s="1">
        <v>6885431</v>
      </c>
      <c r="H317" s="1">
        <v>0</v>
      </c>
      <c r="I317" s="1">
        <v>5481286</v>
      </c>
      <c r="J317" s="1">
        <v>0</v>
      </c>
      <c r="K317" s="1">
        <v>0</v>
      </c>
      <c r="L317" s="1">
        <v>3500010</v>
      </c>
      <c r="M317" s="1">
        <v>400000</v>
      </c>
      <c r="N317" s="1">
        <v>3675016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7309681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1347147</v>
      </c>
      <c r="AD317" s="1">
        <v>3292088</v>
      </c>
      <c r="AE317" s="1">
        <v>0</v>
      </c>
      <c r="AF317" s="1">
        <v>2222538</v>
      </c>
      <c r="AG317" s="1">
        <v>0</v>
      </c>
      <c r="AH317" s="1">
        <v>0</v>
      </c>
      <c r="AI317" s="1">
        <v>0</v>
      </c>
      <c r="AJ317" s="1">
        <v>1377086</v>
      </c>
      <c r="AK317" s="1">
        <v>0</v>
      </c>
      <c r="AL317" s="1">
        <v>0</v>
      </c>
      <c r="AM317" s="1">
        <v>0</v>
      </c>
      <c r="AN317" s="1">
        <v>43802502</v>
      </c>
      <c r="AO317" s="1">
        <v>4837688</v>
      </c>
      <c r="AP317" s="1">
        <v>38964814</v>
      </c>
      <c r="AQ317" s="1">
        <v>8315993</v>
      </c>
      <c r="AR317" s="1">
        <v>1247399</v>
      </c>
      <c r="AS317" s="1">
        <v>0</v>
      </c>
      <c r="AT317" s="1">
        <f t="shared" si="26"/>
        <v>53365894</v>
      </c>
    </row>
    <row r="318" spans="1:46" x14ac:dyDescent="0.2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7343644</v>
      </c>
      <c r="G318" s="1">
        <v>1898014</v>
      </c>
      <c r="H318" s="1">
        <v>0</v>
      </c>
      <c r="I318" s="1">
        <v>5728042</v>
      </c>
      <c r="J318" s="1">
        <v>0</v>
      </c>
      <c r="K318" s="1">
        <v>0</v>
      </c>
      <c r="L318" s="1">
        <v>3345440</v>
      </c>
      <c r="M318" s="1">
        <v>400000</v>
      </c>
      <c r="N318" s="1">
        <v>3916610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7624308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31356058</v>
      </c>
      <c r="AO318" s="1">
        <v>2897818</v>
      </c>
      <c r="AP318" s="1">
        <v>28458240</v>
      </c>
      <c r="AQ318" s="1">
        <v>6271212</v>
      </c>
      <c r="AR318" s="1">
        <v>940682</v>
      </c>
      <c r="AS318" s="1">
        <v>0</v>
      </c>
      <c r="AT318" s="1">
        <f t="shared" si="26"/>
        <v>38567952</v>
      </c>
    </row>
    <row r="319" spans="1:46" x14ac:dyDescent="0.2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5956072</v>
      </c>
      <c r="G319" s="1">
        <v>5879331</v>
      </c>
      <c r="H319" s="1">
        <v>0</v>
      </c>
      <c r="I319" s="1">
        <v>4347932</v>
      </c>
      <c r="J319" s="1">
        <v>0</v>
      </c>
      <c r="K319" s="1">
        <v>0</v>
      </c>
      <c r="L319" s="1">
        <v>3500010</v>
      </c>
      <c r="M319" s="1">
        <v>400000</v>
      </c>
      <c r="N319" s="1">
        <v>3176572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5943864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2634919</v>
      </c>
      <c r="AE319" s="1">
        <v>0</v>
      </c>
      <c r="AF319" s="1">
        <v>1111269</v>
      </c>
      <c r="AG319" s="1">
        <v>0</v>
      </c>
      <c r="AH319" s="1">
        <v>0</v>
      </c>
      <c r="AI319" s="1">
        <v>0</v>
      </c>
      <c r="AJ319" s="1">
        <v>4426790</v>
      </c>
      <c r="AK319" s="1">
        <v>0</v>
      </c>
      <c r="AL319" s="1">
        <v>0</v>
      </c>
      <c r="AM319" s="1">
        <v>0</v>
      </c>
      <c r="AN319" s="1">
        <v>38476759</v>
      </c>
      <c r="AO319" s="1">
        <v>5744043</v>
      </c>
      <c r="AP319" s="1">
        <v>32732716</v>
      </c>
      <c r="AQ319" s="1">
        <v>7473098</v>
      </c>
      <c r="AR319" s="1">
        <v>1120965</v>
      </c>
      <c r="AS319" s="1">
        <v>0</v>
      </c>
      <c r="AT319" s="1">
        <f t="shared" si="26"/>
        <v>47070822</v>
      </c>
    </row>
    <row r="320" spans="1:46" x14ac:dyDescent="0.2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16495502</v>
      </c>
      <c r="G320" s="1">
        <v>10321034</v>
      </c>
      <c r="H320" s="1">
        <v>0</v>
      </c>
      <c r="I320" s="1">
        <v>12668868</v>
      </c>
      <c r="J320" s="1">
        <v>0</v>
      </c>
      <c r="K320" s="1">
        <v>5500000</v>
      </c>
      <c r="L320" s="1">
        <v>0</v>
      </c>
      <c r="M320" s="1">
        <v>400000</v>
      </c>
      <c r="N320" s="1">
        <v>2809499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1342000</v>
      </c>
      <c r="U320" s="1">
        <v>0</v>
      </c>
      <c r="V320" s="1">
        <v>17073475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2345085</v>
      </c>
      <c r="AD320" s="1">
        <v>0</v>
      </c>
      <c r="AE320" s="1">
        <v>2006785</v>
      </c>
      <c r="AF320" s="1">
        <v>1111269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3612213</v>
      </c>
      <c r="AM320" s="1">
        <v>0</v>
      </c>
      <c r="AN320" s="1">
        <v>76785730</v>
      </c>
      <c r="AO320" s="1">
        <v>34064805</v>
      </c>
      <c r="AP320" s="1">
        <v>42720925</v>
      </c>
      <c r="AQ320" s="1">
        <v>14866492</v>
      </c>
      <c r="AR320" s="1">
        <v>2229974</v>
      </c>
      <c r="AS320" s="1">
        <v>0</v>
      </c>
      <c r="AT320" s="1">
        <f t="shared" si="26"/>
        <v>93882196</v>
      </c>
    </row>
    <row r="321" spans="1:46" x14ac:dyDescent="0.2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14787899</v>
      </c>
      <c r="G321" s="1">
        <v>7993757</v>
      </c>
      <c r="H321" s="1">
        <v>0</v>
      </c>
      <c r="I321" s="1">
        <v>12397828</v>
      </c>
      <c r="J321" s="1">
        <v>0</v>
      </c>
      <c r="K321" s="1">
        <v>5500000</v>
      </c>
      <c r="L321" s="1">
        <v>0</v>
      </c>
      <c r="M321" s="1">
        <v>400000</v>
      </c>
      <c r="N321" s="1">
        <v>2473112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7572707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1766509</v>
      </c>
      <c r="AF321" s="1">
        <v>1111269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3391696</v>
      </c>
      <c r="AM321" s="1">
        <v>0</v>
      </c>
      <c r="AN321" s="1">
        <v>58494777</v>
      </c>
      <c r="AO321" s="1">
        <v>12618278</v>
      </c>
      <c r="AP321" s="1">
        <v>45876499</v>
      </c>
      <c r="AQ321" s="1">
        <v>11476702</v>
      </c>
      <c r="AR321" s="1">
        <v>1721505</v>
      </c>
      <c r="AS321" s="1">
        <v>0</v>
      </c>
      <c r="AT321" s="1">
        <f t="shared" si="26"/>
        <v>71692984</v>
      </c>
    </row>
    <row r="322" spans="1:46" x14ac:dyDescent="0.2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15247407</v>
      </c>
      <c r="G322" s="1">
        <v>1555966</v>
      </c>
      <c r="H322" s="1">
        <v>0</v>
      </c>
      <c r="I322" s="1">
        <v>12285479</v>
      </c>
      <c r="J322" s="1">
        <v>0</v>
      </c>
      <c r="K322" s="1">
        <v>4125000</v>
      </c>
      <c r="L322" s="1">
        <v>0</v>
      </c>
      <c r="M322" s="1">
        <v>400000</v>
      </c>
      <c r="N322" s="1">
        <v>2626218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6218955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1875870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3001391</v>
      </c>
      <c r="AM322" s="1">
        <v>0</v>
      </c>
      <c r="AN322" s="1">
        <v>48436286</v>
      </c>
      <c r="AO322" s="1">
        <v>25077304</v>
      </c>
      <c r="AP322" s="1">
        <v>23358982</v>
      </c>
      <c r="AQ322" s="1">
        <v>9687257</v>
      </c>
      <c r="AR322" s="1">
        <v>1453089</v>
      </c>
      <c r="AS322" s="1">
        <v>0</v>
      </c>
      <c r="AT322" s="1">
        <f t="shared" si="26"/>
        <v>59576632</v>
      </c>
    </row>
    <row r="323" spans="1:46" x14ac:dyDescent="0.2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14509154</v>
      </c>
      <c r="G323" s="1">
        <v>0</v>
      </c>
      <c r="H323" s="1">
        <v>0</v>
      </c>
      <c r="I323" s="1">
        <v>11245983</v>
      </c>
      <c r="J323" s="1">
        <v>0</v>
      </c>
      <c r="K323" s="1">
        <v>4125000</v>
      </c>
      <c r="L323" s="1">
        <v>0</v>
      </c>
      <c r="M323" s="1">
        <v>400000</v>
      </c>
      <c r="N323" s="1">
        <v>2348389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5762506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1677421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2683873</v>
      </c>
      <c r="AM323" s="1">
        <v>0</v>
      </c>
      <c r="AN323" s="1">
        <v>43852326</v>
      </c>
      <c r="AO323" s="1">
        <v>20511198</v>
      </c>
      <c r="AP323" s="1">
        <v>23341128</v>
      </c>
      <c r="AQ323" s="1">
        <v>8770465</v>
      </c>
      <c r="AR323" s="1">
        <v>1315570</v>
      </c>
      <c r="AS323" s="1">
        <v>0</v>
      </c>
      <c r="AT323" s="1">
        <f t="shared" ref="AT323:AT386" si="34">AS323+AR323+AQ323+AN323</f>
        <v>53938361</v>
      </c>
    </row>
    <row r="324" spans="1:46" x14ac:dyDescent="0.2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 t="shared" ref="D324:D334" si="35">"قراردادي کارگري"</f>
        <v>قراردادي کارگري</v>
      </c>
      <c r="E324" s="1" t="str">
        <f t="shared" ref="E324:E335" si="36">"پروژه تعميرات نيروگاه بوشهر"</f>
        <v>پروژه تعميرات نيروگاه بوشهر</v>
      </c>
      <c r="F324" s="1">
        <v>7353603</v>
      </c>
      <c r="G324" s="1">
        <v>3132345</v>
      </c>
      <c r="H324" s="1">
        <v>0</v>
      </c>
      <c r="I324" s="1">
        <v>5368129</v>
      </c>
      <c r="J324" s="1">
        <v>0</v>
      </c>
      <c r="K324" s="1">
        <v>0</v>
      </c>
      <c r="L324" s="1">
        <v>3500010</v>
      </c>
      <c r="M324" s="1">
        <v>400000</v>
      </c>
      <c r="N324" s="1">
        <v>3895948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9543703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3017653</v>
      </c>
      <c r="AE324" s="1">
        <v>0</v>
      </c>
      <c r="AF324" s="1">
        <v>3333807</v>
      </c>
      <c r="AG324" s="1">
        <v>0</v>
      </c>
      <c r="AH324" s="1">
        <v>0</v>
      </c>
      <c r="AI324" s="1">
        <v>0</v>
      </c>
      <c r="AJ324" s="1">
        <v>2863859</v>
      </c>
      <c r="AK324" s="1">
        <v>0</v>
      </c>
      <c r="AL324" s="1">
        <v>0</v>
      </c>
      <c r="AM324" s="1">
        <v>0</v>
      </c>
      <c r="AN324" s="1">
        <v>43509057</v>
      </c>
      <c r="AO324" s="1">
        <v>5722822</v>
      </c>
      <c r="AP324" s="1">
        <v>37786235</v>
      </c>
      <c r="AQ324" s="1">
        <v>8035050</v>
      </c>
      <c r="AR324" s="1">
        <v>1205258</v>
      </c>
      <c r="AS324" s="1">
        <v>0</v>
      </c>
      <c r="AT324" s="1">
        <f t="shared" si="34"/>
        <v>52749365</v>
      </c>
    </row>
    <row r="325" spans="1:46" x14ac:dyDescent="0.2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 t="shared" si="35"/>
        <v>قراردادي کارگري</v>
      </c>
      <c r="E325" s="1" t="str">
        <f t="shared" si="36"/>
        <v>پروژه تعميرات نيروگاه بوشهر</v>
      </c>
      <c r="F325" s="1">
        <v>5753933</v>
      </c>
      <c r="G325" s="1">
        <v>1468084</v>
      </c>
      <c r="H325" s="1">
        <v>0</v>
      </c>
      <c r="I325" s="1">
        <v>4200371</v>
      </c>
      <c r="J325" s="1">
        <v>0</v>
      </c>
      <c r="K325" s="1">
        <v>0</v>
      </c>
      <c r="L325" s="1">
        <v>3500010</v>
      </c>
      <c r="M325" s="1">
        <v>400000</v>
      </c>
      <c r="N325" s="1">
        <v>3028386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7845556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2472405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2348935</v>
      </c>
      <c r="AK325" s="1">
        <v>0</v>
      </c>
      <c r="AL325" s="1">
        <v>0</v>
      </c>
      <c r="AM325" s="1">
        <v>0</v>
      </c>
      <c r="AN325" s="1">
        <v>32117680</v>
      </c>
      <c r="AO325" s="1">
        <v>3025770</v>
      </c>
      <c r="AP325" s="1">
        <v>29091910</v>
      </c>
      <c r="AQ325" s="1">
        <v>6423536</v>
      </c>
      <c r="AR325" s="1">
        <v>963530</v>
      </c>
      <c r="AS325" s="1">
        <v>0</v>
      </c>
      <c r="AT325" s="1">
        <f t="shared" si="34"/>
        <v>39504746</v>
      </c>
    </row>
    <row r="326" spans="1:46" x14ac:dyDescent="0.2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5851197</v>
      </c>
      <c r="G326" s="1">
        <v>1850594</v>
      </c>
      <c r="H326" s="1">
        <v>0</v>
      </c>
      <c r="I326" s="1">
        <v>3978814</v>
      </c>
      <c r="J326" s="1">
        <v>0</v>
      </c>
      <c r="K326" s="1">
        <v>0</v>
      </c>
      <c r="L326" s="1">
        <v>3500010</v>
      </c>
      <c r="M326" s="1">
        <v>400000</v>
      </c>
      <c r="N326" s="1">
        <v>3079578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5893667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2461440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2153419</v>
      </c>
      <c r="AK326" s="1">
        <v>0</v>
      </c>
      <c r="AL326" s="1">
        <v>0</v>
      </c>
      <c r="AM326" s="1">
        <v>0</v>
      </c>
      <c r="AN326" s="1">
        <v>30268719</v>
      </c>
      <c r="AO326" s="1">
        <v>3322638</v>
      </c>
      <c r="AP326" s="1">
        <v>26946081</v>
      </c>
      <c r="AQ326" s="1">
        <v>6053744</v>
      </c>
      <c r="AR326" s="1">
        <v>908062</v>
      </c>
      <c r="AS326" s="1">
        <v>0</v>
      </c>
      <c r="AT326" s="1">
        <f t="shared" si="34"/>
        <v>37230525</v>
      </c>
    </row>
    <row r="327" spans="1:46" x14ac:dyDescent="0.2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6987448</v>
      </c>
      <c r="G327" s="1">
        <v>5076893</v>
      </c>
      <c r="H327" s="1">
        <v>0</v>
      </c>
      <c r="I327" s="1">
        <v>5030963</v>
      </c>
      <c r="J327" s="1">
        <v>0</v>
      </c>
      <c r="K327" s="1">
        <v>0</v>
      </c>
      <c r="L327" s="1">
        <v>3500010</v>
      </c>
      <c r="M327" s="1">
        <v>400000</v>
      </c>
      <c r="N327" s="1">
        <v>3701959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6666197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2883057</v>
      </c>
      <c r="AE327" s="1">
        <v>0</v>
      </c>
      <c r="AF327" s="1">
        <v>3333807</v>
      </c>
      <c r="AG327" s="1">
        <v>0</v>
      </c>
      <c r="AH327" s="1">
        <v>0</v>
      </c>
      <c r="AI327" s="1">
        <v>0</v>
      </c>
      <c r="AJ327" s="1">
        <v>3749090</v>
      </c>
      <c r="AK327" s="1">
        <v>0</v>
      </c>
      <c r="AL327" s="1">
        <v>0</v>
      </c>
      <c r="AM327" s="1">
        <v>0</v>
      </c>
      <c r="AN327" s="1">
        <v>42429424</v>
      </c>
      <c r="AO327" s="1">
        <v>5237668</v>
      </c>
      <c r="AP327" s="1">
        <v>37191756</v>
      </c>
      <c r="AQ327" s="1">
        <v>7819123</v>
      </c>
      <c r="AR327" s="1">
        <v>1172869</v>
      </c>
      <c r="AS327" s="1">
        <v>0</v>
      </c>
      <c r="AT327" s="1">
        <f t="shared" si="34"/>
        <v>51421416</v>
      </c>
    </row>
    <row r="328" spans="1:46" x14ac:dyDescent="0.2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9406452</v>
      </c>
      <c r="G328" s="1">
        <v>7569278</v>
      </c>
      <c r="H328" s="1">
        <v>0</v>
      </c>
      <c r="I328" s="1">
        <v>8371742</v>
      </c>
      <c r="J328" s="1">
        <v>0</v>
      </c>
      <c r="K328" s="1">
        <v>0</v>
      </c>
      <c r="L328" s="1">
        <v>3500010</v>
      </c>
      <c r="M328" s="1">
        <v>400000</v>
      </c>
      <c r="N328" s="1">
        <v>5016774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5063458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2222538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42650252</v>
      </c>
      <c r="AO328" s="1">
        <v>4644110</v>
      </c>
      <c r="AP328" s="1">
        <v>38006142</v>
      </c>
      <c r="AQ328" s="1">
        <v>8085543</v>
      </c>
      <c r="AR328" s="1">
        <v>1212831</v>
      </c>
      <c r="AS328" s="1">
        <v>0</v>
      </c>
      <c r="AT328" s="1">
        <f t="shared" si="34"/>
        <v>51948626</v>
      </c>
    </row>
    <row r="329" spans="1:46" x14ac:dyDescent="0.2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7201037</v>
      </c>
      <c r="G329" s="1">
        <v>3212435</v>
      </c>
      <c r="H329" s="1">
        <v>0</v>
      </c>
      <c r="I329" s="1">
        <v>5256758</v>
      </c>
      <c r="J329" s="1">
        <v>0</v>
      </c>
      <c r="K329" s="1">
        <v>0</v>
      </c>
      <c r="L329" s="1">
        <v>3500010</v>
      </c>
      <c r="M329" s="1">
        <v>400000</v>
      </c>
      <c r="N329" s="1">
        <v>3815119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6844393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2965939</v>
      </c>
      <c r="AE329" s="1">
        <v>0</v>
      </c>
      <c r="AF329" s="1">
        <v>4445076</v>
      </c>
      <c r="AG329" s="1">
        <v>0</v>
      </c>
      <c r="AH329" s="1">
        <v>0</v>
      </c>
      <c r="AI329" s="1">
        <v>0</v>
      </c>
      <c r="AJ329" s="1">
        <v>3854922</v>
      </c>
      <c r="AK329" s="1">
        <v>0</v>
      </c>
      <c r="AL329" s="1">
        <v>0</v>
      </c>
      <c r="AM329" s="1">
        <v>0</v>
      </c>
      <c r="AN329" s="1">
        <v>42595689</v>
      </c>
      <c r="AO329" s="1">
        <v>5210299</v>
      </c>
      <c r="AP329" s="1">
        <v>37385390</v>
      </c>
      <c r="AQ329" s="1">
        <v>7630123</v>
      </c>
      <c r="AR329" s="1">
        <v>1144518</v>
      </c>
      <c r="AS329" s="1">
        <v>0</v>
      </c>
      <c r="AT329" s="1">
        <f t="shared" si="34"/>
        <v>51370330</v>
      </c>
    </row>
    <row r="330" spans="1:46" x14ac:dyDescent="0.2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10221108</v>
      </c>
      <c r="G330" s="1">
        <v>5724390</v>
      </c>
      <c r="H330" s="1">
        <v>0</v>
      </c>
      <c r="I330" s="1">
        <v>8176886</v>
      </c>
      <c r="J330" s="1">
        <v>0</v>
      </c>
      <c r="K330" s="1">
        <v>0</v>
      </c>
      <c r="L330" s="1">
        <v>3345440</v>
      </c>
      <c r="M330" s="1">
        <v>400000</v>
      </c>
      <c r="N330" s="1">
        <v>5451258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5800550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1111269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41330901</v>
      </c>
      <c r="AO330" s="1">
        <v>8164785</v>
      </c>
      <c r="AP330" s="1">
        <v>33166116</v>
      </c>
      <c r="AQ330" s="1">
        <v>8043926</v>
      </c>
      <c r="AR330" s="1">
        <v>1206589</v>
      </c>
      <c r="AS330" s="1">
        <v>0</v>
      </c>
      <c r="AT330" s="1">
        <f t="shared" si="34"/>
        <v>50581416</v>
      </c>
    </row>
    <row r="331" spans="1:46" x14ac:dyDescent="0.2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9565785</v>
      </c>
      <c r="G331" s="1">
        <v>11846995</v>
      </c>
      <c r="H331" s="1">
        <v>0</v>
      </c>
      <c r="I331" s="1">
        <v>7078682</v>
      </c>
      <c r="J331" s="1">
        <v>0</v>
      </c>
      <c r="K331" s="1">
        <v>0</v>
      </c>
      <c r="L331" s="1">
        <v>3500010</v>
      </c>
      <c r="M331" s="1">
        <v>400000</v>
      </c>
      <c r="N331" s="1">
        <v>5067966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6199018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2222538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46980994</v>
      </c>
      <c r="AO331" s="1">
        <v>5371675</v>
      </c>
      <c r="AP331" s="1">
        <v>41609319</v>
      </c>
      <c r="AQ331" s="1">
        <v>8951691</v>
      </c>
      <c r="AR331" s="1">
        <v>1342754</v>
      </c>
      <c r="AS331" s="1">
        <v>0</v>
      </c>
      <c r="AT331" s="1">
        <f t="shared" si="34"/>
        <v>57275439</v>
      </c>
    </row>
    <row r="332" spans="1:46" x14ac:dyDescent="0.2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8271321</v>
      </c>
      <c r="G332" s="1">
        <v>6353202</v>
      </c>
      <c r="H332" s="1">
        <v>0</v>
      </c>
      <c r="I332" s="1">
        <v>7775041</v>
      </c>
      <c r="J332" s="1">
        <v>0</v>
      </c>
      <c r="K332" s="1">
        <v>0</v>
      </c>
      <c r="L332" s="1">
        <v>3345440</v>
      </c>
      <c r="M332" s="1">
        <v>400000</v>
      </c>
      <c r="N332" s="1">
        <v>4411372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5240033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1111269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38007678</v>
      </c>
      <c r="AO332" s="1">
        <v>7626642</v>
      </c>
      <c r="AP332" s="1">
        <v>30381036</v>
      </c>
      <c r="AQ332" s="1">
        <v>7379282</v>
      </c>
      <c r="AR332" s="1">
        <v>1106892</v>
      </c>
      <c r="AS332" s="1">
        <v>0</v>
      </c>
      <c r="AT332" s="1">
        <f t="shared" si="34"/>
        <v>46493852</v>
      </c>
    </row>
    <row r="333" spans="1:46" x14ac:dyDescent="0.2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9808979</v>
      </c>
      <c r="G333" s="1">
        <v>18285080</v>
      </c>
      <c r="H333" s="1">
        <v>0</v>
      </c>
      <c r="I333" s="1">
        <v>7356735</v>
      </c>
      <c r="J333" s="1">
        <v>0</v>
      </c>
      <c r="K333" s="1">
        <v>0</v>
      </c>
      <c r="L333" s="1">
        <v>3500010</v>
      </c>
      <c r="M333" s="1">
        <v>400000</v>
      </c>
      <c r="N333" s="1">
        <v>5030245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6624650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1347147</v>
      </c>
      <c r="AD333" s="1">
        <v>0</v>
      </c>
      <c r="AE333" s="1">
        <v>0</v>
      </c>
      <c r="AF333" s="1">
        <v>3333807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56786653</v>
      </c>
      <c r="AO333" s="1">
        <v>9165237</v>
      </c>
      <c r="AP333" s="1">
        <v>47621416</v>
      </c>
      <c r="AQ333" s="1">
        <v>10690569</v>
      </c>
      <c r="AR333" s="1">
        <v>1603585</v>
      </c>
      <c r="AS333" s="1">
        <v>0</v>
      </c>
      <c r="AT333" s="1">
        <f t="shared" si="34"/>
        <v>69080807</v>
      </c>
    </row>
    <row r="334" spans="1:46" x14ac:dyDescent="0.2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5871674</v>
      </c>
      <c r="G334" s="1">
        <v>5211100</v>
      </c>
      <c r="H334" s="1">
        <v>0</v>
      </c>
      <c r="I334" s="1">
        <v>3934021</v>
      </c>
      <c r="J334" s="1">
        <v>0</v>
      </c>
      <c r="K334" s="1">
        <v>0</v>
      </c>
      <c r="L334" s="1">
        <v>3500010</v>
      </c>
      <c r="M334" s="1">
        <v>400000</v>
      </c>
      <c r="N334" s="1">
        <v>3090354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5889199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2459409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3227520</v>
      </c>
      <c r="AK334" s="1">
        <v>0</v>
      </c>
      <c r="AL334" s="1">
        <v>0</v>
      </c>
      <c r="AM334" s="1">
        <v>0</v>
      </c>
      <c r="AN334" s="1">
        <v>38017094</v>
      </c>
      <c r="AO334" s="1">
        <v>3790173</v>
      </c>
      <c r="AP334" s="1">
        <v>34226921</v>
      </c>
      <c r="AQ334" s="1">
        <v>6936657</v>
      </c>
      <c r="AR334" s="1">
        <v>1040499</v>
      </c>
      <c r="AS334" s="1">
        <v>0</v>
      </c>
      <c r="AT334" s="1">
        <f t="shared" si="34"/>
        <v>45994250</v>
      </c>
    </row>
    <row r="335" spans="1:46" x14ac:dyDescent="0.2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"قراردادي بهره بردار"</f>
        <v>قراردادي بهره بردار</v>
      </c>
      <c r="E335" s="1" t="str">
        <f t="shared" si="36"/>
        <v>پروژه تعميرات نيروگاه بوشهر</v>
      </c>
      <c r="F335" s="1">
        <v>19644864</v>
      </c>
      <c r="G335" s="1">
        <v>23757802</v>
      </c>
      <c r="H335" s="1">
        <v>0</v>
      </c>
      <c r="I335" s="1">
        <v>23221856</v>
      </c>
      <c r="J335" s="1">
        <v>0</v>
      </c>
      <c r="K335" s="1">
        <v>5500000</v>
      </c>
      <c r="L335" s="1">
        <v>0</v>
      </c>
      <c r="M335" s="1">
        <v>400000</v>
      </c>
      <c r="N335" s="1">
        <v>2828954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5402411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3074667</v>
      </c>
      <c r="AD335" s="1">
        <v>0</v>
      </c>
      <c r="AE335" s="1">
        <v>2020681</v>
      </c>
      <c r="AF335" s="1">
        <v>1111269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3233090</v>
      </c>
      <c r="AM335" s="1">
        <v>0</v>
      </c>
      <c r="AN335" s="1">
        <v>91295594</v>
      </c>
      <c r="AO335" s="1">
        <v>35447470</v>
      </c>
      <c r="AP335" s="1">
        <v>55848124</v>
      </c>
      <c r="AQ335" s="1">
        <v>15039174</v>
      </c>
      <c r="AR335" s="1">
        <v>2255876</v>
      </c>
      <c r="AS335" s="1">
        <v>0</v>
      </c>
      <c r="AT335" s="1">
        <f t="shared" si="34"/>
        <v>108590644</v>
      </c>
    </row>
    <row r="336" spans="1:46" x14ac:dyDescent="0.2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"قراردادي بهره بردار"</f>
        <v>قراردادي بهره بردار</v>
      </c>
      <c r="E336" s="1" t="str">
        <f>"پروژه بهره برداري نيروگاه بوشهر"</f>
        <v>پروژه بهره برداري نيروگاه بوشهر</v>
      </c>
      <c r="F336" s="1">
        <v>17808749</v>
      </c>
      <c r="G336" s="1">
        <v>18035786</v>
      </c>
      <c r="H336" s="1">
        <v>0</v>
      </c>
      <c r="I336" s="1">
        <v>14973095</v>
      </c>
      <c r="J336" s="1">
        <v>0</v>
      </c>
      <c r="K336" s="1">
        <v>5500000</v>
      </c>
      <c r="L336" s="1">
        <v>0</v>
      </c>
      <c r="M336" s="1">
        <v>400000</v>
      </c>
      <c r="N336" s="1">
        <v>2528610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1342000</v>
      </c>
      <c r="U336" s="1">
        <v>0</v>
      </c>
      <c r="V336" s="1">
        <v>10577550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1806150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3178823</v>
      </c>
      <c r="AM336" s="1">
        <v>0</v>
      </c>
      <c r="AN336" s="1">
        <v>77250763</v>
      </c>
      <c r="AO336" s="1">
        <v>12662453</v>
      </c>
      <c r="AP336" s="1">
        <v>64588310</v>
      </c>
      <c r="AQ336" s="1">
        <v>15039174</v>
      </c>
      <c r="AR336" s="1">
        <v>2255876</v>
      </c>
      <c r="AS336" s="1">
        <v>0</v>
      </c>
      <c r="AT336" s="1">
        <f t="shared" si="34"/>
        <v>94545813</v>
      </c>
    </row>
    <row r="337" spans="1:46" x14ac:dyDescent="0.2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7115629</v>
      </c>
      <c r="G337" s="1">
        <v>0</v>
      </c>
      <c r="H337" s="1">
        <v>0</v>
      </c>
      <c r="I337" s="1">
        <v>5194408</v>
      </c>
      <c r="J337" s="1">
        <v>0</v>
      </c>
      <c r="K337" s="1">
        <v>0</v>
      </c>
      <c r="L337" s="1">
        <v>3500010</v>
      </c>
      <c r="M337" s="1">
        <v>400000</v>
      </c>
      <c r="N337" s="1">
        <v>3745068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2100512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23155627</v>
      </c>
      <c r="AO337" s="1">
        <v>2137591</v>
      </c>
      <c r="AP337" s="1">
        <v>21018036</v>
      </c>
      <c r="AQ337" s="1">
        <v>4631125</v>
      </c>
      <c r="AR337" s="1">
        <v>694669</v>
      </c>
      <c r="AS337" s="1">
        <v>0</v>
      </c>
      <c r="AT337" s="1">
        <f t="shared" si="34"/>
        <v>28481421</v>
      </c>
    </row>
    <row r="338" spans="1:46" x14ac:dyDescent="0.2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5807616</v>
      </c>
      <c r="G338" s="1">
        <v>5948052</v>
      </c>
      <c r="H338" s="1">
        <v>0</v>
      </c>
      <c r="I338" s="1">
        <v>4297637</v>
      </c>
      <c r="J338" s="1">
        <v>0</v>
      </c>
      <c r="K338" s="1">
        <v>0</v>
      </c>
      <c r="L338" s="1">
        <v>3500010</v>
      </c>
      <c r="M338" s="1">
        <v>400000</v>
      </c>
      <c r="N338" s="1">
        <v>3076883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5847617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29977815</v>
      </c>
      <c r="AO338" s="1">
        <v>2666273</v>
      </c>
      <c r="AP338" s="1">
        <v>27311542</v>
      </c>
      <c r="AQ338" s="1">
        <v>5995563</v>
      </c>
      <c r="AR338" s="1">
        <v>899334</v>
      </c>
      <c r="AS338" s="1">
        <v>0</v>
      </c>
      <c r="AT338" s="1">
        <f t="shared" si="34"/>
        <v>36872712</v>
      </c>
    </row>
    <row r="339" spans="1:46" x14ac:dyDescent="0.2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"قراردادي بهره بردار"</f>
        <v>قراردادي بهره بردار</v>
      </c>
      <c r="E339" s="1" t="str">
        <f>"پروژه بهره برداري نيروگاه بوشهر"</f>
        <v>پروژه بهره برداري نيروگاه بوشهر</v>
      </c>
      <c r="F339" s="1">
        <v>10705172</v>
      </c>
      <c r="G339" s="1">
        <v>5839780</v>
      </c>
      <c r="H339" s="1">
        <v>0</v>
      </c>
      <c r="I339" s="1">
        <v>8600983</v>
      </c>
      <c r="J339" s="1">
        <v>0</v>
      </c>
      <c r="K339" s="1">
        <v>4620000</v>
      </c>
      <c r="L339" s="1">
        <v>0</v>
      </c>
      <c r="M339" s="1">
        <v>400000</v>
      </c>
      <c r="N339" s="1">
        <v>1661728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1342000</v>
      </c>
      <c r="U339" s="1">
        <v>0</v>
      </c>
      <c r="V339" s="1">
        <v>6438792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1186949</v>
      </c>
      <c r="AF339" s="1">
        <v>1111269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2373897</v>
      </c>
      <c r="AM339" s="1">
        <v>0</v>
      </c>
      <c r="AN339" s="1">
        <v>45380570</v>
      </c>
      <c r="AO339" s="1">
        <v>7109670</v>
      </c>
      <c r="AP339" s="1">
        <v>38270900</v>
      </c>
      <c r="AQ339" s="1">
        <v>8585460</v>
      </c>
      <c r="AR339" s="1">
        <v>1287819</v>
      </c>
      <c r="AS339" s="1">
        <v>0</v>
      </c>
      <c r="AT339" s="1">
        <f t="shared" si="34"/>
        <v>55253849</v>
      </c>
    </row>
    <row r="340" spans="1:46" x14ac:dyDescent="0.2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8027310</v>
      </c>
      <c r="G340" s="1">
        <v>7496580</v>
      </c>
      <c r="H340" s="1">
        <v>0</v>
      </c>
      <c r="I340" s="1">
        <v>5940209</v>
      </c>
      <c r="J340" s="1">
        <v>0</v>
      </c>
      <c r="K340" s="1">
        <v>0</v>
      </c>
      <c r="L340" s="1">
        <v>3500010</v>
      </c>
      <c r="M340" s="1">
        <v>400000</v>
      </c>
      <c r="N340" s="1">
        <v>4281232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7481601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3262314</v>
      </c>
      <c r="AE340" s="1">
        <v>0</v>
      </c>
      <c r="AF340" s="1">
        <v>2222538</v>
      </c>
      <c r="AG340" s="1">
        <v>0</v>
      </c>
      <c r="AH340" s="1">
        <v>0</v>
      </c>
      <c r="AI340" s="1">
        <v>0</v>
      </c>
      <c r="AJ340" s="1">
        <v>4233363</v>
      </c>
      <c r="AK340" s="1">
        <v>0</v>
      </c>
      <c r="AL340" s="1">
        <v>0</v>
      </c>
      <c r="AM340" s="1">
        <v>0</v>
      </c>
      <c r="AN340" s="1">
        <v>47945157</v>
      </c>
      <c r="AO340" s="1">
        <v>5533654</v>
      </c>
      <c r="AP340" s="1">
        <v>42411503</v>
      </c>
      <c r="AQ340" s="1">
        <v>9144524</v>
      </c>
      <c r="AR340" s="1">
        <v>1371679</v>
      </c>
      <c r="AS340" s="1">
        <v>0</v>
      </c>
      <c r="AT340" s="1">
        <f t="shared" si="34"/>
        <v>58461360</v>
      </c>
    </row>
    <row r="341" spans="1:46" x14ac:dyDescent="0.2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14175732</v>
      </c>
      <c r="G341" s="1">
        <v>9698183</v>
      </c>
      <c r="H341" s="1">
        <v>0</v>
      </c>
      <c r="I341" s="1">
        <v>10837163</v>
      </c>
      <c r="J341" s="1">
        <v>0</v>
      </c>
      <c r="K341" s="1">
        <v>0</v>
      </c>
      <c r="L341" s="1">
        <v>0</v>
      </c>
      <c r="M341" s="1">
        <v>400000</v>
      </c>
      <c r="N341" s="1">
        <v>2229028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6433217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1592163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2547461</v>
      </c>
      <c r="AM341" s="1">
        <v>0</v>
      </c>
      <c r="AN341" s="1">
        <v>49012947</v>
      </c>
      <c r="AO341" s="1">
        <v>26643386</v>
      </c>
      <c r="AP341" s="1">
        <v>22369561</v>
      </c>
      <c r="AQ341" s="1">
        <v>9802589</v>
      </c>
      <c r="AR341" s="1">
        <v>1470388</v>
      </c>
      <c r="AS341" s="1">
        <v>0</v>
      </c>
      <c r="AT341" s="1">
        <f t="shared" si="34"/>
        <v>60285924</v>
      </c>
    </row>
    <row r="342" spans="1:46" x14ac:dyDescent="0.2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6204284</v>
      </c>
      <c r="G342" s="1">
        <v>7402753</v>
      </c>
      <c r="H342" s="1">
        <v>0</v>
      </c>
      <c r="I342" s="1">
        <v>4467085</v>
      </c>
      <c r="J342" s="1">
        <v>0</v>
      </c>
      <c r="K342" s="1">
        <v>0</v>
      </c>
      <c r="L342" s="1">
        <v>3500010</v>
      </c>
      <c r="M342" s="1">
        <v>400000</v>
      </c>
      <c r="N342" s="1">
        <v>3287038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3876225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30237395</v>
      </c>
      <c r="AO342" s="1">
        <v>4278257</v>
      </c>
      <c r="AP342" s="1">
        <v>25959138</v>
      </c>
      <c r="AQ342" s="1">
        <v>6047479</v>
      </c>
      <c r="AR342" s="1">
        <v>907122</v>
      </c>
      <c r="AS342" s="1">
        <v>0</v>
      </c>
      <c r="AT342" s="1">
        <f t="shared" si="34"/>
        <v>37191996</v>
      </c>
    </row>
    <row r="343" spans="1:46" x14ac:dyDescent="0.2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6547403</v>
      </c>
      <c r="G343" s="1">
        <v>12485682</v>
      </c>
      <c r="H343" s="1">
        <v>0</v>
      </c>
      <c r="I343" s="1">
        <v>4779604</v>
      </c>
      <c r="J343" s="1">
        <v>0</v>
      </c>
      <c r="K343" s="1">
        <v>0</v>
      </c>
      <c r="L343" s="1">
        <v>3974934</v>
      </c>
      <c r="M343" s="1">
        <v>400000</v>
      </c>
      <c r="N343" s="1">
        <v>3446001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4241568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36975192</v>
      </c>
      <c r="AO343" s="1">
        <v>5667937</v>
      </c>
      <c r="AP343" s="1">
        <v>31307255</v>
      </c>
      <c r="AQ343" s="1">
        <v>7395038</v>
      </c>
      <c r="AR343" s="1">
        <v>1109256</v>
      </c>
      <c r="AS343" s="1">
        <v>0</v>
      </c>
      <c r="AT343" s="1">
        <f t="shared" si="34"/>
        <v>45479486</v>
      </c>
    </row>
    <row r="344" spans="1:46" x14ac:dyDescent="0.2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16743803</v>
      </c>
      <c r="G344" s="1">
        <v>4934120</v>
      </c>
      <c r="H344" s="1">
        <v>0</v>
      </c>
      <c r="I344" s="1">
        <v>14224062</v>
      </c>
      <c r="J344" s="1">
        <v>0</v>
      </c>
      <c r="K344" s="1">
        <v>5500000</v>
      </c>
      <c r="L344" s="1">
        <v>0</v>
      </c>
      <c r="M344" s="1">
        <v>400000</v>
      </c>
      <c r="N344" s="1">
        <v>2283560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3716609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1631114</v>
      </c>
      <c r="AF344" s="1">
        <v>2222538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2283560</v>
      </c>
      <c r="AM344" s="1">
        <v>0</v>
      </c>
      <c r="AN344" s="1">
        <v>55039366</v>
      </c>
      <c r="AO344" s="1">
        <v>9003777</v>
      </c>
      <c r="AP344" s="1">
        <v>46035589</v>
      </c>
      <c r="AQ344" s="1">
        <v>10563366</v>
      </c>
      <c r="AR344" s="1">
        <v>1584505</v>
      </c>
      <c r="AS344" s="1">
        <v>0</v>
      </c>
      <c r="AT344" s="1">
        <f t="shared" si="34"/>
        <v>67187237</v>
      </c>
    </row>
    <row r="345" spans="1:46" x14ac:dyDescent="0.2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6402618</v>
      </c>
      <c r="G345" s="1">
        <v>10189288</v>
      </c>
      <c r="H345" s="1">
        <v>0</v>
      </c>
      <c r="I345" s="1">
        <v>4609884</v>
      </c>
      <c r="J345" s="1">
        <v>0</v>
      </c>
      <c r="K345" s="1">
        <v>0</v>
      </c>
      <c r="L345" s="1">
        <v>3949907</v>
      </c>
      <c r="M345" s="1">
        <v>400000</v>
      </c>
      <c r="N345" s="1">
        <v>3392116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4158950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2222538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36425301</v>
      </c>
      <c r="AO345" s="1">
        <v>5012661</v>
      </c>
      <c r="AP345" s="1">
        <v>31412640</v>
      </c>
      <c r="AQ345" s="1">
        <v>6840553</v>
      </c>
      <c r="AR345" s="1">
        <v>1026083</v>
      </c>
      <c r="AS345" s="1">
        <v>0</v>
      </c>
      <c r="AT345" s="1">
        <f t="shared" si="34"/>
        <v>44291937</v>
      </c>
    </row>
    <row r="346" spans="1:46" x14ac:dyDescent="0.2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5693379</v>
      </c>
      <c r="G346" s="1">
        <v>7538553</v>
      </c>
      <c r="H346" s="1">
        <v>0</v>
      </c>
      <c r="I346" s="1">
        <v>3643762</v>
      </c>
      <c r="J346" s="1">
        <v>0</v>
      </c>
      <c r="K346" s="1">
        <v>0</v>
      </c>
      <c r="L346" s="1">
        <v>5137874</v>
      </c>
      <c r="M346" s="1">
        <v>400000</v>
      </c>
      <c r="N346" s="1">
        <v>2846689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3942058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3333807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33636122</v>
      </c>
      <c r="AO346" s="1">
        <v>4520610</v>
      </c>
      <c r="AP346" s="1">
        <v>29115512</v>
      </c>
      <c r="AQ346" s="1">
        <v>6060463</v>
      </c>
      <c r="AR346" s="1">
        <v>909069</v>
      </c>
      <c r="AS346" s="1">
        <v>0</v>
      </c>
      <c r="AT346" s="1">
        <f t="shared" si="34"/>
        <v>40605654</v>
      </c>
    </row>
    <row r="347" spans="1:46" x14ac:dyDescent="0.2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18205311</v>
      </c>
      <c r="G347" s="1">
        <v>15335806</v>
      </c>
      <c r="H347" s="1">
        <v>0</v>
      </c>
      <c r="I347" s="1">
        <v>13858185</v>
      </c>
      <c r="J347" s="1">
        <v>0</v>
      </c>
      <c r="K347" s="1">
        <v>4125000</v>
      </c>
      <c r="L347" s="1">
        <v>0</v>
      </c>
      <c r="M347" s="1">
        <v>400000</v>
      </c>
      <c r="N347" s="1">
        <v>2647402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1342000</v>
      </c>
      <c r="U347" s="1">
        <v>0</v>
      </c>
      <c r="V347" s="1">
        <v>6200883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1891002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3403803</v>
      </c>
      <c r="AM347" s="1">
        <v>0</v>
      </c>
      <c r="AN347" s="1">
        <v>68509392</v>
      </c>
      <c r="AO347" s="1">
        <v>13706510</v>
      </c>
      <c r="AP347" s="1">
        <v>54802882</v>
      </c>
      <c r="AQ347" s="1">
        <v>13433478</v>
      </c>
      <c r="AR347" s="1">
        <v>2015022</v>
      </c>
      <c r="AS347" s="1">
        <v>0</v>
      </c>
      <c r="AT347" s="1">
        <f t="shared" si="34"/>
        <v>83957892</v>
      </c>
    </row>
    <row r="348" spans="1:46" x14ac:dyDescent="0.2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6741931</v>
      </c>
      <c r="G348" s="1">
        <v>1667544</v>
      </c>
      <c r="H348" s="1">
        <v>0</v>
      </c>
      <c r="I348" s="1">
        <v>4921609</v>
      </c>
      <c r="J348" s="1">
        <v>0</v>
      </c>
      <c r="K348" s="1">
        <v>0</v>
      </c>
      <c r="L348" s="1">
        <v>3500010</v>
      </c>
      <c r="M348" s="1">
        <v>400000</v>
      </c>
      <c r="N348" s="1">
        <v>3548384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8921656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2806790</v>
      </c>
      <c r="AE348" s="1">
        <v>0</v>
      </c>
      <c r="AF348" s="1">
        <v>2222538</v>
      </c>
      <c r="AG348" s="1">
        <v>0</v>
      </c>
      <c r="AH348" s="1">
        <v>0</v>
      </c>
      <c r="AI348" s="1">
        <v>0</v>
      </c>
      <c r="AJ348" s="1">
        <v>4002106</v>
      </c>
      <c r="AK348" s="1">
        <v>0</v>
      </c>
      <c r="AL348" s="1">
        <v>0</v>
      </c>
      <c r="AM348" s="1">
        <v>0</v>
      </c>
      <c r="AN348" s="1">
        <v>39832568</v>
      </c>
      <c r="AO348" s="1">
        <v>6690925</v>
      </c>
      <c r="AP348" s="1">
        <v>33141643</v>
      </c>
      <c r="AQ348" s="1">
        <v>7522006</v>
      </c>
      <c r="AR348" s="1">
        <v>1128301</v>
      </c>
      <c r="AS348" s="1">
        <v>0</v>
      </c>
      <c r="AT348" s="1">
        <f t="shared" si="34"/>
        <v>48482875</v>
      </c>
    </row>
    <row r="349" spans="1:46" x14ac:dyDescent="0.2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12256360</v>
      </c>
      <c r="G349" s="1">
        <v>4963760</v>
      </c>
      <c r="H349" s="1">
        <v>0</v>
      </c>
      <c r="I349" s="1">
        <v>8995923</v>
      </c>
      <c r="J349" s="1">
        <v>0</v>
      </c>
      <c r="K349" s="1">
        <v>0</v>
      </c>
      <c r="L349" s="1">
        <v>0</v>
      </c>
      <c r="M349" s="1">
        <v>400000</v>
      </c>
      <c r="N349" s="1">
        <v>2213645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5483773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1581175</v>
      </c>
      <c r="AF349" s="1">
        <v>2222538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2371763</v>
      </c>
      <c r="AM349" s="1">
        <v>0</v>
      </c>
      <c r="AN349" s="1">
        <v>41588937</v>
      </c>
      <c r="AO349" s="1">
        <v>23052318</v>
      </c>
      <c r="AP349" s="1">
        <v>18536619</v>
      </c>
      <c r="AQ349" s="1">
        <v>7873280</v>
      </c>
      <c r="AR349" s="1">
        <v>1180992</v>
      </c>
      <c r="AS349" s="1">
        <v>0</v>
      </c>
      <c r="AT349" s="1">
        <f t="shared" si="34"/>
        <v>50643209</v>
      </c>
    </row>
    <row r="350" spans="1:46" x14ac:dyDescent="0.2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14217017</v>
      </c>
      <c r="G350" s="1">
        <v>2985498</v>
      </c>
      <c r="H350" s="1">
        <v>0</v>
      </c>
      <c r="I350" s="1">
        <v>10467058</v>
      </c>
      <c r="J350" s="1">
        <v>0</v>
      </c>
      <c r="K350" s="1">
        <v>4125000</v>
      </c>
      <c r="L350" s="1">
        <v>0</v>
      </c>
      <c r="M350" s="1">
        <v>400000</v>
      </c>
      <c r="N350" s="1">
        <v>2061170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2998422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1472264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1766718</v>
      </c>
      <c r="AM350" s="1">
        <v>0</v>
      </c>
      <c r="AN350" s="1">
        <v>41593147</v>
      </c>
      <c r="AO350" s="1">
        <v>5708103</v>
      </c>
      <c r="AP350" s="1">
        <v>35885044</v>
      </c>
      <c r="AQ350" s="1">
        <v>8318629</v>
      </c>
      <c r="AR350" s="1">
        <v>1247794</v>
      </c>
      <c r="AS350" s="1">
        <v>0</v>
      </c>
      <c r="AT350" s="1">
        <f t="shared" si="34"/>
        <v>51159570</v>
      </c>
    </row>
    <row r="351" spans="1:46" x14ac:dyDescent="0.2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5410950</v>
      </c>
      <c r="G351" s="1">
        <v>4208763</v>
      </c>
      <c r="H351" s="1">
        <v>0</v>
      </c>
      <c r="I351" s="1">
        <v>3841774</v>
      </c>
      <c r="J351" s="1">
        <v>0</v>
      </c>
      <c r="K351" s="1">
        <v>0</v>
      </c>
      <c r="L351" s="1">
        <v>3772710</v>
      </c>
      <c r="M351" s="1">
        <v>400000</v>
      </c>
      <c r="N351" s="1">
        <v>2847868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5586765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2380995</v>
      </c>
      <c r="AE351" s="1">
        <v>0</v>
      </c>
      <c r="AF351" s="1">
        <v>2222538</v>
      </c>
      <c r="AG351" s="1">
        <v>0</v>
      </c>
      <c r="AH351" s="1">
        <v>0</v>
      </c>
      <c r="AI351" s="1">
        <v>0</v>
      </c>
      <c r="AJ351" s="1">
        <v>3108010</v>
      </c>
      <c r="AK351" s="1">
        <v>0</v>
      </c>
      <c r="AL351" s="1">
        <v>0</v>
      </c>
      <c r="AM351" s="1">
        <v>0</v>
      </c>
      <c r="AN351" s="1">
        <v>34880373</v>
      </c>
      <c r="AO351" s="1">
        <v>3907617</v>
      </c>
      <c r="AP351" s="1">
        <v>30972756</v>
      </c>
      <c r="AQ351" s="1">
        <v>6531567</v>
      </c>
      <c r="AR351" s="1">
        <v>979735</v>
      </c>
      <c r="AS351" s="1">
        <v>0</v>
      </c>
      <c r="AT351" s="1">
        <f t="shared" si="34"/>
        <v>42391675</v>
      </c>
    </row>
    <row r="352" spans="1:46" x14ac:dyDescent="0.2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9798376</v>
      </c>
      <c r="G352" s="1">
        <v>8853106</v>
      </c>
      <c r="H352" s="1">
        <v>0</v>
      </c>
      <c r="I352" s="1">
        <v>8230636</v>
      </c>
      <c r="J352" s="1">
        <v>0</v>
      </c>
      <c r="K352" s="1">
        <v>0</v>
      </c>
      <c r="L352" s="1">
        <v>3345440</v>
      </c>
      <c r="M352" s="1">
        <v>400000</v>
      </c>
      <c r="N352" s="1">
        <v>5057227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6606675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1481320</v>
      </c>
      <c r="AD352" s="1">
        <v>4331327</v>
      </c>
      <c r="AE352" s="1">
        <v>0</v>
      </c>
      <c r="AF352" s="1">
        <v>4445076</v>
      </c>
      <c r="AG352" s="1">
        <v>0</v>
      </c>
      <c r="AH352" s="1">
        <v>0</v>
      </c>
      <c r="AI352" s="1">
        <v>0</v>
      </c>
      <c r="AJ352" s="1">
        <v>6665868</v>
      </c>
      <c r="AK352" s="1">
        <v>0</v>
      </c>
      <c r="AL352" s="1">
        <v>0</v>
      </c>
      <c r="AM352" s="1">
        <v>0</v>
      </c>
      <c r="AN352" s="1">
        <v>60315051</v>
      </c>
      <c r="AO352" s="1">
        <v>8385820</v>
      </c>
      <c r="AP352" s="1">
        <v>51929231</v>
      </c>
      <c r="AQ352" s="1">
        <v>11173995</v>
      </c>
      <c r="AR352" s="1">
        <v>1676099</v>
      </c>
      <c r="AS352" s="1">
        <v>0</v>
      </c>
      <c r="AT352" s="1">
        <f t="shared" si="34"/>
        <v>73165145</v>
      </c>
    </row>
    <row r="353" spans="1:46" x14ac:dyDescent="0.2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14501331</v>
      </c>
      <c r="G353" s="1">
        <v>6974574</v>
      </c>
      <c r="H353" s="1">
        <v>0</v>
      </c>
      <c r="I353" s="1">
        <v>11648496</v>
      </c>
      <c r="J353" s="1">
        <v>0</v>
      </c>
      <c r="K353" s="1">
        <v>5500000</v>
      </c>
      <c r="L353" s="1">
        <v>0</v>
      </c>
      <c r="M353" s="1">
        <v>400000</v>
      </c>
      <c r="N353" s="1">
        <v>2398377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11858628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1713127</v>
      </c>
      <c r="AF353" s="1">
        <v>1111269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4111505</v>
      </c>
      <c r="AM353" s="1">
        <v>0</v>
      </c>
      <c r="AN353" s="1">
        <v>61317307</v>
      </c>
      <c r="AO353" s="1">
        <v>7855742</v>
      </c>
      <c r="AP353" s="1">
        <v>53461565</v>
      </c>
      <c r="AQ353" s="1">
        <v>12041208</v>
      </c>
      <c r="AR353" s="1">
        <v>1806181</v>
      </c>
      <c r="AS353" s="1">
        <v>0</v>
      </c>
      <c r="AT353" s="1">
        <f t="shared" si="34"/>
        <v>75164696</v>
      </c>
    </row>
    <row r="354" spans="1:46" x14ac:dyDescent="0.2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18790211</v>
      </c>
      <c r="G354" s="1">
        <v>27488815</v>
      </c>
      <c r="H354" s="1">
        <v>0</v>
      </c>
      <c r="I354" s="1">
        <v>15816334</v>
      </c>
      <c r="J354" s="1">
        <v>0</v>
      </c>
      <c r="K354" s="1">
        <v>5500000</v>
      </c>
      <c r="L354" s="1">
        <v>0</v>
      </c>
      <c r="M354" s="1">
        <v>400000</v>
      </c>
      <c r="N354" s="1">
        <v>2872121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1342000</v>
      </c>
      <c r="U354" s="1">
        <v>0</v>
      </c>
      <c r="V354" s="1">
        <v>8104296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2051515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3692728</v>
      </c>
      <c r="AM354" s="1">
        <v>0</v>
      </c>
      <c r="AN354" s="1">
        <v>87158020</v>
      </c>
      <c r="AO354" s="1">
        <v>14412127</v>
      </c>
      <c r="AP354" s="1">
        <v>72745893</v>
      </c>
      <c r="AQ354" s="1">
        <v>15039174</v>
      </c>
      <c r="AR354" s="1">
        <v>2255876</v>
      </c>
      <c r="AS354" s="1">
        <v>0</v>
      </c>
      <c r="AT354" s="1">
        <f t="shared" si="34"/>
        <v>104453070</v>
      </c>
    </row>
    <row r="355" spans="1:46" x14ac:dyDescent="0.2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f t="shared" si="34"/>
        <v>0</v>
      </c>
    </row>
    <row r="356" spans="1:46" x14ac:dyDescent="0.2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 t="shared" ref="D356:D363" si="37">"قراردادي کارگري"</f>
        <v>قراردادي کارگري</v>
      </c>
      <c r="E356" s="1" t="str">
        <f t="shared" ref="E356:E380" si="38">"پروژه تعميرات نيروگاه بوشهر"</f>
        <v>پروژه تعميرات نيروگاه بوشهر</v>
      </c>
      <c r="F356" s="1">
        <v>11243219</v>
      </c>
      <c r="G356" s="1">
        <v>5050351</v>
      </c>
      <c r="H356" s="1">
        <v>0</v>
      </c>
      <c r="I356" s="1">
        <v>10568626</v>
      </c>
      <c r="J356" s="1">
        <v>0</v>
      </c>
      <c r="K356" s="1">
        <v>0</v>
      </c>
      <c r="L356" s="1">
        <v>3345440</v>
      </c>
      <c r="M356" s="1">
        <v>400000</v>
      </c>
      <c r="N356" s="1">
        <v>6745931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3335322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41788889</v>
      </c>
      <c r="AO356" s="1">
        <v>4650533</v>
      </c>
      <c r="AP356" s="1">
        <v>37138356</v>
      </c>
      <c r="AQ356" s="1">
        <v>8357778</v>
      </c>
      <c r="AR356" s="1">
        <v>1253667</v>
      </c>
      <c r="AS356" s="1">
        <v>0</v>
      </c>
      <c r="AT356" s="1">
        <f t="shared" si="34"/>
        <v>51400334</v>
      </c>
    </row>
    <row r="357" spans="1:46" x14ac:dyDescent="0.2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 t="shared" si="37"/>
        <v>قراردادي کارگري</v>
      </c>
      <c r="E357" s="1" t="str">
        <f t="shared" si="38"/>
        <v>پروژه تعميرات نيروگاه بوشهر</v>
      </c>
      <c r="F357" s="1">
        <v>5989414</v>
      </c>
      <c r="G357" s="1">
        <v>6103320</v>
      </c>
      <c r="H357" s="1">
        <v>0</v>
      </c>
      <c r="I357" s="1">
        <v>4611849</v>
      </c>
      <c r="J357" s="1">
        <v>0</v>
      </c>
      <c r="K357" s="1">
        <v>0</v>
      </c>
      <c r="L357" s="1">
        <v>3923549</v>
      </c>
      <c r="M357" s="1">
        <v>400000</v>
      </c>
      <c r="N357" s="1">
        <v>3152323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6120683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2651570</v>
      </c>
      <c r="AE357" s="1">
        <v>0</v>
      </c>
      <c r="AF357" s="1">
        <v>2222538</v>
      </c>
      <c r="AG357" s="1">
        <v>0</v>
      </c>
      <c r="AH357" s="1">
        <v>0</v>
      </c>
      <c r="AI357" s="1">
        <v>0</v>
      </c>
      <c r="AJ357" s="1">
        <v>2297720</v>
      </c>
      <c r="AK357" s="1">
        <v>0</v>
      </c>
      <c r="AL357" s="1">
        <v>0</v>
      </c>
      <c r="AM357" s="1">
        <v>0</v>
      </c>
      <c r="AN357" s="1">
        <v>38572966</v>
      </c>
      <c r="AO357" s="1">
        <v>4585510</v>
      </c>
      <c r="AP357" s="1">
        <v>33987456</v>
      </c>
      <c r="AQ357" s="1">
        <v>7270086</v>
      </c>
      <c r="AR357" s="1">
        <v>1090513</v>
      </c>
      <c r="AS357" s="1">
        <v>0</v>
      </c>
      <c r="AT357" s="1">
        <f t="shared" si="34"/>
        <v>46933565</v>
      </c>
    </row>
    <row r="358" spans="1:46" x14ac:dyDescent="0.2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7132556</v>
      </c>
      <c r="G358" s="1">
        <v>24075087</v>
      </c>
      <c r="H358" s="1">
        <v>0</v>
      </c>
      <c r="I358" s="1">
        <v>5848696</v>
      </c>
      <c r="J358" s="1">
        <v>0</v>
      </c>
      <c r="K358" s="1">
        <v>0</v>
      </c>
      <c r="L358" s="1">
        <v>3345440</v>
      </c>
      <c r="M358" s="1">
        <v>400000</v>
      </c>
      <c r="N358" s="1">
        <v>3804030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6690024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52395833</v>
      </c>
      <c r="AO358" s="1">
        <v>7147461</v>
      </c>
      <c r="AP358" s="1">
        <v>45248372</v>
      </c>
      <c r="AQ358" s="1">
        <v>10479167</v>
      </c>
      <c r="AR358" s="1">
        <v>1571875</v>
      </c>
      <c r="AS358" s="1">
        <v>0</v>
      </c>
      <c r="AT358" s="1">
        <f t="shared" si="34"/>
        <v>64446875</v>
      </c>
    </row>
    <row r="359" spans="1:46" x14ac:dyDescent="0.2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7526508</v>
      </c>
      <c r="G359" s="1">
        <v>10839382</v>
      </c>
      <c r="H359" s="1">
        <v>0</v>
      </c>
      <c r="I359" s="1">
        <v>5569616</v>
      </c>
      <c r="J359" s="1">
        <v>0</v>
      </c>
      <c r="K359" s="1">
        <v>0</v>
      </c>
      <c r="L359" s="1">
        <v>3500010</v>
      </c>
      <c r="M359" s="1">
        <v>400000</v>
      </c>
      <c r="N359" s="1">
        <v>3987554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7050781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2222538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42196389</v>
      </c>
      <c r="AO359" s="1">
        <v>6239914</v>
      </c>
      <c r="AP359" s="1">
        <v>35956475</v>
      </c>
      <c r="AQ359" s="1">
        <v>7994770</v>
      </c>
      <c r="AR359" s="1">
        <v>1199216</v>
      </c>
      <c r="AS359" s="1">
        <v>0</v>
      </c>
      <c r="AT359" s="1">
        <f t="shared" si="34"/>
        <v>51390375</v>
      </c>
    </row>
    <row r="360" spans="1:46" x14ac:dyDescent="0.2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6367020</v>
      </c>
      <c r="G360" s="1">
        <v>18620494</v>
      </c>
      <c r="H360" s="1">
        <v>0</v>
      </c>
      <c r="I360" s="1">
        <v>4711594</v>
      </c>
      <c r="J360" s="1">
        <v>0</v>
      </c>
      <c r="K360" s="1">
        <v>0</v>
      </c>
      <c r="L360" s="1">
        <v>3500010</v>
      </c>
      <c r="M360" s="1">
        <v>400000</v>
      </c>
      <c r="N360" s="1">
        <v>3373255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6014583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46309494</v>
      </c>
      <c r="AO360" s="1">
        <v>6767346</v>
      </c>
      <c r="AP360" s="1">
        <v>39542148</v>
      </c>
      <c r="AQ360" s="1">
        <v>8817391</v>
      </c>
      <c r="AR360" s="1">
        <v>1322609</v>
      </c>
      <c r="AS360" s="1">
        <v>0</v>
      </c>
      <c r="AT360" s="1">
        <f t="shared" si="34"/>
        <v>56449494</v>
      </c>
    </row>
    <row r="361" spans="1:46" x14ac:dyDescent="0.2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8382420</v>
      </c>
      <c r="G361" s="1">
        <v>20361129</v>
      </c>
      <c r="H361" s="1">
        <v>0</v>
      </c>
      <c r="I361" s="1">
        <v>6873584</v>
      </c>
      <c r="J361" s="1">
        <v>0</v>
      </c>
      <c r="K361" s="1">
        <v>0</v>
      </c>
      <c r="L361" s="1">
        <v>3345440</v>
      </c>
      <c r="M361" s="1">
        <v>400000</v>
      </c>
      <c r="N361" s="1">
        <v>4470625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7601841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52535039</v>
      </c>
      <c r="AO361" s="1">
        <v>6455886</v>
      </c>
      <c r="AP361" s="1">
        <v>46079153</v>
      </c>
      <c r="AQ361" s="1">
        <v>10507008</v>
      </c>
      <c r="AR361" s="1">
        <v>1576051</v>
      </c>
      <c r="AS361" s="1">
        <v>0</v>
      </c>
      <c r="AT361" s="1">
        <f t="shared" si="34"/>
        <v>64618098</v>
      </c>
    </row>
    <row r="362" spans="1:46" x14ac:dyDescent="0.2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6061082</v>
      </c>
      <c r="G362" s="1">
        <v>8902977</v>
      </c>
      <c r="H362" s="1">
        <v>0</v>
      </c>
      <c r="I362" s="1">
        <v>4424590</v>
      </c>
      <c r="J362" s="1">
        <v>0</v>
      </c>
      <c r="K362" s="1">
        <v>0</v>
      </c>
      <c r="L362" s="1">
        <v>3500010</v>
      </c>
      <c r="M362" s="1">
        <v>400000</v>
      </c>
      <c r="N362" s="1">
        <v>3190044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4283917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2222538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34085158</v>
      </c>
      <c r="AO362" s="1">
        <v>3205174</v>
      </c>
      <c r="AP362" s="1">
        <v>30879984</v>
      </c>
      <c r="AQ362" s="1">
        <v>6372524</v>
      </c>
      <c r="AR362" s="1">
        <v>955879</v>
      </c>
      <c r="AS362" s="1">
        <v>0</v>
      </c>
      <c r="AT362" s="1">
        <f t="shared" si="34"/>
        <v>41413561</v>
      </c>
    </row>
    <row r="363" spans="1:46" x14ac:dyDescent="0.2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7082561</v>
      </c>
      <c r="G363" s="1">
        <v>11480029</v>
      </c>
      <c r="H363" s="1">
        <v>0</v>
      </c>
      <c r="I363" s="1">
        <v>5807700</v>
      </c>
      <c r="J363" s="1">
        <v>0</v>
      </c>
      <c r="K363" s="1">
        <v>0</v>
      </c>
      <c r="L363" s="1">
        <v>3345440</v>
      </c>
      <c r="M363" s="1">
        <v>400000</v>
      </c>
      <c r="N363" s="1">
        <v>3777365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4936506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37929601</v>
      </c>
      <c r="AO363" s="1">
        <v>4002172</v>
      </c>
      <c r="AP363" s="1">
        <v>33927429</v>
      </c>
      <c r="AQ363" s="1">
        <v>7585920</v>
      </c>
      <c r="AR363" s="1">
        <v>1137888</v>
      </c>
      <c r="AS363" s="1">
        <v>0</v>
      </c>
      <c r="AT363" s="1">
        <f t="shared" si="34"/>
        <v>46653409</v>
      </c>
    </row>
    <row r="364" spans="1:46" x14ac:dyDescent="0.2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"قراردادي بهره بردار"</f>
        <v>قراردادي بهره بردار</v>
      </c>
      <c r="E364" s="1" t="str">
        <f t="shared" si="38"/>
        <v>پروژه تعميرات نيروگاه بوشهر</v>
      </c>
      <c r="F364" s="1">
        <v>19049039</v>
      </c>
      <c r="G364" s="1">
        <v>16217516</v>
      </c>
      <c r="H364" s="1">
        <v>0</v>
      </c>
      <c r="I364" s="1">
        <v>16551436</v>
      </c>
      <c r="J364" s="1">
        <v>0</v>
      </c>
      <c r="K364" s="1">
        <v>0</v>
      </c>
      <c r="L364" s="1">
        <v>0</v>
      </c>
      <c r="M364" s="1">
        <v>400000</v>
      </c>
      <c r="N364" s="1">
        <v>2962711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14132603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2116222</v>
      </c>
      <c r="AF364" s="1">
        <v>2222538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4909635</v>
      </c>
      <c r="AM364" s="1">
        <v>0</v>
      </c>
      <c r="AN364" s="1">
        <v>79661700</v>
      </c>
      <c r="AO364" s="1">
        <v>31405790</v>
      </c>
      <c r="AP364" s="1">
        <v>48255910</v>
      </c>
      <c r="AQ364" s="1">
        <v>15039174</v>
      </c>
      <c r="AR364" s="1">
        <v>2255876</v>
      </c>
      <c r="AS364" s="1">
        <v>0</v>
      </c>
      <c r="AT364" s="1">
        <f t="shared" si="34"/>
        <v>96956750</v>
      </c>
    </row>
    <row r="365" spans="1:46" x14ac:dyDescent="0.2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 t="shared" ref="D365:D380" si="39">"قراردادي کارگري"</f>
        <v>قراردادي کارگري</v>
      </c>
      <c r="E365" s="1" t="str">
        <f t="shared" si="38"/>
        <v>پروژه تعميرات نيروگاه بوشهر</v>
      </c>
      <c r="F365" s="1">
        <v>8335100</v>
      </c>
      <c r="G365" s="1">
        <v>0</v>
      </c>
      <c r="H365" s="1">
        <v>0</v>
      </c>
      <c r="I365" s="1">
        <v>6001272</v>
      </c>
      <c r="J365" s="1">
        <v>0</v>
      </c>
      <c r="K365" s="1">
        <v>0</v>
      </c>
      <c r="L365" s="1">
        <v>3500010</v>
      </c>
      <c r="M365" s="1">
        <v>400000</v>
      </c>
      <c r="N365" s="1">
        <v>4415947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4384931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2222538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30359798</v>
      </c>
      <c r="AO365" s="1">
        <v>2579313</v>
      </c>
      <c r="AP365" s="1">
        <v>27780485</v>
      </c>
      <c r="AQ365" s="1">
        <v>5627452</v>
      </c>
      <c r="AR365" s="1">
        <v>844118</v>
      </c>
      <c r="AS365" s="1">
        <v>0</v>
      </c>
      <c r="AT365" s="1">
        <f t="shared" si="34"/>
        <v>36831368</v>
      </c>
    </row>
    <row r="366" spans="1:46" x14ac:dyDescent="0.2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 t="shared" si="39"/>
        <v>قراردادي کارگري</v>
      </c>
      <c r="E366" s="1" t="str">
        <f t="shared" si="38"/>
        <v>پروژه تعميرات نيروگاه بوشهر</v>
      </c>
      <c r="F366" s="1">
        <v>6864790</v>
      </c>
      <c r="G366" s="1">
        <v>0</v>
      </c>
      <c r="H366" s="1">
        <v>0</v>
      </c>
      <c r="I366" s="1">
        <v>4942649</v>
      </c>
      <c r="J366" s="1">
        <v>0</v>
      </c>
      <c r="K366" s="1">
        <v>0</v>
      </c>
      <c r="L366" s="1">
        <v>3500010</v>
      </c>
      <c r="M366" s="1">
        <v>400000</v>
      </c>
      <c r="N366" s="1">
        <v>3613047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3666689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1111269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25198454</v>
      </c>
      <c r="AO366" s="1">
        <v>1787774</v>
      </c>
      <c r="AP366" s="1">
        <v>23410680</v>
      </c>
      <c r="AQ366" s="1">
        <v>4817437</v>
      </c>
      <c r="AR366" s="1">
        <v>722616</v>
      </c>
      <c r="AS366" s="1">
        <v>0</v>
      </c>
      <c r="AT366" s="1">
        <f t="shared" si="34"/>
        <v>30738507</v>
      </c>
    </row>
    <row r="367" spans="1:46" x14ac:dyDescent="0.2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7618047</v>
      </c>
      <c r="G367" s="1">
        <v>1652659</v>
      </c>
      <c r="H367" s="1">
        <v>0</v>
      </c>
      <c r="I367" s="1">
        <v>5408813</v>
      </c>
      <c r="J367" s="1">
        <v>0</v>
      </c>
      <c r="K367" s="1">
        <v>0</v>
      </c>
      <c r="L367" s="1">
        <v>3500010</v>
      </c>
      <c r="M367" s="1">
        <v>400000</v>
      </c>
      <c r="N367" s="1">
        <v>4036052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6824005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2222538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32762124</v>
      </c>
      <c r="AO367" s="1">
        <v>3729906</v>
      </c>
      <c r="AP367" s="1">
        <v>29032218</v>
      </c>
      <c r="AQ367" s="1">
        <v>6107917</v>
      </c>
      <c r="AR367" s="1">
        <v>916188</v>
      </c>
      <c r="AS367" s="1">
        <v>0</v>
      </c>
      <c r="AT367" s="1">
        <f t="shared" si="34"/>
        <v>39786229</v>
      </c>
    </row>
    <row r="368" spans="1:46" x14ac:dyDescent="0.2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7328174</v>
      </c>
      <c r="G368" s="1">
        <v>6346667</v>
      </c>
      <c r="H368" s="1">
        <v>0</v>
      </c>
      <c r="I368" s="1">
        <v>5349567</v>
      </c>
      <c r="J368" s="1">
        <v>0</v>
      </c>
      <c r="K368" s="1">
        <v>0</v>
      </c>
      <c r="L368" s="1">
        <v>3500010</v>
      </c>
      <c r="M368" s="1">
        <v>400000</v>
      </c>
      <c r="N368" s="1">
        <v>3882477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3979393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34108826</v>
      </c>
      <c r="AO368" s="1">
        <v>3309150</v>
      </c>
      <c r="AP368" s="1">
        <v>30799676</v>
      </c>
      <c r="AQ368" s="1">
        <v>6377258</v>
      </c>
      <c r="AR368" s="1">
        <v>956589</v>
      </c>
      <c r="AS368" s="1">
        <v>0</v>
      </c>
      <c r="AT368" s="1">
        <f t="shared" si="34"/>
        <v>41442673</v>
      </c>
    </row>
    <row r="369" spans="1:46" x14ac:dyDescent="0.2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9062323</v>
      </c>
      <c r="G369" s="1">
        <v>3685345</v>
      </c>
      <c r="H369" s="1">
        <v>0</v>
      </c>
      <c r="I369" s="1">
        <v>6434249</v>
      </c>
      <c r="J369" s="1">
        <v>0</v>
      </c>
      <c r="K369" s="1">
        <v>0</v>
      </c>
      <c r="L369" s="1">
        <v>3500010</v>
      </c>
      <c r="M369" s="1">
        <v>400000</v>
      </c>
      <c r="N369" s="1">
        <v>4801230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8773615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39979310</v>
      </c>
      <c r="AO369" s="1">
        <v>4395392</v>
      </c>
      <c r="AP369" s="1">
        <v>35583918</v>
      </c>
      <c r="AQ369" s="1">
        <v>7551354</v>
      </c>
      <c r="AR369" s="1">
        <v>1132703</v>
      </c>
      <c r="AS369" s="1">
        <v>0</v>
      </c>
      <c r="AT369" s="1">
        <f t="shared" si="34"/>
        <v>48663367</v>
      </c>
    </row>
    <row r="370" spans="1:46" x14ac:dyDescent="0.2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5262494</v>
      </c>
      <c r="G370" s="1">
        <v>7851008</v>
      </c>
      <c r="H370" s="1">
        <v>0</v>
      </c>
      <c r="I370" s="1">
        <v>3999495</v>
      </c>
      <c r="J370" s="1">
        <v>0</v>
      </c>
      <c r="K370" s="1">
        <v>0</v>
      </c>
      <c r="L370" s="1">
        <v>3784369</v>
      </c>
      <c r="M370" s="1">
        <v>400000</v>
      </c>
      <c r="N370" s="1">
        <v>2769734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3107896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2222538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30497534</v>
      </c>
      <c r="AO370" s="1">
        <v>2602453</v>
      </c>
      <c r="AP370" s="1">
        <v>27895081</v>
      </c>
      <c r="AQ370" s="1">
        <v>5654999</v>
      </c>
      <c r="AR370" s="1">
        <v>848250</v>
      </c>
      <c r="AS370" s="1">
        <v>0</v>
      </c>
      <c r="AT370" s="1">
        <f t="shared" si="34"/>
        <v>37000783</v>
      </c>
    </row>
    <row r="371" spans="1:46" x14ac:dyDescent="0.2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6824712</v>
      </c>
      <c r="G371" s="1">
        <v>11125641</v>
      </c>
      <c r="H371" s="1">
        <v>0</v>
      </c>
      <c r="I371" s="1">
        <v>4982041</v>
      </c>
      <c r="J371" s="1">
        <v>0</v>
      </c>
      <c r="K371" s="1">
        <v>0</v>
      </c>
      <c r="L371" s="1">
        <v>3500010</v>
      </c>
      <c r="M371" s="1">
        <v>400000</v>
      </c>
      <c r="N371" s="1">
        <v>3615741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3768913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37539596</v>
      </c>
      <c r="AO371" s="1">
        <v>3885521</v>
      </c>
      <c r="AP371" s="1">
        <v>33654075</v>
      </c>
      <c r="AQ371" s="1">
        <v>7063412</v>
      </c>
      <c r="AR371" s="1">
        <v>1059512</v>
      </c>
      <c r="AS371" s="1">
        <v>0</v>
      </c>
      <c r="AT371" s="1">
        <f t="shared" si="34"/>
        <v>45662520</v>
      </c>
    </row>
    <row r="372" spans="1:46" x14ac:dyDescent="0.2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7860254</v>
      </c>
      <c r="G372" s="1">
        <v>11307359</v>
      </c>
      <c r="H372" s="1">
        <v>0</v>
      </c>
      <c r="I372" s="1">
        <v>5816588</v>
      </c>
      <c r="J372" s="1">
        <v>0</v>
      </c>
      <c r="K372" s="1">
        <v>0</v>
      </c>
      <c r="L372" s="1">
        <v>3345440</v>
      </c>
      <c r="M372" s="1">
        <v>400000</v>
      </c>
      <c r="N372" s="1">
        <v>4192135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4192918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1111269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39325963</v>
      </c>
      <c r="AO372" s="1">
        <v>11784636</v>
      </c>
      <c r="AP372" s="1">
        <v>27541327</v>
      </c>
      <c r="AQ372" s="1">
        <v>7642939</v>
      </c>
      <c r="AR372" s="1">
        <v>1146441</v>
      </c>
      <c r="AS372" s="1">
        <v>0</v>
      </c>
      <c r="AT372" s="1">
        <f t="shared" si="34"/>
        <v>48115343</v>
      </c>
    </row>
    <row r="373" spans="1:46" x14ac:dyDescent="0.2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5963688</v>
      </c>
      <c r="G373" s="1">
        <v>10095941</v>
      </c>
      <c r="H373" s="1">
        <v>0</v>
      </c>
      <c r="I373" s="1">
        <v>4413129</v>
      </c>
      <c r="J373" s="1">
        <v>0</v>
      </c>
      <c r="K373" s="1">
        <v>0</v>
      </c>
      <c r="L373" s="1">
        <v>3137940</v>
      </c>
      <c r="M373" s="1">
        <v>358621</v>
      </c>
      <c r="N373" s="1">
        <v>3159570</v>
      </c>
      <c r="O373" s="1">
        <v>0</v>
      </c>
      <c r="P373" s="1">
        <v>0</v>
      </c>
      <c r="Q373" s="1">
        <v>0</v>
      </c>
      <c r="R373" s="1">
        <v>2263369</v>
      </c>
      <c r="S373" s="1">
        <v>0</v>
      </c>
      <c r="T373" s="1">
        <v>0</v>
      </c>
      <c r="U373" s="1">
        <v>0</v>
      </c>
      <c r="V373" s="1">
        <v>3325251</v>
      </c>
      <c r="W373" s="1">
        <v>986207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1992620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35696336</v>
      </c>
      <c r="AO373" s="1">
        <v>4154519</v>
      </c>
      <c r="AP373" s="1">
        <v>31541817</v>
      </c>
      <c r="AQ373" s="1">
        <v>6288069</v>
      </c>
      <c r="AR373" s="1">
        <v>943210</v>
      </c>
      <c r="AS373" s="1">
        <v>0</v>
      </c>
      <c r="AT373" s="1">
        <f t="shared" si="34"/>
        <v>42927615</v>
      </c>
    </row>
    <row r="374" spans="1:46" x14ac:dyDescent="0.2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7632501</v>
      </c>
      <c r="G374" s="1">
        <v>6561335</v>
      </c>
      <c r="H374" s="1">
        <v>0</v>
      </c>
      <c r="I374" s="1">
        <v>6411301</v>
      </c>
      <c r="J374" s="1">
        <v>0</v>
      </c>
      <c r="K374" s="1">
        <v>0</v>
      </c>
      <c r="L374" s="1">
        <v>3345440</v>
      </c>
      <c r="M374" s="1">
        <v>400000</v>
      </c>
      <c r="N374" s="1">
        <v>4070666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4123784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1111269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34756296</v>
      </c>
      <c r="AO374" s="1">
        <v>3393491</v>
      </c>
      <c r="AP374" s="1">
        <v>31362805</v>
      </c>
      <c r="AQ374" s="1">
        <v>6729005</v>
      </c>
      <c r="AR374" s="1">
        <v>1009351</v>
      </c>
      <c r="AS374" s="1">
        <v>0</v>
      </c>
      <c r="AT374" s="1">
        <f t="shared" si="34"/>
        <v>42494652</v>
      </c>
    </row>
    <row r="375" spans="1:46" x14ac:dyDescent="0.2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9532294</v>
      </c>
      <c r="G375" s="1">
        <v>17296392</v>
      </c>
      <c r="H375" s="1">
        <v>0</v>
      </c>
      <c r="I375" s="1">
        <v>7053898</v>
      </c>
      <c r="J375" s="1">
        <v>0</v>
      </c>
      <c r="K375" s="1">
        <v>0</v>
      </c>
      <c r="L375" s="1">
        <v>3345440</v>
      </c>
      <c r="M375" s="1">
        <v>400000</v>
      </c>
      <c r="N375" s="1">
        <v>5083890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4763794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3333807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51909515</v>
      </c>
      <c r="AO375" s="1">
        <v>6863553</v>
      </c>
      <c r="AP375" s="1">
        <v>45045962</v>
      </c>
      <c r="AQ375" s="1">
        <v>9715142</v>
      </c>
      <c r="AR375" s="1">
        <v>1457271</v>
      </c>
      <c r="AS375" s="1">
        <v>0</v>
      </c>
      <c r="AT375" s="1">
        <f t="shared" si="34"/>
        <v>63081928</v>
      </c>
    </row>
    <row r="376" spans="1:46" x14ac:dyDescent="0.2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7248727</v>
      </c>
      <c r="G376" s="1">
        <v>10552432</v>
      </c>
      <c r="H376" s="1">
        <v>0</v>
      </c>
      <c r="I376" s="1">
        <v>5219084</v>
      </c>
      <c r="J376" s="1">
        <v>0</v>
      </c>
      <c r="K376" s="1">
        <v>0</v>
      </c>
      <c r="L376" s="1">
        <v>3500010</v>
      </c>
      <c r="M376" s="1">
        <v>400000</v>
      </c>
      <c r="N376" s="1">
        <v>3815119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3928094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1111269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36874735</v>
      </c>
      <c r="AO376" s="1">
        <v>4327501</v>
      </c>
      <c r="AP376" s="1">
        <v>32547234</v>
      </c>
      <c r="AQ376" s="1">
        <v>7152693</v>
      </c>
      <c r="AR376" s="1">
        <v>1072904</v>
      </c>
      <c r="AS376" s="1">
        <v>0</v>
      </c>
      <c r="AT376" s="1">
        <f t="shared" si="34"/>
        <v>45100332</v>
      </c>
    </row>
    <row r="377" spans="1:46" x14ac:dyDescent="0.2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6224895</v>
      </c>
      <c r="G377" s="1">
        <v>10605926</v>
      </c>
      <c r="H377" s="1">
        <v>0</v>
      </c>
      <c r="I377" s="1">
        <v>4481925</v>
      </c>
      <c r="J377" s="1">
        <v>0</v>
      </c>
      <c r="K377" s="1">
        <v>0</v>
      </c>
      <c r="L377" s="1">
        <v>3500010</v>
      </c>
      <c r="M377" s="1">
        <v>400000</v>
      </c>
      <c r="N377" s="1">
        <v>3276261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3502622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3333807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36425446</v>
      </c>
      <c r="AO377" s="1">
        <v>4025923</v>
      </c>
      <c r="AP377" s="1">
        <v>32399523</v>
      </c>
      <c r="AQ377" s="1">
        <v>6618328</v>
      </c>
      <c r="AR377" s="1">
        <v>992749</v>
      </c>
      <c r="AS377" s="1">
        <v>0</v>
      </c>
      <c r="AT377" s="1">
        <f t="shared" si="34"/>
        <v>44036523</v>
      </c>
    </row>
    <row r="378" spans="1:46" x14ac:dyDescent="0.2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7325514</v>
      </c>
      <c r="G378" s="1">
        <v>11531526</v>
      </c>
      <c r="H378" s="1">
        <v>0</v>
      </c>
      <c r="I378" s="1">
        <v>5494136</v>
      </c>
      <c r="J378" s="1">
        <v>0</v>
      </c>
      <c r="K378" s="1">
        <v>0</v>
      </c>
      <c r="L378" s="1">
        <v>3575986</v>
      </c>
      <c r="M378" s="1">
        <v>400000</v>
      </c>
      <c r="N378" s="1">
        <v>3855534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4014717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40631220</v>
      </c>
      <c r="AO378" s="1">
        <v>4229345</v>
      </c>
      <c r="AP378" s="1">
        <v>36401875</v>
      </c>
      <c r="AQ378" s="1">
        <v>7459483</v>
      </c>
      <c r="AR378" s="1">
        <v>1118922</v>
      </c>
      <c r="AS378" s="1">
        <v>0</v>
      </c>
      <c r="AT378" s="1">
        <f t="shared" si="34"/>
        <v>49209625</v>
      </c>
    </row>
    <row r="379" spans="1:46" x14ac:dyDescent="0.2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7729928</v>
      </c>
      <c r="G379" s="1">
        <v>16279029</v>
      </c>
      <c r="H379" s="1">
        <v>0</v>
      </c>
      <c r="I379" s="1">
        <v>5720147</v>
      </c>
      <c r="J379" s="1">
        <v>0</v>
      </c>
      <c r="K379" s="1">
        <v>0</v>
      </c>
      <c r="L379" s="1">
        <v>3500010</v>
      </c>
      <c r="M379" s="1">
        <v>400000</v>
      </c>
      <c r="N379" s="1">
        <v>4095326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4049173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2222538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45096151</v>
      </c>
      <c r="AO379" s="1">
        <v>6532339</v>
      </c>
      <c r="AP379" s="1">
        <v>38563812</v>
      </c>
      <c r="AQ379" s="1">
        <v>8574723</v>
      </c>
      <c r="AR379" s="1">
        <v>1286208</v>
      </c>
      <c r="AS379" s="1">
        <v>0</v>
      </c>
      <c r="AT379" s="1">
        <f t="shared" si="34"/>
        <v>54957082</v>
      </c>
    </row>
    <row r="380" spans="1:46" x14ac:dyDescent="0.2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7577364</v>
      </c>
      <c r="G380" s="1">
        <v>16400280</v>
      </c>
      <c r="H380" s="1">
        <v>0</v>
      </c>
      <c r="I380" s="1">
        <v>5531475</v>
      </c>
      <c r="J380" s="1">
        <v>0</v>
      </c>
      <c r="K380" s="1">
        <v>0</v>
      </c>
      <c r="L380" s="1">
        <v>3500010</v>
      </c>
      <c r="M380" s="1">
        <v>400000</v>
      </c>
      <c r="N380" s="1">
        <v>4014497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4083569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44829733</v>
      </c>
      <c r="AO380" s="1">
        <v>5613415</v>
      </c>
      <c r="AP380" s="1">
        <v>39216318</v>
      </c>
      <c r="AQ380" s="1">
        <v>8521439</v>
      </c>
      <c r="AR380" s="1">
        <v>1278216</v>
      </c>
      <c r="AS380" s="1">
        <v>0</v>
      </c>
      <c r="AT380" s="1">
        <f t="shared" si="34"/>
        <v>54629388</v>
      </c>
    </row>
    <row r="381" spans="1:46" x14ac:dyDescent="0.2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"قراردادي بهره بردار"</f>
        <v>قراردادي بهره بردار</v>
      </c>
      <c r="E381" s="1" t="str">
        <f>"پروژه بهره برداري نيروگاه بوشهر"</f>
        <v>پروژه بهره برداري نيروگاه بوشهر</v>
      </c>
      <c r="F381" s="1">
        <v>9491029</v>
      </c>
      <c r="G381" s="1">
        <v>8914462</v>
      </c>
      <c r="H381" s="1">
        <v>0</v>
      </c>
      <c r="I381" s="1">
        <v>8637259</v>
      </c>
      <c r="J381" s="1">
        <v>0</v>
      </c>
      <c r="K381" s="1">
        <v>0</v>
      </c>
      <c r="L381" s="1">
        <v>0</v>
      </c>
      <c r="M381" s="1">
        <v>400000</v>
      </c>
      <c r="N381" s="1">
        <v>1638291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1342000</v>
      </c>
      <c r="U381" s="1">
        <v>0</v>
      </c>
      <c r="V381" s="1">
        <v>4392877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1170208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2808499</v>
      </c>
      <c r="AM381" s="1">
        <v>0</v>
      </c>
      <c r="AN381" s="1">
        <v>42117163</v>
      </c>
      <c r="AO381" s="1">
        <v>8982427</v>
      </c>
      <c r="AP381" s="1">
        <v>33134736</v>
      </c>
      <c r="AQ381" s="1">
        <v>7710525</v>
      </c>
      <c r="AR381" s="1">
        <v>1156579</v>
      </c>
      <c r="AS381" s="1">
        <v>0</v>
      </c>
      <c r="AT381" s="1">
        <f t="shared" si="34"/>
        <v>50984267</v>
      </c>
    </row>
    <row r="382" spans="1:46" x14ac:dyDescent="0.2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 t="shared" ref="D382:D388" si="40">"قراردادي کارگري"</f>
        <v>قراردادي کارگري</v>
      </c>
      <c r="E382" s="1" t="str">
        <f t="shared" ref="E382:E388" si="41">"پروژه تعميرات نيروگاه بوشهر"</f>
        <v>پروژه تعميرات نيروگاه بوشهر</v>
      </c>
      <c r="F382" s="1">
        <v>7810260</v>
      </c>
      <c r="G382" s="1">
        <v>16203911</v>
      </c>
      <c r="H382" s="1">
        <v>0</v>
      </c>
      <c r="I382" s="1">
        <v>5779592</v>
      </c>
      <c r="J382" s="1">
        <v>0</v>
      </c>
      <c r="K382" s="1">
        <v>0</v>
      </c>
      <c r="L382" s="1">
        <v>3345440</v>
      </c>
      <c r="M382" s="1">
        <v>400000</v>
      </c>
      <c r="N382" s="1">
        <v>4165471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4171892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2222538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45199104</v>
      </c>
      <c r="AO382" s="1">
        <v>5572317</v>
      </c>
      <c r="AP382" s="1">
        <v>39626787</v>
      </c>
      <c r="AQ382" s="1">
        <v>8595313</v>
      </c>
      <c r="AR382" s="1">
        <v>1289297</v>
      </c>
      <c r="AS382" s="1">
        <v>0</v>
      </c>
      <c r="AT382" s="1">
        <f t="shared" si="34"/>
        <v>55083714</v>
      </c>
    </row>
    <row r="383" spans="1:46" x14ac:dyDescent="0.2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 t="shared" si="40"/>
        <v>قراردادي کارگري</v>
      </c>
      <c r="E383" s="1" t="str">
        <f t="shared" si="41"/>
        <v>پروژه تعميرات نيروگاه بوشهر</v>
      </c>
      <c r="F383" s="1">
        <v>8889416</v>
      </c>
      <c r="G383" s="1">
        <v>19357194</v>
      </c>
      <c r="H383" s="1">
        <v>0</v>
      </c>
      <c r="I383" s="1">
        <v>6578169</v>
      </c>
      <c r="J383" s="1">
        <v>0</v>
      </c>
      <c r="K383" s="1">
        <v>0</v>
      </c>
      <c r="L383" s="1">
        <v>3500010</v>
      </c>
      <c r="M383" s="1">
        <v>400000</v>
      </c>
      <c r="N383" s="1">
        <v>4709625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4522900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3333807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52391121</v>
      </c>
      <c r="AO383" s="1">
        <v>6205010</v>
      </c>
      <c r="AP383" s="1">
        <v>46186111</v>
      </c>
      <c r="AQ383" s="1">
        <v>9811463</v>
      </c>
      <c r="AR383" s="1">
        <v>1471719</v>
      </c>
      <c r="AS383" s="1">
        <v>0</v>
      </c>
      <c r="AT383" s="1">
        <f t="shared" si="34"/>
        <v>63674303</v>
      </c>
    </row>
    <row r="384" spans="1:46" x14ac:dyDescent="0.2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6598594</v>
      </c>
      <c r="G384" s="1">
        <v>4482805</v>
      </c>
      <c r="H384" s="1">
        <v>0</v>
      </c>
      <c r="I384" s="1">
        <v>4091129</v>
      </c>
      <c r="J384" s="1">
        <v>0</v>
      </c>
      <c r="K384" s="1">
        <v>0</v>
      </c>
      <c r="L384" s="1">
        <v>3500010</v>
      </c>
      <c r="M384" s="1">
        <v>400000</v>
      </c>
      <c r="N384" s="1">
        <v>3472944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4348133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27993615</v>
      </c>
      <c r="AO384" s="1">
        <v>3318128</v>
      </c>
      <c r="AP384" s="1">
        <v>24675487</v>
      </c>
      <c r="AQ384" s="1">
        <v>5598723</v>
      </c>
      <c r="AR384" s="1">
        <v>839808</v>
      </c>
      <c r="AS384" s="1">
        <v>0</v>
      </c>
      <c r="AT384" s="1">
        <f t="shared" si="34"/>
        <v>34432146</v>
      </c>
    </row>
    <row r="385" spans="1:46" x14ac:dyDescent="0.2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10765493</v>
      </c>
      <c r="G385" s="1">
        <v>7522753</v>
      </c>
      <c r="H385" s="1">
        <v>0</v>
      </c>
      <c r="I385" s="1">
        <v>9043014</v>
      </c>
      <c r="J385" s="1">
        <v>0</v>
      </c>
      <c r="K385" s="1">
        <v>0</v>
      </c>
      <c r="L385" s="1">
        <v>3345440</v>
      </c>
      <c r="M385" s="1">
        <v>400000</v>
      </c>
      <c r="N385" s="1">
        <v>5741598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8041570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2222538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48182406</v>
      </c>
      <c r="AO385" s="1">
        <v>6546290</v>
      </c>
      <c r="AP385" s="1">
        <v>41636116</v>
      </c>
      <c r="AQ385" s="1">
        <v>9191974</v>
      </c>
      <c r="AR385" s="1">
        <v>1378796</v>
      </c>
      <c r="AS385" s="1">
        <v>0</v>
      </c>
      <c r="AT385" s="1">
        <f t="shared" si="34"/>
        <v>58753176</v>
      </c>
    </row>
    <row r="386" spans="1:46" x14ac:dyDescent="0.2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6250491</v>
      </c>
      <c r="G386" s="1">
        <v>1562716</v>
      </c>
      <c r="H386" s="1">
        <v>0</v>
      </c>
      <c r="I386" s="1">
        <v>4500353</v>
      </c>
      <c r="J386" s="1">
        <v>0</v>
      </c>
      <c r="K386" s="1">
        <v>0</v>
      </c>
      <c r="L386" s="1">
        <v>3500010</v>
      </c>
      <c r="M386" s="1">
        <v>400000</v>
      </c>
      <c r="N386" s="1">
        <v>3289732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8355858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2631088</v>
      </c>
      <c r="AE386" s="1">
        <v>0</v>
      </c>
      <c r="AF386" s="1">
        <v>3333807</v>
      </c>
      <c r="AG386" s="1">
        <v>0</v>
      </c>
      <c r="AH386" s="1">
        <v>0</v>
      </c>
      <c r="AI386" s="1">
        <v>0</v>
      </c>
      <c r="AJ386" s="1">
        <v>2500346</v>
      </c>
      <c r="AK386" s="1">
        <v>0</v>
      </c>
      <c r="AL386" s="1">
        <v>0</v>
      </c>
      <c r="AM386" s="1">
        <v>0</v>
      </c>
      <c r="AN386" s="1">
        <v>37424401</v>
      </c>
      <c r="AO386" s="1">
        <v>5798185</v>
      </c>
      <c r="AP386" s="1">
        <v>31626216</v>
      </c>
      <c r="AQ386" s="1">
        <v>6818119</v>
      </c>
      <c r="AR386" s="1">
        <v>1022718</v>
      </c>
      <c r="AS386" s="1">
        <v>0</v>
      </c>
      <c r="AT386" s="1">
        <f t="shared" si="34"/>
        <v>45265238</v>
      </c>
    </row>
    <row r="387" spans="1:46" x14ac:dyDescent="0.2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5881911</v>
      </c>
      <c r="G387" s="1">
        <v>934926</v>
      </c>
      <c r="H387" s="1">
        <v>0</v>
      </c>
      <c r="I387" s="1">
        <v>4293796</v>
      </c>
      <c r="J387" s="1">
        <v>0</v>
      </c>
      <c r="K387" s="1">
        <v>0</v>
      </c>
      <c r="L387" s="1">
        <v>3500010</v>
      </c>
      <c r="M387" s="1">
        <v>400000</v>
      </c>
      <c r="N387" s="1">
        <v>3095743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8017442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2515719</v>
      </c>
      <c r="AE387" s="1">
        <v>0</v>
      </c>
      <c r="AF387" s="1">
        <v>2222538</v>
      </c>
      <c r="AG387" s="1">
        <v>0</v>
      </c>
      <c r="AH387" s="1">
        <v>0</v>
      </c>
      <c r="AI387" s="1">
        <v>0</v>
      </c>
      <c r="AJ387" s="1">
        <v>1196706</v>
      </c>
      <c r="AK387" s="1">
        <v>0</v>
      </c>
      <c r="AL387" s="1">
        <v>0</v>
      </c>
      <c r="AM387" s="1">
        <v>0</v>
      </c>
      <c r="AN387" s="1">
        <v>33158791</v>
      </c>
      <c r="AO387" s="1">
        <v>3049544</v>
      </c>
      <c r="AP387" s="1">
        <v>30109247</v>
      </c>
      <c r="AQ387" s="1">
        <v>6187251</v>
      </c>
      <c r="AR387" s="1">
        <v>928088</v>
      </c>
      <c r="AS387" s="1">
        <v>0</v>
      </c>
      <c r="AT387" s="1">
        <f t="shared" ref="AT387:AT450" si="42">AS387+AR387+AQ387+AN387</f>
        <v>40274130</v>
      </c>
    </row>
    <row r="388" spans="1:46" x14ac:dyDescent="0.2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7355421</v>
      </c>
      <c r="G388" s="1">
        <v>3602870</v>
      </c>
      <c r="H388" s="1">
        <v>0</v>
      </c>
      <c r="I388" s="1">
        <v>5148794</v>
      </c>
      <c r="J388" s="1">
        <v>0</v>
      </c>
      <c r="K388" s="1">
        <v>0</v>
      </c>
      <c r="L388" s="1">
        <v>3500010</v>
      </c>
      <c r="M388" s="1">
        <v>400000</v>
      </c>
      <c r="N388" s="1">
        <v>3922891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3954767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1111269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30096022</v>
      </c>
      <c r="AO388" s="1">
        <v>6362242</v>
      </c>
      <c r="AP388" s="1">
        <v>23733780</v>
      </c>
      <c r="AQ388" s="1">
        <v>5796951</v>
      </c>
      <c r="AR388" s="1">
        <v>869543</v>
      </c>
      <c r="AS388" s="1">
        <v>0</v>
      </c>
      <c r="AT388" s="1">
        <f t="shared" si="42"/>
        <v>36762516</v>
      </c>
    </row>
    <row r="389" spans="1:46" x14ac:dyDescent="0.2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"قراردادي بهره بردار"</f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19130682</v>
      </c>
      <c r="G389" s="1">
        <v>8303403</v>
      </c>
      <c r="H389" s="1">
        <v>0</v>
      </c>
      <c r="I389" s="1">
        <v>15324466</v>
      </c>
      <c r="J389" s="1">
        <v>0</v>
      </c>
      <c r="K389" s="1">
        <v>5500000</v>
      </c>
      <c r="L389" s="1">
        <v>0</v>
      </c>
      <c r="M389" s="1">
        <v>400000</v>
      </c>
      <c r="N389" s="1">
        <v>2991286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11183365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2136633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4273266</v>
      </c>
      <c r="AM389" s="1">
        <v>0</v>
      </c>
      <c r="AN389" s="1">
        <v>71454370</v>
      </c>
      <c r="AO389" s="1">
        <v>11126736</v>
      </c>
      <c r="AP389" s="1">
        <v>60327634</v>
      </c>
      <c r="AQ389" s="1">
        <v>14068620</v>
      </c>
      <c r="AR389" s="1">
        <v>2110293</v>
      </c>
      <c r="AS389" s="1">
        <v>0</v>
      </c>
      <c r="AT389" s="1">
        <f t="shared" si="42"/>
        <v>87633283</v>
      </c>
    </row>
    <row r="390" spans="1:46" x14ac:dyDescent="0.2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"قراردادي کارگري"</f>
        <v>قراردادي کارگري</v>
      </c>
      <c r="E390" s="1" t="str">
        <f>"پروژه تعميرات نيروگاه بوشهر"</f>
        <v>پروژه تعميرات نيروگاه بوشهر</v>
      </c>
      <c r="F390" s="1">
        <v>8411381</v>
      </c>
      <c r="G390" s="1">
        <v>16799234</v>
      </c>
      <c r="H390" s="1">
        <v>0</v>
      </c>
      <c r="I390" s="1">
        <v>6140308</v>
      </c>
      <c r="J390" s="1">
        <v>0</v>
      </c>
      <c r="K390" s="1">
        <v>0</v>
      </c>
      <c r="L390" s="1">
        <v>3500010</v>
      </c>
      <c r="M390" s="1">
        <v>400000</v>
      </c>
      <c r="N390" s="1">
        <v>4456361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5330669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3333807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49471770</v>
      </c>
      <c r="AO390" s="1">
        <v>5714558</v>
      </c>
      <c r="AP390" s="1">
        <v>43757212</v>
      </c>
      <c r="AQ390" s="1">
        <v>9227593</v>
      </c>
      <c r="AR390" s="1">
        <v>1384139</v>
      </c>
      <c r="AS390" s="1">
        <v>0</v>
      </c>
      <c r="AT390" s="1">
        <f t="shared" si="42"/>
        <v>60083502</v>
      </c>
    </row>
    <row r="391" spans="1:46" x14ac:dyDescent="0.2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 t="shared" ref="D391:D422" si="43">"قراردادي بهره بردار"</f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12155767</v>
      </c>
      <c r="G391" s="1">
        <v>8066772</v>
      </c>
      <c r="H391" s="1">
        <v>0</v>
      </c>
      <c r="I391" s="1">
        <v>11096138</v>
      </c>
      <c r="J391" s="1">
        <v>0</v>
      </c>
      <c r="K391" s="1">
        <v>4620000</v>
      </c>
      <c r="L391" s="1">
        <v>0</v>
      </c>
      <c r="M391" s="1">
        <v>400000</v>
      </c>
      <c r="N391" s="1">
        <v>2244847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1342000</v>
      </c>
      <c r="U391" s="1">
        <v>0</v>
      </c>
      <c r="V391" s="1">
        <v>8694501</v>
      </c>
      <c r="W391" s="1">
        <v>1100000</v>
      </c>
      <c r="X391" s="1">
        <v>1886240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1603462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10701962</v>
      </c>
      <c r="AM391" s="1">
        <v>0</v>
      </c>
      <c r="AN391" s="1">
        <v>63911689</v>
      </c>
      <c r="AO391" s="1">
        <v>8101707</v>
      </c>
      <c r="AP391" s="1">
        <v>55809982</v>
      </c>
      <c r="AQ391" s="1">
        <v>12513938</v>
      </c>
      <c r="AR391" s="1">
        <v>1877091</v>
      </c>
      <c r="AS391" s="1">
        <v>0</v>
      </c>
      <c r="AT391" s="1">
        <f t="shared" si="42"/>
        <v>78302718</v>
      </c>
    </row>
    <row r="392" spans="1:46" x14ac:dyDescent="0.2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 t="shared" si="43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10425654</v>
      </c>
      <c r="G392" s="1">
        <v>1023388</v>
      </c>
      <c r="H392" s="1">
        <v>0</v>
      </c>
      <c r="I392" s="1">
        <v>7493256</v>
      </c>
      <c r="J392" s="1">
        <v>0</v>
      </c>
      <c r="K392" s="1">
        <v>4620000</v>
      </c>
      <c r="L392" s="1">
        <v>0</v>
      </c>
      <c r="M392" s="1">
        <v>400000</v>
      </c>
      <c r="N392" s="1">
        <v>1776013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8793557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1268580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4160943</v>
      </c>
      <c r="AM392" s="1">
        <v>0</v>
      </c>
      <c r="AN392" s="1">
        <v>41061391</v>
      </c>
      <c r="AO392" s="1">
        <v>4528313</v>
      </c>
      <c r="AP392" s="1">
        <v>36533078</v>
      </c>
      <c r="AQ392" s="1">
        <v>8212278</v>
      </c>
      <c r="AR392" s="1">
        <v>1231842</v>
      </c>
      <c r="AS392" s="1">
        <v>0</v>
      </c>
      <c r="AT392" s="1">
        <f t="shared" si="42"/>
        <v>50505511</v>
      </c>
    </row>
    <row r="393" spans="1:46" x14ac:dyDescent="0.2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15083239</v>
      </c>
      <c r="G393" s="1">
        <v>8367625</v>
      </c>
      <c r="H393" s="1">
        <v>0</v>
      </c>
      <c r="I393" s="1">
        <v>12764184</v>
      </c>
      <c r="J393" s="1">
        <v>0</v>
      </c>
      <c r="K393" s="1">
        <v>5500000</v>
      </c>
      <c r="L393" s="1">
        <v>0</v>
      </c>
      <c r="M393" s="1">
        <v>400000</v>
      </c>
      <c r="N393" s="1">
        <v>2616160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15441647</v>
      </c>
      <c r="W393" s="1">
        <v>1100000</v>
      </c>
      <c r="X393" s="1">
        <v>2340503</v>
      </c>
      <c r="Y393" s="1">
        <v>0</v>
      </c>
      <c r="Z393" s="1">
        <v>0</v>
      </c>
      <c r="AA393" s="1">
        <v>0</v>
      </c>
      <c r="AB393" s="1">
        <v>0</v>
      </c>
      <c r="AC393" s="1">
        <v>3074667</v>
      </c>
      <c r="AD393" s="1">
        <v>0</v>
      </c>
      <c r="AE393" s="1">
        <v>1868686</v>
      </c>
      <c r="AF393" s="1">
        <v>2222538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14404832</v>
      </c>
      <c r="AM393" s="1">
        <v>0</v>
      </c>
      <c r="AN393" s="1">
        <v>85184081</v>
      </c>
      <c r="AO393" s="1">
        <v>17155745</v>
      </c>
      <c r="AP393" s="1">
        <v>68028336</v>
      </c>
      <c r="AQ393" s="1">
        <v>15039174</v>
      </c>
      <c r="AR393" s="1">
        <v>2255876</v>
      </c>
      <c r="AS393" s="1">
        <v>0</v>
      </c>
      <c r="AT393" s="1">
        <f t="shared" si="42"/>
        <v>102479131</v>
      </c>
    </row>
    <row r="394" spans="1:46" x14ac:dyDescent="0.2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11611605</v>
      </c>
      <c r="G394" s="1">
        <v>4834448</v>
      </c>
      <c r="H394" s="1">
        <v>0</v>
      </c>
      <c r="I394" s="1">
        <v>8360038</v>
      </c>
      <c r="J394" s="1">
        <v>0</v>
      </c>
      <c r="K394" s="1">
        <v>4620000</v>
      </c>
      <c r="L394" s="1">
        <v>0</v>
      </c>
      <c r="M394" s="1">
        <v>400000</v>
      </c>
      <c r="N394" s="1">
        <v>2183136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5992245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1559383</v>
      </c>
      <c r="AF394" s="1">
        <v>1111269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2339075</v>
      </c>
      <c r="AM394" s="1">
        <v>0</v>
      </c>
      <c r="AN394" s="1">
        <v>44111199</v>
      </c>
      <c r="AO394" s="1">
        <v>4965114</v>
      </c>
      <c r="AP394" s="1">
        <v>39146085</v>
      </c>
      <c r="AQ394" s="1">
        <v>8599986</v>
      </c>
      <c r="AR394" s="1">
        <v>1289998</v>
      </c>
      <c r="AS394" s="1">
        <v>0</v>
      </c>
      <c r="AT394" s="1">
        <f t="shared" si="42"/>
        <v>54001183</v>
      </c>
    </row>
    <row r="395" spans="1:46" x14ac:dyDescent="0.2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11430160</v>
      </c>
      <c r="G395" s="1">
        <v>8217124</v>
      </c>
      <c r="H395" s="1">
        <v>0</v>
      </c>
      <c r="I395" s="1">
        <v>10522555</v>
      </c>
      <c r="J395" s="1">
        <v>0</v>
      </c>
      <c r="K395" s="1">
        <v>4620000</v>
      </c>
      <c r="L395" s="1">
        <v>0</v>
      </c>
      <c r="M395" s="1">
        <v>400000</v>
      </c>
      <c r="N395" s="1">
        <v>2170096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1342000</v>
      </c>
      <c r="U395" s="1">
        <v>0</v>
      </c>
      <c r="V395" s="1">
        <v>8148028</v>
      </c>
      <c r="W395" s="1">
        <v>1100000</v>
      </c>
      <c r="X395" s="1">
        <v>1773645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1550068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9753325</v>
      </c>
      <c r="AM395" s="1">
        <v>0</v>
      </c>
      <c r="AN395" s="1">
        <v>61027001</v>
      </c>
      <c r="AO395" s="1">
        <v>10415855</v>
      </c>
      <c r="AP395" s="1">
        <v>50611146</v>
      </c>
      <c r="AQ395" s="1">
        <v>11937000</v>
      </c>
      <c r="AR395" s="1">
        <v>1790550</v>
      </c>
      <c r="AS395" s="1">
        <v>0</v>
      </c>
      <c r="AT395" s="1">
        <f t="shared" si="42"/>
        <v>74754551</v>
      </c>
    </row>
    <row r="396" spans="1:46" x14ac:dyDescent="0.2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 t="shared" si="43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14197516</v>
      </c>
      <c r="G396" s="1">
        <v>7639552</v>
      </c>
      <c r="H396" s="1">
        <v>0</v>
      </c>
      <c r="I396" s="1">
        <v>10999351</v>
      </c>
      <c r="J396" s="1">
        <v>0</v>
      </c>
      <c r="K396" s="1">
        <v>5500000</v>
      </c>
      <c r="L396" s="1">
        <v>0</v>
      </c>
      <c r="M396" s="1">
        <v>400000</v>
      </c>
      <c r="N396" s="1">
        <v>2253961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1342000</v>
      </c>
      <c r="U396" s="1">
        <v>0</v>
      </c>
      <c r="V396" s="1">
        <v>8359507</v>
      </c>
      <c r="W396" s="1">
        <v>1100000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1609973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3091148</v>
      </c>
      <c r="AM396" s="1">
        <v>0</v>
      </c>
      <c r="AN396" s="1">
        <v>56493008</v>
      </c>
      <c r="AO396" s="1">
        <v>22039376</v>
      </c>
      <c r="AP396" s="1">
        <v>34453632</v>
      </c>
      <c r="AQ396" s="1">
        <v>11030202</v>
      </c>
      <c r="AR396" s="1">
        <v>1654530</v>
      </c>
      <c r="AS396" s="1">
        <v>0</v>
      </c>
      <c r="AT396" s="1">
        <f t="shared" si="42"/>
        <v>69177740</v>
      </c>
    </row>
    <row r="397" spans="1:46" x14ac:dyDescent="0.2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11502799</v>
      </c>
      <c r="G397" s="1">
        <v>5477790</v>
      </c>
      <c r="H397" s="1">
        <v>0</v>
      </c>
      <c r="I397" s="1">
        <v>9247087</v>
      </c>
      <c r="J397" s="1">
        <v>0</v>
      </c>
      <c r="K397" s="1">
        <v>4620000</v>
      </c>
      <c r="L397" s="1">
        <v>0</v>
      </c>
      <c r="M397" s="1">
        <v>400000</v>
      </c>
      <c r="N397" s="1">
        <v>2181048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1342000</v>
      </c>
      <c r="U397" s="1">
        <v>0</v>
      </c>
      <c r="V397" s="1">
        <v>7544067</v>
      </c>
      <c r="W397" s="1">
        <v>1100000</v>
      </c>
      <c r="X397" s="1">
        <v>1784917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1557892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8311463</v>
      </c>
      <c r="AM397" s="1">
        <v>0</v>
      </c>
      <c r="AN397" s="1">
        <v>55069063</v>
      </c>
      <c r="AO397" s="1">
        <v>7601329</v>
      </c>
      <c r="AP397" s="1">
        <v>47467734</v>
      </c>
      <c r="AQ397" s="1">
        <v>10745413</v>
      </c>
      <c r="AR397" s="1">
        <v>1611812</v>
      </c>
      <c r="AS397" s="1">
        <v>0</v>
      </c>
      <c r="AT397" s="1">
        <f t="shared" si="42"/>
        <v>67426288</v>
      </c>
    </row>
    <row r="398" spans="1:46" x14ac:dyDescent="0.2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14559455</v>
      </c>
      <c r="G398" s="1">
        <v>1321452</v>
      </c>
      <c r="H398" s="1">
        <v>0</v>
      </c>
      <c r="I398" s="1">
        <v>10529371</v>
      </c>
      <c r="J398" s="1">
        <v>0</v>
      </c>
      <c r="K398" s="1">
        <v>5500000</v>
      </c>
      <c r="L398" s="1">
        <v>0</v>
      </c>
      <c r="M398" s="1">
        <v>400000</v>
      </c>
      <c r="N398" s="1">
        <v>2402477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11294509</v>
      </c>
      <c r="W398" s="1">
        <v>1100000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1716056</v>
      </c>
      <c r="AF398" s="1">
        <v>1111269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3294825</v>
      </c>
      <c r="AM398" s="1">
        <v>0</v>
      </c>
      <c r="AN398" s="1">
        <v>53229414</v>
      </c>
      <c r="AO398" s="1">
        <v>10664249</v>
      </c>
      <c r="AP398" s="1">
        <v>42565165</v>
      </c>
      <c r="AQ398" s="1">
        <v>10423629</v>
      </c>
      <c r="AR398" s="1">
        <v>1563544</v>
      </c>
      <c r="AS398" s="1">
        <v>0</v>
      </c>
      <c r="AT398" s="1">
        <f t="shared" si="42"/>
        <v>65216587</v>
      </c>
    </row>
    <row r="399" spans="1:46" x14ac:dyDescent="0.2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11687579</v>
      </c>
      <c r="G399" s="1">
        <v>1574357</v>
      </c>
      <c r="H399" s="1">
        <v>0</v>
      </c>
      <c r="I399" s="1">
        <v>9863983</v>
      </c>
      <c r="J399" s="1">
        <v>0</v>
      </c>
      <c r="K399" s="1">
        <v>4620000</v>
      </c>
      <c r="L399" s="1">
        <v>0</v>
      </c>
      <c r="M399" s="1">
        <v>400000</v>
      </c>
      <c r="N399" s="1">
        <v>2252053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1342000</v>
      </c>
      <c r="U399" s="1">
        <v>0</v>
      </c>
      <c r="V399" s="1">
        <v>7805593</v>
      </c>
      <c r="W399" s="1">
        <v>1100000</v>
      </c>
      <c r="X399" s="1">
        <v>1813590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1608610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8525135</v>
      </c>
      <c r="AM399" s="1">
        <v>0</v>
      </c>
      <c r="AN399" s="1">
        <v>52592900</v>
      </c>
      <c r="AO399" s="1">
        <v>19898507</v>
      </c>
      <c r="AP399" s="1">
        <v>32694393</v>
      </c>
      <c r="AQ399" s="1">
        <v>10250180</v>
      </c>
      <c r="AR399" s="1">
        <v>1537527</v>
      </c>
      <c r="AS399" s="1">
        <v>0</v>
      </c>
      <c r="AT399" s="1">
        <f t="shared" si="42"/>
        <v>64380607</v>
      </c>
    </row>
    <row r="400" spans="1:46" x14ac:dyDescent="0.2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 t="shared" si="43"/>
        <v>قراردادي بهره بردار</v>
      </c>
      <c r="E400" s="1" t="str">
        <f>"پروژه تعميرات نيروگاه بوشهر"</f>
        <v>پروژه تعميرات نيروگاه بوشهر</v>
      </c>
      <c r="F400" s="1">
        <v>10351301</v>
      </c>
      <c r="G400" s="1">
        <v>3064848</v>
      </c>
      <c r="H400" s="1">
        <v>0</v>
      </c>
      <c r="I400" s="1">
        <v>4585859</v>
      </c>
      <c r="J400" s="1">
        <v>0</v>
      </c>
      <c r="K400" s="1">
        <v>4620000</v>
      </c>
      <c r="L400" s="1">
        <v>0</v>
      </c>
      <c r="M400" s="1">
        <v>400000</v>
      </c>
      <c r="N400" s="1">
        <v>1729369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7760524</v>
      </c>
      <c r="W400" s="1">
        <v>1100000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1235264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3359917</v>
      </c>
      <c r="AM400" s="1">
        <v>0</v>
      </c>
      <c r="AN400" s="1">
        <v>38207082</v>
      </c>
      <c r="AO400" s="1">
        <v>7355747</v>
      </c>
      <c r="AP400" s="1">
        <v>30851335</v>
      </c>
      <c r="AQ400" s="1">
        <v>7641416</v>
      </c>
      <c r="AR400" s="1">
        <v>1146212</v>
      </c>
      <c r="AS400" s="1">
        <v>0</v>
      </c>
      <c r="AT400" s="1">
        <f t="shared" si="42"/>
        <v>46994710</v>
      </c>
    </row>
    <row r="401" spans="1:46" x14ac:dyDescent="0.2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11186009</v>
      </c>
      <c r="G401" s="1">
        <v>5798270</v>
      </c>
      <c r="H401" s="1">
        <v>0</v>
      </c>
      <c r="I401" s="1">
        <v>8953750</v>
      </c>
      <c r="J401" s="1">
        <v>0</v>
      </c>
      <c r="K401" s="1">
        <v>4620000</v>
      </c>
      <c r="L401" s="1">
        <v>0</v>
      </c>
      <c r="M401" s="1">
        <v>400000</v>
      </c>
      <c r="N401" s="1">
        <v>2092058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1342000</v>
      </c>
      <c r="U401" s="1">
        <v>0</v>
      </c>
      <c r="V401" s="1">
        <v>13651832</v>
      </c>
      <c r="W401" s="1">
        <v>1100000</v>
      </c>
      <c r="X401" s="1">
        <v>1735760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1494328</v>
      </c>
      <c r="AF401" s="1">
        <v>1111269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7838785</v>
      </c>
      <c r="AM401" s="1">
        <v>0</v>
      </c>
      <c r="AN401" s="1">
        <v>61324061</v>
      </c>
      <c r="AO401" s="1">
        <v>26571428</v>
      </c>
      <c r="AP401" s="1">
        <v>34752633</v>
      </c>
      <c r="AQ401" s="1">
        <v>11774158</v>
      </c>
      <c r="AR401" s="1">
        <v>1766124</v>
      </c>
      <c r="AS401" s="1">
        <v>0</v>
      </c>
      <c r="AT401" s="1">
        <f t="shared" si="42"/>
        <v>74864343</v>
      </c>
    </row>
    <row r="402" spans="1:46" x14ac:dyDescent="0.2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11125256</v>
      </c>
      <c r="G402" s="1">
        <v>0</v>
      </c>
      <c r="H402" s="1">
        <v>0</v>
      </c>
      <c r="I402" s="1">
        <v>8818310</v>
      </c>
      <c r="J402" s="1">
        <v>0</v>
      </c>
      <c r="K402" s="1">
        <v>3465000</v>
      </c>
      <c r="L402" s="1">
        <v>0</v>
      </c>
      <c r="M402" s="1">
        <v>400000</v>
      </c>
      <c r="N402" s="1">
        <v>2047462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12224266</v>
      </c>
      <c r="W402" s="1">
        <v>1100000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1462473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4328919</v>
      </c>
      <c r="AM402" s="1">
        <v>0</v>
      </c>
      <c r="AN402" s="1">
        <v>44971686</v>
      </c>
      <c r="AO402" s="1">
        <v>6795243</v>
      </c>
      <c r="AP402" s="1">
        <v>38176443</v>
      </c>
      <c r="AQ402" s="1">
        <v>8994337</v>
      </c>
      <c r="AR402" s="1">
        <v>1349151</v>
      </c>
      <c r="AS402" s="1">
        <v>0</v>
      </c>
      <c r="AT402" s="1">
        <f t="shared" si="42"/>
        <v>55315174</v>
      </c>
    </row>
    <row r="403" spans="1:46" x14ac:dyDescent="0.2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 t="shared" si="43"/>
        <v>قراردادي بهره بردار</v>
      </c>
      <c r="E403" s="1" t="str">
        <f>"پروژه تعميرات نيروگاه بوشهر"</f>
        <v>پروژه تعميرات نيروگاه بوشهر</v>
      </c>
      <c r="F403" s="1">
        <v>10894913</v>
      </c>
      <c r="G403" s="1">
        <v>1863013</v>
      </c>
      <c r="H403" s="1">
        <v>0</v>
      </c>
      <c r="I403" s="1">
        <v>8781633</v>
      </c>
      <c r="J403" s="1">
        <v>0</v>
      </c>
      <c r="K403" s="1">
        <v>4620000</v>
      </c>
      <c r="L403" s="1">
        <v>0</v>
      </c>
      <c r="M403" s="1">
        <v>400000</v>
      </c>
      <c r="N403" s="1">
        <v>1971907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11007147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1408505</v>
      </c>
      <c r="AF403" s="1">
        <v>1111269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7099608</v>
      </c>
      <c r="AM403" s="1">
        <v>0</v>
      </c>
      <c r="AN403" s="1">
        <v>50257995</v>
      </c>
      <c r="AO403" s="1">
        <v>7630642</v>
      </c>
      <c r="AP403" s="1">
        <v>42627353</v>
      </c>
      <c r="AQ403" s="1">
        <v>9829345</v>
      </c>
      <c r="AR403" s="1">
        <v>1474402</v>
      </c>
      <c r="AS403" s="1">
        <v>0</v>
      </c>
      <c r="AT403" s="1">
        <f t="shared" si="42"/>
        <v>61561742</v>
      </c>
    </row>
    <row r="404" spans="1:46" x14ac:dyDescent="0.2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11701729</v>
      </c>
      <c r="G404" s="1">
        <v>10501317</v>
      </c>
      <c r="H404" s="1">
        <v>0</v>
      </c>
      <c r="I404" s="1">
        <v>9578945</v>
      </c>
      <c r="J404" s="1">
        <v>0</v>
      </c>
      <c r="K404" s="1">
        <v>4620000</v>
      </c>
      <c r="L404" s="1">
        <v>0</v>
      </c>
      <c r="M404" s="1">
        <v>400000</v>
      </c>
      <c r="N404" s="1">
        <v>2253388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1342000</v>
      </c>
      <c r="U404" s="1">
        <v>0</v>
      </c>
      <c r="V404" s="1">
        <v>7656627</v>
      </c>
      <c r="W404" s="1">
        <v>1100000</v>
      </c>
      <c r="X404" s="1">
        <v>1815786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1609563</v>
      </c>
      <c r="AF404" s="1">
        <v>1111269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8146059</v>
      </c>
      <c r="AM404" s="1">
        <v>0</v>
      </c>
      <c r="AN404" s="1">
        <v>61836683</v>
      </c>
      <c r="AO404" s="1">
        <v>11283000</v>
      </c>
      <c r="AP404" s="1">
        <v>50553683</v>
      </c>
      <c r="AQ404" s="1">
        <v>11876683</v>
      </c>
      <c r="AR404" s="1">
        <v>1781502</v>
      </c>
      <c r="AS404" s="1">
        <v>0</v>
      </c>
      <c r="AT404" s="1">
        <f t="shared" si="42"/>
        <v>75494868</v>
      </c>
    </row>
    <row r="405" spans="1:46" x14ac:dyDescent="0.2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12559233</v>
      </c>
      <c r="G405" s="1">
        <v>5921289</v>
      </c>
      <c r="H405" s="1">
        <v>0</v>
      </c>
      <c r="I405" s="1">
        <v>10499603</v>
      </c>
      <c r="J405" s="1">
        <v>0</v>
      </c>
      <c r="K405" s="1">
        <v>4620000</v>
      </c>
      <c r="L405" s="1">
        <v>0</v>
      </c>
      <c r="M405" s="1">
        <v>400000</v>
      </c>
      <c r="N405" s="1">
        <v>2395461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1342000</v>
      </c>
      <c r="U405" s="1">
        <v>0</v>
      </c>
      <c r="V405" s="1">
        <v>12516777</v>
      </c>
      <c r="W405" s="1">
        <v>1100000</v>
      </c>
      <c r="X405" s="1">
        <v>1948847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1711044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9379993</v>
      </c>
      <c r="AM405" s="1">
        <v>0</v>
      </c>
      <c r="AN405" s="1">
        <v>64394247</v>
      </c>
      <c r="AO405" s="1">
        <v>10102779</v>
      </c>
      <c r="AP405" s="1">
        <v>54291468</v>
      </c>
      <c r="AQ405" s="1">
        <v>12610449</v>
      </c>
      <c r="AR405" s="1">
        <v>1891567</v>
      </c>
      <c r="AS405" s="1">
        <v>0</v>
      </c>
      <c r="AT405" s="1">
        <f t="shared" si="42"/>
        <v>78896263</v>
      </c>
    </row>
    <row r="406" spans="1:46" x14ac:dyDescent="0.2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11200040</v>
      </c>
      <c r="G406" s="1">
        <v>0</v>
      </c>
      <c r="H406" s="1">
        <v>0</v>
      </c>
      <c r="I406" s="1">
        <v>9094337</v>
      </c>
      <c r="J406" s="1">
        <v>0</v>
      </c>
      <c r="K406" s="1">
        <v>4620000</v>
      </c>
      <c r="L406" s="1">
        <v>0</v>
      </c>
      <c r="M406" s="1">
        <v>400000</v>
      </c>
      <c r="N406" s="1">
        <v>2064773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1342000</v>
      </c>
      <c r="U406" s="1">
        <v>0</v>
      </c>
      <c r="V406" s="1">
        <v>10163625</v>
      </c>
      <c r="W406" s="1">
        <v>1100000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1474839</v>
      </c>
      <c r="AF406" s="1">
        <v>1111269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4011560</v>
      </c>
      <c r="AM406" s="1">
        <v>0</v>
      </c>
      <c r="AN406" s="1">
        <v>46582443</v>
      </c>
      <c r="AO406" s="1">
        <v>24494835</v>
      </c>
      <c r="AP406" s="1">
        <v>22087608</v>
      </c>
      <c r="AQ406" s="1">
        <v>8825835</v>
      </c>
      <c r="AR406" s="1">
        <v>1323875</v>
      </c>
      <c r="AS406" s="1">
        <v>0</v>
      </c>
      <c r="AT406" s="1">
        <f t="shared" si="42"/>
        <v>56732153</v>
      </c>
    </row>
    <row r="407" spans="1:46" x14ac:dyDescent="0.2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 t="shared" si="43"/>
        <v>قراردادي بهره بردار</v>
      </c>
      <c r="E407" s="1" t="str">
        <f t="shared" ref="E407:E424" si="44">"پروژه بهره برداري نيروگاه بوشهر"</f>
        <v>پروژه بهره برداري نيروگاه بوشهر</v>
      </c>
      <c r="F407" s="1">
        <v>11706950</v>
      </c>
      <c r="G407" s="1">
        <v>2081347</v>
      </c>
      <c r="H407" s="1">
        <v>0</v>
      </c>
      <c r="I407" s="1">
        <v>8990542</v>
      </c>
      <c r="J407" s="1">
        <v>0</v>
      </c>
      <c r="K407" s="1">
        <v>4620000</v>
      </c>
      <c r="L407" s="1">
        <v>0</v>
      </c>
      <c r="M407" s="1">
        <v>400000</v>
      </c>
      <c r="N407" s="1">
        <v>2248523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1342000</v>
      </c>
      <c r="U407" s="1">
        <v>0</v>
      </c>
      <c r="V407" s="1">
        <v>7370876</v>
      </c>
      <c r="W407" s="1">
        <v>1100000</v>
      </c>
      <c r="X407" s="1">
        <v>1816596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1606088</v>
      </c>
      <c r="AF407" s="1">
        <v>1111269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7495182</v>
      </c>
      <c r="AM407" s="1">
        <v>0</v>
      </c>
      <c r="AN407" s="1">
        <v>51889373</v>
      </c>
      <c r="AO407" s="1">
        <v>6006392</v>
      </c>
      <c r="AP407" s="1">
        <v>45882981</v>
      </c>
      <c r="AQ407" s="1">
        <v>9887221</v>
      </c>
      <c r="AR407" s="1">
        <v>1483083</v>
      </c>
      <c r="AS407" s="1">
        <v>0</v>
      </c>
      <c r="AT407" s="1">
        <f t="shared" si="42"/>
        <v>63259677</v>
      </c>
    </row>
    <row r="408" spans="1:46" x14ac:dyDescent="0.2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 t="shared" si="43"/>
        <v>قراردادي بهره بردار</v>
      </c>
      <c r="E408" s="1" t="str">
        <f t="shared" si="44"/>
        <v>پروژه بهره برداري نيروگاه بوشهر</v>
      </c>
      <c r="F408" s="1">
        <v>11549947</v>
      </c>
      <c r="G408" s="1">
        <v>6714962</v>
      </c>
      <c r="H408" s="1">
        <v>0</v>
      </c>
      <c r="I408" s="1">
        <v>9091391</v>
      </c>
      <c r="J408" s="1">
        <v>0</v>
      </c>
      <c r="K408" s="1">
        <v>3465000</v>
      </c>
      <c r="L408" s="1">
        <v>0</v>
      </c>
      <c r="M408" s="1">
        <v>400000</v>
      </c>
      <c r="N408" s="1">
        <v>2170962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6402402</v>
      </c>
      <c r="W408" s="1">
        <v>1100000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1550688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3473540</v>
      </c>
      <c r="AM408" s="1">
        <v>0</v>
      </c>
      <c r="AN408" s="1">
        <v>45918892</v>
      </c>
      <c r="AO408" s="1">
        <v>11358533</v>
      </c>
      <c r="AP408" s="1">
        <v>34560359</v>
      </c>
      <c r="AQ408" s="1">
        <v>9183778</v>
      </c>
      <c r="AR408" s="1">
        <v>1377567</v>
      </c>
      <c r="AS408" s="1">
        <v>0</v>
      </c>
      <c r="AT408" s="1">
        <f t="shared" si="42"/>
        <v>56480237</v>
      </c>
    </row>
    <row r="409" spans="1:46" x14ac:dyDescent="0.2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13252731</v>
      </c>
      <c r="G409" s="1">
        <v>1276302</v>
      </c>
      <c r="H409" s="1">
        <v>0</v>
      </c>
      <c r="I409" s="1">
        <v>11153669</v>
      </c>
      <c r="J409" s="1">
        <v>0</v>
      </c>
      <c r="K409" s="1">
        <v>4620000</v>
      </c>
      <c r="L409" s="1">
        <v>0</v>
      </c>
      <c r="M409" s="1">
        <v>400000</v>
      </c>
      <c r="N409" s="1">
        <v>2607782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7909810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1862701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5513594</v>
      </c>
      <c r="AM409" s="1">
        <v>0</v>
      </c>
      <c r="AN409" s="1">
        <v>49696589</v>
      </c>
      <c r="AO409" s="1">
        <v>26053649</v>
      </c>
      <c r="AP409" s="1">
        <v>23642940</v>
      </c>
      <c r="AQ409" s="1">
        <v>9939318</v>
      </c>
      <c r="AR409" s="1">
        <v>1490898</v>
      </c>
      <c r="AS409" s="1">
        <v>0</v>
      </c>
      <c r="AT409" s="1">
        <f t="shared" si="42"/>
        <v>61126805</v>
      </c>
    </row>
    <row r="410" spans="1:46" x14ac:dyDescent="0.2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11232764</v>
      </c>
      <c r="G410" s="1">
        <v>1980512</v>
      </c>
      <c r="H410" s="1">
        <v>0</v>
      </c>
      <c r="I410" s="1">
        <v>8662527</v>
      </c>
      <c r="J410" s="1">
        <v>0</v>
      </c>
      <c r="K410" s="1">
        <v>3465000</v>
      </c>
      <c r="L410" s="1">
        <v>0</v>
      </c>
      <c r="M410" s="1">
        <v>400000</v>
      </c>
      <c r="N410" s="1">
        <v>2074057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1342000</v>
      </c>
      <c r="U410" s="1">
        <v>0</v>
      </c>
      <c r="V410" s="1">
        <v>7013779</v>
      </c>
      <c r="W410" s="1">
        <v>1100000</v>
      </c>
      <c r="X410" s="1">
        <v>1743015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1481469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7043874</v>
      </c>
      <c r="AM410" s="1">
        <v>0</v>
      </c>
      <c r="AN410" s="1">
        <v>47538997</v>
      </c>
      <c r="AO410" s="1">
        <v>5681096</v>
      </c>
      <c r="AP410" s="1">
        <v>41857901</v>
      </c>
      <c r="AQ410" s="1">
        <v>9239399</v>
      </c>
      <c r="AR410" s="1">
        <v>1385910</v>
      </c>
      <c r="AS410" s="1">
        <v>0</v>
      </c>
      <c r="AT410" s="1">
        <f t="shared" si="42"/>
        <v>58164306</v>
      </c>
    </row>
    <row r="411" spans="1:46" x14ac:dyDescent="0.2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11812197</v>
      </c>
      <c r="G411" s="1">
        <v>7795479</v>
      </c>
      <c r="H411" s="1">
        <v>0</v>
      </c>
      <c r="I411" s="1">
        <v>9601394</v>
      </c>
      <c r="J411" s="1">
        <v>0</v>
      </c>
      <c r="K411" s="1">
        <v>3465000</v>
      </c>
      <c r="L411" s="1">
        <v>0</v>
      </c>
      <c r="M411" s="1">
        <v>400000</v>
      </c>
      <c r="N411" s="1">
        <v>2293861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1342000</v>
      </c>
      <c r="U411" s="1">
        <v>0</v>
      </c>
      <c r="V411" s="1">
        <v>7729929</v>
      </c>
      <c r="W411" s="1">
        <v>1100000</v>
      </c>
      <c r="X411" s="1">
        <v>1832927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1638472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8262458</v>
      </c>
      <c r="AM411" s="1">
        <v>0</v>
      </c>
      <c r="AN411" s="1">
        <v>57273717</v>
      </c>
      <c r="AO411" s="1">
        <v>11109412</v>
      </c>
      <c r="AP411" s="1">
        <v>46164305</v>
      </c>
      <c r="AQ411" s="1">
        <v>11186343</v>
      </c>
      <c r="AR411" s="1">
        <v>1677952</v>
      </c>
      <c r="AS411" s="1">
        <v>0</v>
      </c>
      <c r="AT411" s="1">
        <f t="shared" si="42"/>
        <v>70138012</v>
      </c>
    </row>
    <row r="412" spans="1:46" x14ac:dyDescent="0.2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11214930</v>
      </c>
      <c r="G412" s="1">
        <v>5047522</v>
      </c>
      <c r="H412" s="1">
        <v>0</v>
      </c>
      <c r="I412" s="1">
        <v>9704576</v>
      </c>
      <c r="J412" s="1">
        <v>0</v>
      </c>
      <c r="K412" s="1">
        <v>4620000</v>
      </c>
      <c r="L412" s="1">
        <v>0</v>
      </c>
      <c r="M412" s="1">
        <v>400000</v>
      </c>
      <c r="N412" s="1">
        <v>2099468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11808658</v>
      </c>
      <c r="W412" s="1">
        <v>1100000</v>
      </c>
      <c r="X412" s="1">
        <v>1740248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1499620</v>
      </c>
      <c r="AF412" s="1">
        <v>1111269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8283232</v>
      </c>
      <c r="AM412" s="1">
        <v>0</v>
      </c>
      <c r="AN412" s="1">
        <v>58629523</v>
      </c>
      <c r="AO412" s="1">
        <v>27251296</v>
      </c>
      <c r="AP412" s="1">
        <v>31378227</v>
      </c>
      <c r="AQ412" s="1">
        <v>11503651</v>
      </c>
      <c r="AR412" s="1">
        <v>1725548</v>
      </c>
      <c r="AS412" s="1">
        <v>0</v>
      </c>
      <c r="AT412" s="1">
        <f t="shared" si="42"/>
        <v>71858722</v>
      </c>
    </row>
    <row r="413" spans="1:46" x14ac:dyDescent="0.2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10114399</v>
      </c>
      <c r="G413" s="1">
        <v>6173565</v>
      </c>
      <c r="H413" s="1">
        <v>0</v>
      </c>
      <c r="I413" s="1">
        <v>7738616</v>
      </c>
      <c r="J413" s="1">
        <v>0</v>
      </c>
      <c r="K413" s="1">
        <v>4620000</v>
      </c>
      <c r="L413" s="1">
        <v>0</v>
      </c>
      <c r="M413" s="1">
        <v>400000</v>
      </c>
      <c r="N413" s="1">
        <v>1689140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1342000</v>
      </c>
      <c r="U413" s="1">
        <v>0</v>
      </c>
      <c r="V413" s="1">
        <v>11908494</v>
      </c>
      <c r="W413" s="1">
        <v>1100000</v>
      </c>
      <c r="X413" s="1">
        <v>1569476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1206529</v>
      </c>
      <c r="AF413" s="1">
        <v>1111269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6316077</v>
      </c>
      <c r="AM413" s="1">
        <v>0</v>
      </c>
      <c r="AN413" s="1">
        <v>55289565</v>
      </c>
      <c r="AO413" s="1">
        <v>11372850</v>
      </c>
      <c r="AP413" s="1">
        <v>43916715</v>
      </c>
      <c r="AQ413" s="1">
        <v>10567259</v>
      </c>
      <c r="AR413" s="1">
        <v>1585089</v>
      </c>
      <c r="AS413" s="1">
        <v>0</v>
      </c>
      <c r="AT413" s="1">
        <f t="shared" si="42"/>
        <v>67441913</v>
      </c>
    </row>
    <row r="414" spans="1:46" x14ac:dyDescent="0.2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10761789</v>
      </c>
      <c r="G414" s="1">
        <v>9103299</v>
      </c>
      <c r="H414" s="1">
        <v>0</v>
      </c>
      <c r="I414" s="1">
        <v>8199901</v>
      </c>
      <c r="J414" s="1">
        <v>0</v>
      </c>
      <c r="K414" s="1">
        <v>4620000</v>
      </c>
      <c r="L414" s="1">
        <v>0</v>
      </c>
      <c r="M414" s="1">
        <v>400000</v>
      </c>
      <c r="N414" s="1">
        <v>1921153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1342000</v>
      </c>
      <c r="U414" s="1">
        <v>0</v>
      </c>
      <c r="V414" s="1">
        <v>9694393</v>
      </c>
      <c r="W414" s="1">
        <v>1100000</v>
      </c>
      <c r="X414" s="1">
        <v>1669933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1372252</v>
      </c>
      <c r="AF414" s="1">
        <v>1111269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8278424</v>
      </c>
      <c r="AM414" s="1">
        <v>0</v>
      </c>
      <c r="AN414" s="1">
        <v>59574413</v>
      </c>
      <c r="AO414" s="1">
        <v>12261807</v>
      </c>
      <c r="AP414" s="1">
        <v>47312606</v>
      </c>
      <c r="AQ414" s="1">
        <v>11424229</v>
      </c>
      <c r="AR414" s="1">
        <v>1713634</v>
      </c>
      <c r="AS414" s="1">
        <v>0</v>
      </c>
      <c r="AT414" s="1">
        <f t="shared" si="42"/>
        <v>72712276</v>
      </c>
    </row>
    <row r="415" spans="1:46" x14ac:dyDescent="0.2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11425380</v>
      </c>
      <c r="G415" s="1">
        <v>4686646</v>
      </c>
      <c r="H415" s="1">
        <v>0</v>
      </c>
      <c r="I415" s="1">
        <v>8987769</v>
      </c>
      <c r="J415" s="1">
        <v>0</v>
      </c>
      <c r="K415" s="1">
        <v>4620000</v>
      </c>
      <c r="L415" s="1">
        <v>0</v>
      </c>
      <c r="M415" s="1">
        <v>400000</v>
      </c>
      <c r="N415" s="1">
        <v>2147261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1342000</v>
      </c>
      <c r="U415" s="1">
        <v>0</v>
      </c>
      <c r="V415" s="1">
        <v>7261307</v>
      </c>
      <c r="W415" s="1">
        <v>1100000</v>
      </c>
      <c r="X415" s="1">
        <v>1464577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1533757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7476734</v>
      </c>
      <c r="AM415" s="1">
        <v>0</v>
      </c>
      <c r="AN415" s="1">
        <v>52445431</v>
      </c>
      <c r="AO415" s="1">
        <v>8444012</v>
      </c>
      <c r="AP415" s="1">
        <v>44001419</v>
      </c>
      <c r="AQ415" s="1">
        <v>10220686</v>
      </c>
      <c r="AR415" s="1">
        <v>1533103</v>
      </c>
      <c r="AS415" s="1">
        <v>0</v>
      </c>
      <c r="AT415" s="1">
        <f t="shared" si="42"/>
        <v>64199220</v>
      </c>
    </row>
    <row r="416" spans="1:46" x14ac:dyDescent="0.2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13978444</v>
      </c>
      <c r="G416" s="1">
        <v>7402006</v>
      </c>
      <c r="H416" s="1">
        <v>0</v>
      </c>
      <c r="I416" s="1">
        <v>10620091</v>
      </c>
      <c r="J416" s="1">
        <v>0</v>
      </c>
      <c r="K416" s="1">
        <v>5500000</v>
      </c>
      <c r="L416" s="1">
        <v>0</v>
      </c>
      <c r="M416" s="1">
        <v>400000</v>
      </c>
      <c r="N416" s="1">
        <v>2229481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1342000</v>
      </c>
      <c r="U416" s="1">
        <v>0</v>
      </c>
      <c r="V416" s="1">
        <v>15593271</v>
      </c>
      <c r="W416" s="1">
        <v>1100000</v>
      </c>
      <c r="X416" s="1">
        <v>2169069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1592487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7633304</v>
      </c>
      <c r="AM416" s="1">
        <v>0</v>
      </c>
      <c r="AN416" s="1">
        <v>69560153</v>
      </c>
      <c r="AO416" s="1">
        <v>9050651</v>
      </c>
      <c r="AP416" s="1">
        <v>60509502</v>
      </c>
      <c r="AQ416" s="1">
        <v>13643631</v>
      </c>
      <c r="AR416" s="1">
        <v>2046545</v>
      </c>
      <c r="AS416" s="1">
        <v>0</v>
      </c>
      <c r="AT416" s="1">
        <f t="shared" si="42"/>
        <v>85250329</v>
      </c>
    </row>
    <row r="417" spans="1:46" x14ac:dyDescent="0.2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11588472</v>
      </c>
      <c r="G417" s="1">
        <v>5043845</v>
      </c>
      <c r="H417" s="1">
        <v>0</v>
      </c>
      <c r="I417" s="1">
        <v>8969356</v>
      </c>
      <c r="J417" s="1">
        <v>0</v>
      </c>
      <c r="K417" s="1">
        <v>4620000</v>
      </c>
      <c r="L417" s="1">
        <v>0</v>
      </c>
      <c r="M417" s="1">
        <v>400000</v>
      </c>
      <c r="N417" s="1">
        <v>2206693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1342000</v>
      </c>
      <c r="U417" s="1">
        <v>0</v>
      </c>
      <c r="V417" s="1">
        <v>7355048</v>
      </c>
      <c r="W417" s="1">
        <v>1100000</v>
      </c>
      <c r="X417" s="1">
        <v>1798211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1576210</v>
      </c>
      <c r="AF417" s="1">
        <v>1111269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7637736</v>
      </c>
      <c r="AM417" s="1">
        <v>0</v>
      </c>
      <c r="AN417" s="1">
        <v>54748840</v>
      </c>
      <c r="AO417" s="1">
        <v>6786782</v>
      </c>
      <c r="AP417" s="1">
        <v>47962058</v>
      </c>
      <c r="AQ417" s="1">
        <v>10459114</v>
      </c>
      <c r="AR417" s="1">
        <v>1568867</v>
      </c>
      <c r="AS417" s="1">
        <v>0</v>
      </c>
      <c r="AT417" s="1">
        <f t="shared" si="42"/>
        <v>66776821</v>
      </c>
    </row>
    <row r="418" spans="1:46" x14ac:dyDescent="0.2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11088101</v>
      </c>
      <c r="G418" s="1">
        <v>8495300</v>
      </c>
      <c r="H418" s="1">
        <v>0</v>
      </c>
      <c r="I418" s="1">
        <v>8416931</v>
      </c>
      <c r="J418" s="1">
        <v>0</v>
      </c>
      <c r="K418" s="1">
        <v>3465000</v>
      </c>
      <c r="L418" s="1">
        <v>0</v>
      </c>
      <c r="M418" s="1">
        <v>400000</v>
      </c>
      <c r="N418" s="1">
        <v>2018360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10193347</v>
      </c>
      <c r="W418" s="1">
        <v>1100000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1441686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3171708</v>
      </c>
      <c r="AM418" s="1">
        <v>0</v>
      </c>
      <c r="AN418" s="1">
        <v>49790433</v>
      </c>
      <c r="AO418" s="1">
        <v>5994792</v>
      </c>
      <c r="AP418" s="1">
        <v>43795641</v>
      </c>
      <c r="AQ418" s="1">
        <v>9958087</v>
      </c>
      <c r="AR418" s="1">
        <v>1493713</v>
      </c>
      <c r="AS418" s="1">
        <v>0</v>
      </c>
      <c r="AT418" s="1">
        <f t="shared" si="42"/>
        <v>61242233</v>
      </c>
    </row>
    <row r="419" spans="1:46" x14ac:dyDescent="0.2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11362313</v>
      </c>
      <c r="G419" s="1">
        <v>4999649</v>
      </c>
      <c r="H419" s="1">
        <v>0</v>
      </c>
      <c r="I419" s="1">
        <v>9424184</v>
      </c>
      <c r="J419" s="1">
        <v>0</v>
      </c>
      <c r="K419" s="1">
        <v>4620000</v>
      </c>
      <c r="L419" s="1">
        <v>0</v>
      </c>
      <c r="M419" s="1">
        <v>400000</v>
      </c>
      <c r="N419" s="1">
        <v>2149062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1342000</v>
      </c>
      <c r="U419" s="1">
        <v>0</v>
      </c>
      <c r="V419" s="1">
        <v>11273128</v>
      </c>
      <c r="W419" s="1">
        <v>1100000</v>
      </c>
      <c r="X419" s="1">
        <v>1763118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1535043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8443640</v>
      </c>
      <c r="AM419" s="1">
        <v>0</v>
      </c>
      <c r="AN419" s="1">
        <v>58412137</v>
      </c>
      <c r="AO419" s="1">
        <v>7177785</v>
      </c>
      <c r="AP419" s="1">
        <v>51234352</v>
      </c>
      <c r="AQ419" s="1">
        <v>11414027</v>
      </c>
      <c r="AR419" s="1">
        <v>1712104</v>
      </c>
      <c r="AS419" s="1">
        <v>0</v>
      </c>
      <c r="AT419" s="1">
        <f t="shared" si="42"/>
        <v>71538268</v>
      </c>
    </row>
    <row r="420" spans="1:46" x14ac:dyDescent="0.2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11216345</v>
      </c>
      <c r="G420" s="1">
        <v>7387015</v>
      </c>
      <c r="H420" s="1">
        <v>0</v>
      </c>
      <c r="I420" s="1">
        <v>8963238</v>
      </c>
      <c r="J420" s="1">
        <v>0</v>
      </c>
      <c r="K420" s="1">
        <v>0</v>
      </c>
      <c r="L420" s="1">
        <v>0</v>
      </c>
      <c r="M420" s="1">
        <v>400000</v>
      </c>
      <c r="N420" s="1">
        <v>2075725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1342000</v>
      </c>
      <c r="U420" s="1">
        <v>0</v>
      </c>
      <c r="V420" s="1">
        <v>7324898</v>
      </c>
      <c r="W420" s="1">
        <v>1100000</v>
      </c>
      <c r="X420" s="1">
        <v>1740467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1482661</v>
      </c>
      <c r="AF420" s="1">
        <v>1111269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8109419</v>
      </c>
      <c r="AM420" s="1">
        <v>0</v>
      </c>
      <c r="AN420" s="1">
        <v>52253037</v>
      </c>
      <c r="AO420" s="1">
        <v>14324199</v>
      </c>
      <c r="AP420" s="1">
        <v>37928838</v>
      </c>
      <c r="AQ420" s="1">
        <v>9959954</v>
      </c>
      <c r="AR420" s="1">
        <v>1493993</v>
      </c>
      <c r="AS420" s="1">
        <v>0</v>
      </c>
      <c r="AT420" s="1">
        <f t="shared" si="42"/>
        <v>63706984</v>
      </c>
    </row>
    <row r="421" spans="1:46" x14ac:dyDescent="0.2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14681485</v>
      </c>
      <c r="G421" s="1">
        <v>0</v>
      </c>
      <c r="H421" s="1">
        <v>0</v>
      </c>
      <c r="I421" s="1">
        <v>11213973</v>
      </c>
      <c r="J421" s="1">
        <v>0</v>
      </c>
      <c r="K421" s="1">
        <v>5500000</v>
      </c>
      <c r="L421" s="1">
        <v>0</v>
      </c>
      <c r="M421" s="1">
        <v>400000</v>
      </c>
      <c r="N421" s="1">
        <v>2461699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1342000</v>
      </c>
      <c r="U421" s="1">
        <v>0</v>
      </c>
      <c r="V421" s="1">
        <v>11931610</v>
      </c>
      <c r="W421" s="1">
        <v>1100000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1758356</v>
      </c>
      <c r="AF421" s="1">
        <v>2222538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4220055</v>
      </c>
      <c r="AM421" s="1">
        <v>0</v>
      </c>
      <c r="AN421" s="1">
        <v>56831716</v>
      </c>
      <c r="AO421" s="1">
        <v>10901138</v>
      </c>
      <c r="AP421" s="1">
        <v>45930578</v>
      </c>
      <c r="AQ421" s="1">
        <v>10653436</v>
      </c>
      <c r="AR421" s="1">
        <v>1598015</v>
      </c>
      <c r="AS421" s="1">
        <v>0</v>
      </c>
      <c r="AT421" s="1">
        <f t="shared" si="42"/>
        <v>69083167</v>
      </c>
    </row>
    <row r="422" spans="1:46" x14ac:dyDescent="0.2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11341153</v>
      </c>
      <c r="G422" s="1">
        <v>7372602</v>
      </c>
      <c r="H422" s="1">
        <v>0</v>
      </c>
      <c r="I422" s="1">
        <v>8456177</v>
      </c>
      <c r="J422" s="1">
        <v>0</v>
      </c>
      <c r="K422" s="1">
        <v>4620000</v>
      </c>
      <c r="L422" s="1">
        <v>0</v>
      </c>
      <c r="M422" s="1">
        <v>400000</v>
      </c>
      <c r="N422" s="1">
        <v>2112354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1342000</v>
      </c>
      <c r="U422" s="1">
        <v>0</v>
      </c>
      <c r="V422" s="1">
        <v>7029431</v>
      </c>
      <c r="W422" s="1">
        <v>1100000</v>
      </c>
      <c r="X422" s="1">
        <v>1759834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1508825</v>
      </c>
      <c r="AF422" s="1">
        <v>1111269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7144231</v>
      </c>
      <c r="AM422" s="1">
        <v>0</v>
      </c>
      <c r="AN422" s="1">
        <v>55297876</v>
      </c>
      <c r="AO422" s="1">
        <v>6579021</v>
      </c>
      <c r="AP422" s="1">
        <v>48718855</v>
      </c>
      <c r="AQ422" s="1">
        <v>10568921</v>
      </c>
      <c r="AR422" s="1">
        <v>1585338</v>
      </c>
      <c r="AS422" s="1">
        <v>0</v>
      </c>
      <c r="AT422" s="1">
        <f t="shared" si="42"/>
        <v>67452135</v>
      </c>
    </row>
    <row r="423" spans="1:46" x14ac:dyDescent="0.2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 t="shared" ref="D423:D451" si="45">"قراردادي بهره بردار"</f>
        <v>قراردادي بهره بردار</v>
      </c>
      <c r="E423" s="1" t="str">
        <f t="shared" si="44"/>
        <v>پروژه بهره برداري نيروگاه بوشهر</v>
      </c>
      <c r="F423" s="1">
        <v>14457564</v>
      </c>
      <c r="G423" s="1">
        <v>7636982</v>
      </c>
      <c r="H423" s="1">
        <v>0</v>
      </c>
      <c r="I423" s="1">
        <v>10692965</v>
      </c>
      <c r="J423" s="1">
        <v>0</v>
      </c>
      <c r="K423" s="1">
        <v>5500000</v>
      </c>
      <c r="L423" s="1">
        <v>0</v>
      </c>
      <c r="M423" s="1">
        <v>400000</v>
      </c>
      <c r="N423" s="1">
        <v>2381462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1342000</v>
      </c>
      <c r="U423" s="1">
        <v>0</v>
      </c>
      <c r="V423" s="1">
        <v>13725339</v>
      </c>
      <c r="W423" s="1">
        <v>1100000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1701044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3061879</v>
      </c>
      <c r="AM423" s="1">
        <v>0</v>
      </c>
      <c r="AN423" s="1">
        <v>61999235</v>
      </c>
      <c r="AO423" s="1">
        <v>7780414</v>
      </c>
      <c r="AP423" s="1">
        <v>54218821</v>
      </c>
      <c r="AQ423" s="1">
        <v>12131447</v>
      </c>
      <c r="AR423" s="1">
        <v>1819717</v>
      </c>
      <c r="AS423" s="1">
        <v>0</v>
      </c>
      <c r="AT423" s="1">
        <f t="shared" si="42"/>
        <v>75950399</v>
      </c>
    </row>
    <row r="424" spans="1:46" x14ac:dyDescent="0.2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 t="shared" si="45"/>
        <v>قراردادي بهره بردار</v>
      </c>
      <c r="E424" s="1" t="str">
        <f t="shared" si="44"/>
        <v>پروژه بهره برداري نيروگاه بوشهر</v>
      </c>
      <c r="F424" s="1">
        <v>14285910</v>
      </c>
      <c r="G424" s="1">
        <v>6893382</v>
      </c>
      <c r="H424" s="1">
        <v>0</v>
      </c>
      <c r="I424" s="1">
        <v>11578774</v>
      </c>
      <c r="J424" s="1">
        <v>0</v>
      </c>
      <c r="K424" s="1">
        <v>5500000</v>
      </c>
      <c r="L424" s="1">
        <v>0</v>
      </c>
      <c r="M424" s="1">
        <v>400000</v>
      </c>
      <c r="N424" s="1">
        <v>2337095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10680338</v>
      </c>
      <c r="W424" s="1">
        <v>1100000</v>
      </c>
      <c r="X424" s="1">
        <v>2216779</v>
      </c>
      <c r="Y424" s="1">
        <v>0</v>
      </c>
      <c r="Z424" s="1">
        <v>0</v>
      </c>
      <c r="AA424" s="1">
        <v>0</v>
      </c>
      <c r="AB424" s="1">
        <v>0</v>
      </c>
      <c r="AC424" s="1">
        <v>3074667</v>
      </c>
      <c r="AD424" s="1">
        <v>0</v>
      </c>
      <c r="AE424" s="1">
        <v>1669353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13490457</v>
      </c>
      <c r="AM424" s="1">
        <v>0</v>
      </c>
      <c r="AN424" s="1">
        <v>73226755</v>
      </c>
      <c r="AO424" s="1">
        <v>28302602</v>
      </c>
      <c r="AP424" s="1">
        <v>44924153</v>
      </c>
      <c r="AQ424" s="1">
        <v>14645351</v>
      </c>
      <c r="AR424" s="1">
        <v>2196803</v>
      </c>
      <c r="AS424" s="1">
        <v>0</v>
      </c>
      <c r="AT424" s="1">
        <f t="shared" si="42"/>
        <v>90068909</v>
      </c>
    </row>
    <row r="425" spans="1:46" x14ac:dyDescent="0.2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 t="shared" si="45"/>
        <v>قراردادي بهره بردار</v>
      </c>
      <c r="E425" s="1" t="str">
        <f>"پروژه تعميرات نيروگاه بوشهر"</f>
        <v>پروژه تعميرات نيروگاه بوشهر</v>
      </c>
      <c r="F425" s="1">
        <v>11035852</v>
      </c>
      <c r="G425" s="1">
        <v>0</v>
      </c>
      <c r="H425" s="1">
        <v>0</v>
      </c>
      <c r="I425" s="1">
        <v>8907005</v>
      </c>
      <c r="J425" s="1">
        <v>0</v>
      </c>
      <c r="K425" s="1">
        <v>3465000</v>
      </c>
      <c r="L425" s="1">
        <v>0</v>
      </c>
      <c r="M425" s="1">
        <v>400000</v>
      </c>
      <c r="N425" s="1">
        <v>2004053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9954267</v>
      </c>
      <c r="W425" s="1">
        <v>1100000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1431466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3893587</v>
      </c>
      <c r="AM425" s="1">
        <v>0</v>
      </c>
      <c r="AN425" s="1">
        <v>42191230</v>
      </c>
      <c r="AO425" s="1">
        <v>24198134</v>
      </c>
      <c r="AP425" s="1">
        <v>17993096</v>
      </c>
      <c r="AQ425" s="1">
        <v>8438246</v>
      </c>
      <c r="AR425" s="1">
        <v>1265737</v>
      </c>
      <c r="AS425" s="1">
        <v>0</v>
      </c>
      <c r="AT425" s="1">
        <f t="shared" si="42"/>
        <v>51895213</v>
      </c>
    </row>
    <row r="426" spans="1:46" x14ac:dyDescent="0.2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 t="shared" si="45"/>
        <v>قراردادي بهره بردار</v>
      </c>
      <c r="E426" s="1" t="str">
        <f t="shared" ref="E426:E451" si="46">"پروژه بهره برداري نيروگاه بوشهر"</f>
        <v>پروژه بهره برداري نيروگاه بوشهر</v>
      </c>
      <c r="F426" s="1">
        <v>11652920</v>
      </c>
      <c r="G426" s="1">
        <v>2171132</v>
      </c>
      <c r="H426" s="1">
        <v>0</v>
      </c>
      <c r="I426" s="1">
        <v>9460667</v>
      </c>
      <c r="J426" s="1">
        <v>0</v>
      </c>
      <c r="K426" s="1">
        <v>3465000</v>
      </c>
      <c r="L426" s="1">
        <v>0</v>
      </c>
      <c r="M426" s="1">
        <v>400000</v>
      </c>
      <c r="N426" s="1">
        <v>2237028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1342000</v>
      </c>
      <c r="U426" s="1">
        <v>0</v>
      </c>
      <c r="V426" s="1">
        <v>7688841</v>
      </c>
      <c r="W426" s="1">
        <v>1100000</v>
      </c>
      <c r="X426" s="1">
        <v>1808212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1597878</v>
      </c>
      <c r="AF426" s="1">
        <v>3333807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8481253</v>
      </c>
      <c r="AM426" s="1">
        <v>0</v>
      </c>
      <c r="AN426" s="1">
        <v>54738738</v>
      </c>
      <c r="AO426" s="1">
        <v>29352591</v>
      </c>
      <c r="AP426" s="1">
        <v>25386147</v>
      </c>
      <c r="AQ426" s="1">
        <v>10012586</v>
      </c>
      <c r="AR426" s="1">
        <v>1501888</v>
      </c>
      <c r="AS426" s="1">
        <v>0</v>
      </c>
      <c r="AT426" s="1">
        <f t="shared" si="42"/>
        <v>66253212</v>
      </c>
    </row>
    <row r="427" spans="1:46" x14ac:dyDescent="0.2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 t="shared" si="45"/>
        <v>قراردادي بهره بردار</v>
      </c>
      <c r="E427" s="1" t="str">
        <f t="shared" si="46"/>
        <v>پروژه بهره برداري نيروگاه بوشهر</v>
      </c>
      <c r="F427" s="1">
        <v>11482067</v>
      </c>
      <c r="G427" s="1">
        <v>16177177</v>
      </c>
      <c r="H427" s="1">
        <v>0</v>
      </c>
      <c r="I427" s="1">
        <v>9461368</v>
      </c>
      <c r="J427" s="1">
        <v>0</v>
      </c>
      <c r="K427" s="1">
        <v>3465000</v>
      </c>
      <c r="L427" s="1">
        <v>0</v>
      </c>
      <c r="M427" s="1">
        <v>400000</v>
      </c>
      <c r="N427" s="1">
        <v>2193146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1342000</v>
      </c>
      <c r="U427" s="1">
        <v>0</v>
      </c>
      <c r="V427" s="1">
        <v>10767244</v>
      </c>
      <c r="W427" s="1">
        <v>1100000</v>
      </c>
      <c r="X427" s="1">
        <v>1781700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1566534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9209463</v>
      </c>
      <c r="AM427" s="1">
        <v>0</v>
      </c>
      <c r="AN427" s="1">
        <v>68945699</v>
      </c>
      <c r="AO427" s="1">
        <v>10098248</v>
      </c>
      <c r="AP427" s="1">
        <v>58847451</v>
      </c>
      <c r="AQ427" s="1">
        <v>13520740</v>
      </c>
      <c r="AR427" s="1">
        <v>2028111</v>
      </c>
      <c r="AS427" s="1">
        <v>0</v>
      </c>
      <c r="AT427" s="1">
        <f t="shared" si="42"/>
        <v>84494550</v>
      </c>
    </row>
    <row r="428" spans="1:46" x14ac:dyDescent="0.2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11819060</v>
      </c>
      <c r="G428" s="1">
        <v>17236823</v>
      </c>
      <c r="H428" s="1">
        <v>0</v>
      </c>
      <c r="I428" s="1">
        <v>10674280</v>
      </c>
      <c r="J428" s="1">
        <v>0</v>
      </c>
      <c r="K428" s="1">
        <v>4620000</v>
      </c>
      <c r="L428" s="1">
        <v>0</v>
      </c>
      <c r="M428" s="1">
        <v>400000</v>
      </c>
      <c r="N428" s="1">
        <v>2324479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1342000</v>
      </c>
      <c r="U428" s="1">
        <v>0</v>
      </c>
      <c r="V428" s="1">
        <v>11472526</v>
      </c>
      <c r="W428" s="1">
        <v>1100000</v>
      </c>
      <c r="X428" s="1">
        <v>1833992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1660342</v>
      </c>
      <c r="AF428" s="1">
        <v>1111269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9655777</v>
      </c>
      <c r="AM428" s="1">
        <v>0</v>
      </c>
      <c r="AN428" s="1">
        <v>75250548</v>
      </c>
      <c r="AO428" s="1">
        <v>11561070</v>
      </c>
      <c r="AP428" s="1">
        <v>63689478</v>
      </c>
      <c r="AQ428" s="1">
        <v>14559456</v>
      </c>
      <c r="AR428" s="1">
        <v>2183918</v>
      </c>
      <c r="AS428" s="1">
        <v>0</v>
      </c>
      <c r="AT428" s="1">
        <f t="shared" si="42"/>
        <v>91993922</v>
      </c>
    </row>
    <row r="429" spans="1:46" x14ac:dyDescent="0.2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11034385</v>
      </c>
      <c r="G429" s="1">
        <v>4125492</v>
      </c>
      <c r="H429" s="1">
        <v>0</v>
      </c>
      <c r="I429" s="1">
        <v>8777827</v>
      </c>
      <c r="J429" s="1">
        <v>0</v>
      </c>
      <c r="K429" s="1">
        <v>4620000</v>
      </c>
      <c r="L429" s="1">
        <v>0</v>
      </c>
      <c r="M429" s="1">
        <v>400000</v>
      </c>
      <c r="N429" s="1">
        <v>2024882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1342000</v>
      </c>
      <c r="U429" s="1">
        <v>0</v>
      </c>
      <c r="V429" s="1">
        <v>10733184</v>
      </c>
      <c r="W429" s="1">
        <v>1100000</v>
      </c>
      <c r="X429" s="1">
        <v>1712232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1446345</v>
      </c>
      <c r="AF429" s="1">
        <v>1111269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8054325</v>
      </c>
      <c r="AM429" s="1">
        <v>0</v>
      </c>
      <c r="AN429" s="1">
        <v>56481941</v>
      </c>
      <c r="AO429" s="1">
        <v>6777944</v>
      </c>
      <c r="AP429" s="1">
        <v>49703997</v>
      </c>
      <c r="AQ429" s="1">
        <v>10805734</v>
      </c>
      <c r="AR429" s="1">
        <v>1620860</v>
      </c>
      <c r="AS429" s="1">
        <v>0</v>
      </c>
      <c r="AT429" s="1">
        <f t="shared" si="42"/>
        <v>68908535</v>
      </c>
    </row>
    <row r="430" spans="1:46" x14ac:dyDescent="0.2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11134239</v>
      </c>
      <c r="G430" s="1">
        <v>7265898</v>
      </c>
      <c r="H430" s="1">
        <v>0</v>
      </c>
      <c r="I430" s="1">
        <v>8674329</v>
      </c>
      <c r="J430" s="1">
        <v>0</v>
      </c>
      <c r="K430" s="1">
        <v>4620000</v>
      </c>
      <c r="L430" s="1">
        <v>0</v>
      </c>
      <c r="M430" s="1">
        <v>400000</v>
      </c>
      <c r="N430" s="1">
        <v>2044095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7204800</v>
      </c>
      <c r="W430" s="1">
        <v>1100000</v>
      </c>
      <c r="X430" s="1">
        <v>1727727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1460067</v>
      </c>
      <c r="AF430" s="1">
        <v>1111269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8012488</v>
      </c>
      <c r="AM430" s="1">
        <v>0</v>
      </c>
      <c r="AN430" s="1">
        <v>54754912</v>
      </c>
      <c r="AO430" s="1">
        <v>9003913</v>
      </c>
      <c r="AP430" s="1">
        <v>45750999</v>
      </c>
      <c r="AQ430" s="1">
        <v>10728729</v>
      </c>
      <c r="AR430" s="1">
        <v>1609309</v>
      </c>
      <c r="AS430" s="1">
        <v>0</v>
      </c>
      <c r="AT430" s="1">
        <f t="shared" si="42"/>
        <v>67092950</v>
      </c>
    </row>
    <row r="431" spans="1:46" x14ac:dyDescent="0.2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12713835</v>
      </c>
      <c r="G431" s="1">
        <v>4594020</v>
      </c>
      <c r="H431" s="1">
        <v>0</v>
      </c>
      <c r="I431" s="1">
        <v>11356066</v>
      </c>
      <c r="J431" s="1">
        <v>0</v>
      </c>
      <c r="K431" s="1">
        <v>4620000</v>
      </c>
      <c r="L431" s="1">
        <v>0</v>
      </c>
      <c r="M431" s="1">
        <v>400000</v>
      </c>
      <c r="N431" s="1">
        <v>2449572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12230795</v>
      </c>
      <c r="W431" s="1">
        <v>1100000</v>
      </c>
      <c r="X431" s="1">
        <v>1972836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1749694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10253024</v>
      </c>
      <c r="AM431" s="1">
        <v>0</v>
      </c>
      <c r="AN431" s="1">
        <v>63439842</v>
      </c>
      <c r="AO431" s="1">
        <v>11924243</v>
      </c>
      <c r="AP431" s="1">
        <v>51515599</v>
      </c>
      <c r="AQ431" s="1">
        <v>12687968</v>
      </c>
      <c r="AR431" s="1">
        <v>1903195</v>
      </c>
      <c r="AS431" s="1">
        <v>0</v>
      </c>
      <c r="AT431" s="1">
        <f t="shared" si="42"/>
        <v>78031005</v>
      </c>
    </row>
    <row r="432" spans="1:46" x14ac:dyDescent="0.2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11736480</v>
      </c>
      <c r="G432" s="1">
        <v>6507656</v>
      </c>
      <c r="H432" s="1">
        <v>0</v>
      </c>
      <c r="I432" s="1">
        <v>9508179</v>
      </c>
      <c r="J432" s="1">
        <v>0</v>
      </c>
      <c r="K432" s="1">
        <v>4620000</v>
      </c>
      <c r="L432" s="1">
        <v>0</v>
      </c>
      <c r="M432" s="1">
        <v>400000</v>
      </c>
      <c r="N432" s="1">
        <v>2275318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13180585</v>
      </c>
      <c r="W432" s="1">
        <v>1100000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1625228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4810672</v>
      </c>
      <c r="AM432" s="1">
        <v>0</v>
      </c>
      <c r="AN432" s="1">
        <v>55764118</v>
      </c>
      <c r="AO432" s="1">
        <v>8787186</v>
      </c>
      <c r="AP432" s="1">
        <v>46976932</v>
      </c>
      <c r="AQ432" s="1">
        <v>11152824</v>
      </c>
      <c r="AR432" s="1">
        <v>1672924</v>
      </c>
      <c r="AS432" s="1">
        <v>0</v>
      </c>
      <c r="AT432" s="1">
        <f t="shared" si="42"/>
        <v>68589866</v>
      </c>
    </row>
    <row r="433" spans="1:46" x14ac:dyDescent="0.2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14808778</v>
      </c>
      <c r="G433" s="1">
        <v>7240066</v>
      </c>
      <c r="H433" s="1">
        <v>0</v>
      </c>
      <c r="I433" s="1">
        <v>12648819</v>
      </c>
      <c r="J433" s="1">
        <v>0</v>
      </c>
      <c r="K433" s="1">
        <v>4125000</v>
      </c>
      <c r="L433" s="1">
        <v>0</v>
      </c>
      <c r="M433" s="1">
        <v>400000</v>
      </c>
      <c r="N433" s="1">
        <v>2520098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11217477</v>
      </c>
      <c r="W433" s="1">
        <v>1100000</v>
      </c>
      <c r="X433" s="1">
        <v>2297914</v>
      </c>
      <c r="Y433" s="1">
        <v>0</v>
      </c>
      <c r="Z433" s="1">
        <v>0</v>
      </c>
      <c r="AA433" s="1">
        <v>0</v>
      </c>
      <c r="AB433" s="1">
        <v>0</v>
      </c>
      <c r="AC433" s="1">
        <v>3074667</v>
      </c>
      <c r="AD433" s="1">
        <v>0</v>
      </c>
      <c r="AE433" s="1">
        <v>1800070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13919209</v>
      </c>
      <c r="AM433" s="1">
        <v>0</v>
      </c>
      <c r="AN433" s="1">
        <v>75152098</v>
      </c>
      <c r="AO433" s="1">
        <v>13930910</v>
      </c>
      <c r="AP433" s="1">
        <v>61221188</v>
      </c>
      <c r="AQ433" s="1">
        <v>15030420</v>
      </c>
      <c r="AR433" s="1">
        <v>2254563</v>
      </c>
      <c r="AS433" s="1">
        <v>0</v>
      </c>
      <c r="AT433" s="1">
        <f t="shared" si="42"/>
        <v>92437081</v>
      </c>
    </row>
    <row r="434" spans="1:46" x14ac:dyDescent="0.2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11497869</v>
      </c>
      <c r="G434" s="1">
        <v>5336666</v>
      </c>
      <c r="H434" s="1">
        <v>0</v>
      </c>
      <c r="I434" s="1">
        <v>9037680</v>
      </c>
      <c r="J434" s="1">
        <v>0</v>
      </c>
      <c r="K434" s="1">
        <v>4620000</v>
      </c>
      <c r="L434" s="1">
        <v>0</v>
      </c>
      <c r="M434" s="1">
        <v>400000</v>
      </c>
      <c r="N434" s="1">
        <v>2184931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1342000</v>
      </c>
      <c r="U434" s="1">
        <v>0</v>
      </c>
      <c r="V434" s="1">
        <v>12716313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1560665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4619569</v>
      </c>
      <c r="AM434" s="1">
        <v>0</v>
      </c>
      <c r="AN434" s="1">
        <v>54415693</v>
      </c>
      <c r="AO434" s="1">
        <v>25486390</v>
      </c>
      <c r="AP434" s="1">
        <v>28929303</v>
      </c>
      <c r="AQ434" s="1">
        <v>10614739</v>
      </c>
      <c r="AR434" s="1">
        <v>1592211</v>
      </c>
      <c r="AS434" s="1">
        <v>0</v>
      </c>
      <c r="AT434" s="1">
        <f t="shared" si="42"/>
        <v>66622643</v>
      </c>
    </row>
    <row r="435" spans="1:46" x14ac:dyDescent="0.2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16181087</v>
      </c>
      <c r="G435" s="1">
        <v>7687603</v>
      </c>
      <c r="H435" s="1">
        <v>0</v>
      </c>
      <c r="I435" s="1">
        <v>13305647</v>
      </c>
      <c r="J435" s="1">
        <v>0</v>
      </c>
      <c r="K435" s="1">
        <v>5500000</v>
      </c>
      <c r="L435" s="1">
        <v>0</v>
      </c>
      <c r="M435" s="1">
        <v>400000</v>
      </c>
      <c r="N435" s="1">
        <v>2699453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1342000</v>
      </c>
      <c r="U435" s="1">
        <v>0</v>
      </c>
      <c r="V435" s="1">
        <v>11910873</v>
      </c>
      <c r="W435" s="1">
        <v>1100000</v>
      </c>
      <c r="X435" s="1">
        <v>2402376</v>
      </c>
      <c r="Y435" s="1">
        <v>0</v>
      </c>
      <c r="Z435" s="1">
        <v>0</v>
      </c>
      <c r="AA435" s="1">
        <v>0</v>
      </c>
      <c r="AB435" s="1">
        <v>0</v>
      </c>
      <c r="AC435" s="1">
        <v>3074667</v>
      </c>
      <c r="AD435" s="1">
        <v>0</v>
      </c>
      <c r="AE435" s="1">
        <v>1928181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14597372</v>
      </c>
      <c r="AM435" s="1">
        <v>0</v>
      </c>
      <c r="AN435" s="1">
        <v>82129259</v>
      </c>
      <c r="AO435" s="1">
        <v>12694113</v>
      </c>
      <c r="AP435" s="1">
        <v>69435146</v>
      </c>
      <c r="AQ435" s="1">
        <v>15039174</v>
      </c>
      <c r="AR435" s="1">
        <v>2255876</v>
      </c>
      <c r="AS435" s="1">
        <v>0</v>
      </c>
      <c r="AT435" s="1">
        <f t="shared" si="42"/>
        <v>99424309</v>
      </c>
    </row>
    <row r="436" spans="1:46" x14ac:dyDescent="0.2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13014926</v>
      </c>
      <c r="G436" s="1">
        <v>10342945</v>
      </c>
      <c r="H436" s="1">
        <v>0</v>
      </c>
      <c r="I436" s="1">
        <v>9476516</v>
      </c>
      <c r="J436" s="1">
        <v>0</v>
      </c>
      <c r="K436" s="1">
        <v>5500000</v>
      </c>
      <c r="L436" s="1">
        <v>0</v>
      </c>
      <c r="M436" s="1">
        <v>400000</v>
      </c>
      <c r="N436" s="1">
        <v>1919158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2770059</v>
      </c>
      <c r="W436" s="1">
        <v>1100000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1370827</v>
      </c>
      <c r="AF436" s="1">
        <v>2222538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1919158</v>
      </c>
      <c r="AM436" s="1">
        <v>0</v>
      </c>
      <c r="AN436" s="1">
        <v>50036127</v>
      </c>
      <c r="AO436" s="1">
        <v>6701402</v>
      </c>
      <c r="AP436" s="1">
        <v>43334725</v>
      </c>
      <c r="AQ436" s="1">
        <v>9562718</v>
      </c>
      <c r="AR436" s="1">
        <v>1434408</v>
      </c>
      <c r="AS436" s="1">
        <v>0</v>
      </c>
      <c r="AT436" s="1">
        <f t="shared" si="42"/>
        <v>61033253</v>
      </c>
    </row>
    <row r="437" spans="1:46" x14ac:dyDescent="0.2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11496268</v>
      </c>
      <c r="G437" s="1">
        <v>9819771</v>
      </c>
      <c r="H437" s="1">
        <v>0</v>
      </c>
      <c r="I437" s="1">
        <v>9576425</v>
      </c>
      <c r="J437" s="1">
        <v>0</v>
      </c>
      <c r="K437" s="1">
        <v>4620000</v>
      </c>
      <c r="L437" s="1">
        <v>0</v>
      </c>
      <c r="M437" s="1">
        <v>400000</v>
      </c>
      <c r="N437" s="1">
        <v>2199202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1342000</v>
      </c>
      <c r="U437" s="1">
        <v>0</v>
      </c>
      <c r="V437" s="1">
        <v>10817985</v>
      </c>
      <c r="W437" s="1">
        <v>1100000</v>
      </c>
      <c r="X437" s="1">
        <v>1783904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1570858</v>
      </c>
      <c r="AF437" s="1">
        <v>1111269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9229641</v>
      </c>
      <c r="AM437" s="1">
        <v>0</v>
      </c>
      <c r="AN437" s="1">
        <v>65067323</v>
      </c>
      <c r="AO437" s="1">
        <v>9950288</v>
      </c>
      <c r="AP437" s="1">
        <v>55117035</v>
      </c>
      <c r="AQ437" s="1">
        <v>12522811</v>
      </c>
      <c r="AR437" s="1">
        <v>1878422</v>
      </c>
      <c r="AS437" s="1">
        <v>0</v>
      </c>
      <c r="AT437" s="1">
        <f t="shared" si="42"/>
        <v>79468556</v>
      </c>
    </row>
    <row r="438" spans="1:46" x14ac:dyDescent="0.2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14939100</v>
      </c>
      <c r="G438" s="1">
        <v>7209753</v>
      </c>
      <c r="H438" s="1">
        <v>0</v>
      </c>
      <c r="I438" s="1">
        <v>11742905</v>
      </c>
      <c r="J438" s="1">
        <v>0</v>
      </c>
      <c r="K438" s="1">
        <v>0</v>
      </c>
      <c r="L438" s="1">
        <v>0</v>
      </c>
      <c r="M438" s="1">
        <v>400000</v>
      </c>
      <c r="N438" s="1">
        <v>2561983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12324416</v>
      </c>
      <c r="W438" s="1">
        <v>1100000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1829988</v>
      </c>
      <c r="AF438" s="1">
        <v>1111269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4391971</v>
      </c>
      <c r="AM438" s="1">
        <v>0</v>
      </c>
      <c r="AN438" s="1">
        <v>57611385</v>
      </c>
      <c r="AO438" s="1">
        <v>32009421</v>
      </c>
      <c r="AP438" s="1">
        <v>25601964</v>
      </c>
      <c r="AQ438" s="1">
        <v>11300023</v>
      </c>
      <c r="AR438" s="1">
        <v>1695003</v>
      </c>
      <c r="AS438" s="1">
        <v>0</v>
      </c>
      <c r="AT438" s="1">
        <f t="shared" si="42"/>
        <v>70606411</v>
      </c>
    </row>
    <row r="439" spans="1:46" x14ac:dyDescent="0.2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11696168</v>
      </c>
      <c r="G439" s="1">
        <v>7279190</v>
      </c>
      <c r="H439" s="1">
        <v>0</v>
      </c>
      <c r="I439" s="1">
        <v>9798025</v>
      </c>
      <c r="J439" s="1">
        <v>0</v>
      </c>
      <c r="K439" s="1">
        <v>4620000</v>
      </c>
      <c r="L439" s="1">
        <v>0</v>
      </c>
      <c r="M439" s="1">
        <v>400000</v>
      </c>
      <c r="N439" s="1">
        <v>2274051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1342000</v>
      </c>
      <c r="U439" s="1">
        <v>0</v>
      </c>
      <c r="V439" s="1">
        <v>11074059</v>
      </c>
      <c r="W439" s="1">
        <v>1100000</v>
      </c>
      <c r="X439" s="1">
        <v>1814923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1624323</v>
      </c>
      <c r="AF439" s="1">
        <v>1111269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9486355</v>
      </c>
      <c r="AM439" s="1">
        <v>0</v>
      </c>
      <c r="AN439" s="1">
        <v>63620363</v>
      </c>
      <c r="AO439" s="1">
        <v>28204977</v>
      </c>
      <c r="AP439" s="1">
        <v>35415386</v>
      </c>
      <c r="AQ439" s="1">
        <v>12233419</v>
      </c>
      <c r="AR439" s="1">
        <v>1835013</v>
      </c>
      <c r="AS439" s="1">
        <v>0</v>
      </c>
      <c r="AT439" s="1">
        <f t="shared" si="42"/>
        <v>77688795</v>
      </c>
    </row>
    <row r="440" spans="1:46" x14ac:dyDescent="0.2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11170290</v>
      </c>
      <c r="G440" s="1">
        <v>7447879</v>
      </c>
      <c r="H440" s="1">
        <v>0</v>
      </c>
      <c r="I440" s="1">
        <v>9344199</v>
      </c>
      <c r="J440" s="1">
        <v>0</v>
      </c>
      <c r="K440" s="1">
        <v>4620000</v>
      </c>
      <c r="L440" s="1">
        <v>0</v>
      </c>
      <c r="M440" s="1">
        <v>400000</v>
      </c>
      <c r="N440" s="1">
        <v>2061053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1342000</v>
      </c>
      <c r="U440" s="1">
        <v>0</v>
      </c>
      <c r="V440" s="1">
        <v>7385251</v>
      </c>
      <c r="W440" s="1">
        <v>1100000</v>
      </c>
      <c r="X440" s="1">
        <v>1733321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1472181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8062065</v>
      </c>
      <c r="AM440" s="1">
        <v>0</v>
      </c>
      <c r="AN440" s="1">
        <v>56138239</v>
      </c>
      <c r="AO440" s="1">
        <v>9491647</v>
      </c>
      <c r="AP440" s="1">
        <v>46646592</v>
      </c>
      <c r="AQ440" s="1">
        <v>10959248</v>
      </c>
      <c r="AR440" s="1">
        <v>1643887</v>
      </c>
      <c r="AS440" s="1">
        <v>0</v>
      </c>
      <c r="AT440" s="1">
        <f t="shared" si="42"/>
        <v>68741374</v>
      </c>
    </row>
    <row r="441" spans="1:46" x14ac:dyDescent="0.2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14234475</v>
      </c>
      <c r="G441" s="1">
        <v>6984503</v>
      </c>
      <c r="H441" s="1">
        <v>0</v>
      </c>
      <c r="I441" s="1">
        <v>10294249</v>
      </c>
      <c r="J441" s="1">
        <v>0</v>
      </c>
      <c r="K441" s="1">
        <v>5500000</v>
      </c>
      <c r="L441" s="1">
        <v>0</v>
      </c>
      <c r="M441" s="1">
        <v>400000</v>
      </c>
      <c r="N441" s="1">
        <v>2305244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13864860</v>
      </c>
      <c r="W441" s="1">
        <v>1100000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1646604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3951847</v>
      </c>
      <c r="AM441" s="1">
        <v>0</v>
      </c>
      <c r="AN441" s="1">
        <v>60281782</v>
      </c>
      <c r="AO441" s="1">
        <v>14856864</v>
      </c>
      <c r="AP441" s="1">
        <v>45424918</v>
      </c>
      <c r="AQ441" s="1">
        <v>12056356</v>
      </c>
      <c r="AR441" s="1">
        <v>1808453</v>
      </c>
      <c r="AS441" s="1">
        <v>0</v>
      </c>
      <c r="AT441" s="1">
        <f t="shared" si="42"/>
        <v>74146591</v>
      </c>
    </row>
    <row r="442" spans="1:46" x14ac:dyDescent="0.2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14335840</v>
      </c>
      <c r="G442" s="1">
        <v>10244220</v>
      </c>
      <c r="H442" s="1">
        <v>0</v>
      </c>
      <c r="I442" s="1">
        <v>10520460</v>
      </c>
      <c r="J442" s="1">
        <v>0</v>
      </c>
      <c r="K442" s="1">
        <v>4125000</v>
      </c>
      <c r="L442" s="1">
        <v>0</v>
      </c>
      <c r="M442" s="1">
        <v>400000</v>
      </c>
      <c r="N442" s="1">
        <v>2298647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7469175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1641891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3677835</v>
      </c>
      <c r="AM442" s="1">
        <v>0</v>
      </c>
      <c r="AN442" s="1">
        <v>55813068</v>
      </c>
      <c r="AO442" s="1">
        <v>8646595</v>
      </c>
      <c r="AP442" s="1">
        <v>47166473</v>
      </c>
      <c r="AQ442" s="1">
        <v>11162614</v>
      </c>
      <c r="AR442" s="1">
        <v>1674392</v>
      </c>
      <c r="AS442" s="1">
        <v>0</v>
      </c>
      <c r="AT442" s="1">
        <f t="shared" si="42"/>
        <v>68650074</v>
      </c>
    </row>
    <row r="443" spans="1:46" x14ac:dyDescent="0.2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11693214</v>
      </c>
      <c r="G443" s="1">
        <v>6437831</v>
      </c>
      <c r="H443" s="1">
        <v>0</v>
      </c>
      <c r="I443" s="1">
        <v>9216870</v>
      </c>
      <c r="J443" s="1">
        <v>0</v>
      </c>
      <c r="K443" s="1">
        <v>3465000</v>
      </c>
      <c r="L443" s="1">
        <v>0</v>
      </c>
      <c r="M443" s="1">
        <v>400000</v>
      </c>
      <c r="N443" s="1">
        <v>2248961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12020739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1606400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3855362</v>
      </c>
      <c r="AM443" s="1">
        <v>0</v>
      </c>
      <c r="AN443" s="1">
        <v>52044377</v>
      </c>
      <c r="AO443" s="1">
        <v>9752122</v>
      </c>
      <c r="AP443" s="1">
        <v>42292255</v>
      </c>
      <c r="AQ443" s="1">
        <v>10408875</v>
      </c>
      <c r="AR443" s="1">
        <v>1561331</v>
      </c>
      <c r="AS443" s="1">
        <v>0</v>
      </c>
      <c r="AT443" s="1">
        <f t="shared" si="42"/>
        <v>64014583</v>
      </c>
    </row>
    <row r="444" spans="1:46" x14ac:dyDescent="0.2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11456822</v>
      </c>
      <c r="G444" s="1">
        <v>2300755</v>
      </c>
      <c r="H444" s="1">
        <v>0</v>
      </c>
      <c r="I444" s="1">
        <v>8591149</v>
      </c>
      <c r="J444" s="1">
        <v>0</v>
      </c>
      <c r="K444" s="1">
        <v>4620000</v>
      </c>
      <c r="L444" s="1">
        <v>0</v>
      </c>
      <c r="M444" s="1">
        <v>400000</v>
      </c>
      <c r="N444" s="1">
        <v>2155190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1342000</v>
      </c>
      <c r="U444" s="1">
        <v>0</v>
      </c>
      <c r="V444" s="1">
        <v>7129401</v>
      </c>
      <c r="W444" s="1">
        <v>1100000</v>
      </c>
      <c r="X444" s="1">
        <v>1777783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1539422</v>
      </c>
      <c r="AF444" s="1">
        <v>3333807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7254811</v>
      </c>
      <c r="AM444" s="1">
        <v>0</v>
      </c>
      <c r="AN444" s="1">
        <v>53001140</v>
      </c>
      <c r="AO444" s="1">
        <v>6142036</v>
      </c>
      <c r="AP444" s="1">
        <v>46859104</v>
      </c>
      <c r="AQ444" s="1">
        <v>9665067</v>
      </c>
      <c r="AR444" s="1">
        <v>1449760</v>
      </c>
      <c r="AS444" s="1">
        <v>0</v>
      </c>
      <c r="AT444" s="1">
        <f t="shared" si="42"/>
        <v>64115967</v>
      </c>
    </row>
    <row r="445" spans="1:46" x14ac:dyDescent="0.2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11329670</v>
      </c>
      <c r="G445" s="1">
        <v>17784534</v>
      </c>
      <c r="H445" s="1">
        <v>0</v>
      </c>
      <c r="I445" s="1">
        <v>9793272</v>
      </c>
      <c r="J445" s="1">
        <v>0</v>
      </c>
      <c r="K445" s="1">
        <v>4620000</v>
      </c>
      <c r="L445" s="1">
        <v>0</v>
      </c>
      <c r="M445" s="1">
        <v>400000</v>
      </c>
      <c r="N445" s="1">
        <v>2124976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7734643</v>
      </c>
      <c r="W445" s="1">
        <v>1100000</v>
      </c>
      <c r="X445" s="1">
        <v>1758052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1517841</v>
      </c>
      <c r="AF445" s="1">
        <v>1111269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8863126</v>
      </c>
      <c r="AM445" s="1">
        <v>0</v>
      </c>
      <c r="AN445" s="1">
        <v>68137383</v>
      </c>
      <c r="AO445" s="1">
        <v>31137745</v>
      </c>
      <c r="AP445" s="1">
        <v>36999638</v>
      </c>
      <c r="AQ445" s="1">
        <v>13405223</v>
      </c>
      <c r="AR445" s="1">
        <v>2010783</v>
      </c>
      <c r="AS445" s="1">
        <v>0</v>
      </c>
      <c r="AT445" s="1">
        <f t="shared" si="42"/>
        <v>83553389</v>
      </c>
    </row>
    <row r="446" spans="1:46" x14ac:dyDescent="0.2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12477364</v>
      </c>
      <c r="G446" s="1">
        <v>10955885</v>
      </c>
      <c r="H446" s="1">
        <v>0</v>
      </c>
      <c r="I446" s="1">
        <v>9690244</v>
      </c>
      <c r="J446" s="1">
        <v>0</v>
      </c>
      <c r="K446" s="1">
        <v>4620000</v>
      </c>
      <c r="L446" s="1">
        <v>0</v>
      </c>
      <c r="M446" s="1">
        <v>400000</v>
      </c>
      <c r="N446" s="1">
        <v>2338603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1342000</v>
      </c>
      <c r="U446" s="1">
        <v>0</v>
      </c>
      <c r="V446" s="1">
        <v>7988058</v>
      </c>
      <c r="W446" s="1">
        <v>1100000</v>
      </c>
      <c r="X446" s="1">
        <v>1936143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1670430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8554049</v>
      </c>
      <c r="AM446" s="1">
        <v>0</v>
      </c>
      <c r="AN446" s="1">
        <v>63072776</v>
      </c>
      <c r="AO446" s="1">
        <v>9019327</v>
      </c>
      <c r="AP446" s="1">
        <v>54053449</v>
      </c>
      <c r="AQ446" s="1">
        <v>12346155</v>
      </c>
      <c r="AR446" s="1">
        <v>1851923</v>
      </c>
      <c r="AS446" s="1">
        <v>0</v>
      </c>
      <c r="AT446" s="1">
        <f t="shared" si="42"/>
        <v>77270854</v>
      </c>
    </row>
    <row r="447" spans="1:46" x14ac:dyDescent="0.2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11155417</v>
      </c>
      <c r="G447" s="1">
        <v>9174421</v>
      </c>
      <c r="H447" s="1">
        <v>0</v>
      </c>
      <c r="I447" s="1">
        <v>8919024</v>
      </c>
      <c r="J447" s="1">
        <v>0</v>
      </c>
      <c r="K447" s="1">
        <v>4620000</v>
      </c>
      <c r="L447" s="1">
        <v>0</v>
      </c>
      <c r="M447" s="1">
        <v>400000</v>
      </c>
      <c r="N447" s="1">
        <v>2080628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1342000</v>
      </c>
      <c r="U447" s="1">
        <v>0</v>
      </c>
      <c r="V447" s="1">
        <v>13600546</v>
      </c>
      <c r="W447" s="1">
        <v>1100000</v>
      </c>
      <c r="X447" s="1">
        <v>1731013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1486162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7805114</v>
      </c>
      <c r="AM447" s="1">
        <v>0</v>
      </c>
      <c r="AN447" s="1">
        <v>63414325</v>
      </c>
      <c r="AO447" s="1">
        <v>30164749</v>
      </c>
      <c r="AP447" s="1">
        <v>33249576</v>
      </c>
      <c r="AQ447" s="1">
        <v>12414465</v>
      </c>
      <c r="AR447" s="1">
        <v>1862170</v>
      </c>
      <c r="AS447" s="1">
        <v>0</v>
      </c>
      <c r="AT447" s="1">
        <f t="shared" si="42"/>
        <v>77690960</v>
      </c>
    </row>
    <row r="448" spans="1:46" x14ac:dyDescent="0.2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10962355</v>
      </c>
      <c r="G448" s="1">
        <v>2291489</v>
      </c>
      <c r="H448" s="1">
        <v>0</v>
      </c>
      <c r="I448" s="1">
        <v>8809110</v>
      </c>
      <c r="J448" s="1">
        <v>0</v>
      </c>
      <c r="K448" s="1">
        <v>3465000</v>
      </c>
      <c r="L448" s="1">
        <v>0</v>
      </c>
      <c r="M448" s="1">
        <v>400000</v>
      </c>
      <c r="N448" s="1">
        <v>1981403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1342000</v>
      </c>
      <c r="U448" s="1">
        <v>0</v>
      </c>
      <c r="V448" s="1">
        <v>7100688</v>
      </c>
      <c r="W448" s="1">
        <v>1100000</v>
      </c>
      <c r="X448" s="1">
        <v>1701055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1415287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7704404</v>
      </c>
      <c r="AM448" s="1">
        <v>0</v>
      </c>
      <c r="AN448" s="1">
        <v>48272791</v>
      </c>
      <c r="AO448" s="1">
        <v>21692673</v>
      </c>
      <c r="AP448" s="1">
        <v>26580118</v>
      </c>
      <c r="AQ448" s="1">
        <v>9386158</v>
      </c>
      <c r="AR448" s="1">
        <v>1407924</v>
      </c>
      <c r="AS448" s="1">
        <v>0</v>
      </c>
      <c r="AT448" s="1">
        <f t="shared" si="42"/>
        <v>59066873</v>
      </c>
    </row>
    <row r="449" spans="1:46" x14ac:dyDescent="0.2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11885293</v>
      </c>
      <c r="G449" s="1">
        <v>2504073</v>
      </c>
      <c r="H449" s="1">
        <v>0</v>
      </c>
      <c r="I449" s="1">
        <v>9905703</v>
      </c>
      <c r="J449" s="1">
        <v>0</v>
      </c>
      <c r="K449" s="1">
        <v>4620000</v>
      </c>
      <c r="L449" s="1">
        <v>0</v>
      </c>
      <c r="M449" s="1">
        <v>400000</v>
      </c>
      <c r="N449" s="1">
        <v>2125377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1342000</v>
      </c>
      <c r="U449" s="1">
        <v>0</v>
      </c>
      <c r="V449" s="1">
        <v>7759429</v>
      </c>
      <c r="W449" s="1">
        <v>1100000</v>
      </c>
      <c r="X449" s="1">
        <v>1844270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1518127</v>
      </c>
      <c r="AF449" s="1">
        <v>2222538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8302143</v>
      </c>
      <c r="AM449" s="1">
        <v>0</v>
      </c>
      <c r="AN449" s="1">
        <v>55528953</v>
      </c>
      <c r="AO449" s="1">
        <v>10400464</v>
      </c>
      <c r="AP449" s="1">
        <v>45128489</v>
      </c>
      <c r="AQ449" s="1">
        <v>10392883</v>
      </c>
      <c r="AR449" s="1">
        <v>1558932</v>
      </c>
      <c r="AS449" s="1">
        <v>0</v>
      </c>
      <c r="AT449" s="1">
        <f t="shared" si="42"/>
        <v>67480768</v>
      </c>
    </row>
    <row r="450" spans="1:46" x14ac:dyDescent="0.2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12672965</v>
      </c>
      <c r="G450" s="1">
        <v>7080757</v>
      </c>
      <c r="H450" s="1">
        <v>0</v>
      </c>
      <c r="I450" s="1">
        <v>10128354</v>
      </c>
      <c r="J450" s="1">
        <v>1000000</v>
      </c>
      <c r="K450" s="1">
        <v>4125000</v>
      </c>
      <c r="L450" s="1">
        <v>0</v>
      </c>
      <c r="M450" s="1">
        <v>400000</v>
      </c>
      <c r="N450" s="1">
        <v>1798208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2752804</v>
      </c>
      <c r="W450" s="1">
        <v>1100000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1284434</v>
      </c>
      <c r="AF450" s="1">
        <v>1111269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1644076</v>
      </c>
      <c r="AM450" s="1">
        <v>0</v>
      </c>
      <c r="AN450" s="1">
        <v>45097867</v>
      </c>
      <c r="AO450" s="1">
        <v>5102876</v>
      </c>
      <c r="AP450" s="1">
        <v>39994991</v>
      </c>
      <c r="AQ450" s="1">
        <v>8597320</v>
      </c>
      <c r="AR450" s="1">
        <v>1289598</v>
      </c>
      <c r="AS450" s="1">
        <v>0</v>
      </c>
      <c r="AT450" s="1">
        <f t="shared" si="42"/>
        <v>54984785</v>
      </c>
    </row>
    <row r="451" spans="1:46" x14ac:dyDescent="0.2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12713993</v>
      </c>
      <c r="G451" s="1">
        <v>2310034</v>
      </c>
      <c r="H451" s="1">
        <v>0</v>
      </c>
      <c r="I451" s="1">
        <v>10330719</v>
      </c>
      <c r="J451" s="1">
        <v>0</v>
      </c>
      <c r="K451" s="1">
        <v>4125000</v>
      </c>
      <c r="L451" s="1">
        <v>0</v>
      </c>
      <c r="M451" s="1">
        <v>400000</v>
      </c>
      <c r="N451" s="1">
        <v>1814589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2784042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1296135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1684976</v>
      </c>
      <c r="AM451" s="1">
        <v>0</v>
      </c>
      <c r="AN451" s="1">
        <v>38559488</v>
      </c>
      <c r="AO451" s="1">
        <v>19759704</v>
      </c>
      <c r="AP451" s="1">
        <v>18799784</v>
      </c>
      <c r="AQ451" s="1">
        <v>7711898</v>
      </c>
      <c r="AR451" s="1">
        <v>1156785</v>
      </c>
      <c r="AS451" s="1">
        <v>0</v>
      </c>
      <c r="AT451" s="1">
        <f t="shared" ref="AT451:AT514" si="47">AS451+AR451+AQ451+AN451</f>
        <v>47428171</v>
      </c>
    </row>
    <row r="452" spans="1:46" x14ac:dyDescent="0.2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"قراردادي کارگري"</f>
        <v>قراردادي کارگري</v>
      </c>
      <c r="E452" s="1" t="str">
        <f t="shared" ref="E452:E457" si="48">"پروژه تعميرات نيروگاه بوشهر"</f>
        <v>پروژه تعميرات نيروگاه بوشهر</v>
      </c>
      <c r="F452" s="1">
        <v>9845958</v>
      </c>
      <c r="G452" s="1">
        <v>23420838</v>
      </c>
      <c r="H452" s="1">
        <v>0</v>
      </c>
      <c r="I452" s="1">
        <v>8270605</v>
      </c>
      <c r="J452" s="1">
        <v>0</v>
      </c>
      <c r="K452" s="1">
        <v>0</v>
      </c>
      <c r="L452" s="1">
        <v>3500010</v>
      </c>
      <c r="M452" s="1">
        <v>400000</v>
      </c>
      <c r="N452" s="1">
        <v>5251178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8987311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673573</v>
      </c>
      <c r="AD452" s="1">
        <v>0</v>
      </c>
      <c r="AE452" s="1">
        <v>0</v>
      </c>
      <c r="AF452" s="1">
        <v>1111269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62560742</v>
      </c>
      <c r="AO452" s="1">
        <v>9073614</v>
      </c>
      <c r="AP452" s="1">
        <v>53487128</v>
      </c>
      <c r="AQ452" s="1">
        <v>12289895</v>
      </c>
      <c r="AR452" s="1">
        <v>1843484</v>
      </c>
      <c r="AS452" s="1">
        <v>0</v>
      </c>
      <c r="AT452" s="1">
        <f t="shared" si="47"/>
        <v>76694121</v>
      </c>
    </row>
    <row r="453" spans="1:46" x14ac:dyDescent="0.2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"قراردادي کارگري"</f>
        <v>قراردادي کارگري</v>
      </c>
      <c r="E453" s="1" t="str">
        <f t="shared" si="48"/>
        <v>پروژه تعميرات نيروگاه بوشهر</v>
      </c>
      <c r="F453" s="1">
        <v>10248883</v>
      </c>
      <c r="G453" s="1">
        <v>29577729</v>
      </c>
      <c r="H453" s="1">
        <v>0</v>
      </c>
      <c r="I453" s="1">
        <v>8916528</v>
      </c>
      <c r="J453" s="1">
        <v>0</v>
      </c>
      <c r="K453" s="1">
        <v>0</v>
      </c>
      <c r="L453" s="1">
        <v>3345440</v>
      </c>
      <c r="M453" s="1">
        <v>400000</v>
      </c>
      <c r="N453" s="1">
        <v>5466072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9351950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740660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69147262</v>
      </c>
      <c r="AO453" s="1">
        <v>10298886</v>
      </c>
      <c r="AP453" s="1">
        <v>58848376</v>
      </c>
      <c r="AQ453" s="1">
        <v>13829452</v>
      </c>
      <c r="AR453" s="1">
        <v>2074418</v>
      </c>
      <c r="AS453" s="1">
        <v>0</v>
      </c>
      <c r="AT453" s="1">
        <f t="shared" si="47"/>
        <v>85051132</v>
      </c>
    </row>
    <row r="454" spans="1:46" x14ac:dyDescent="0.2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 t="shared" ref="D454:D463" si="49">"قراردادي بهره بردار"</f>
        <v>قراردادي بهره بردار</v>
      </c>
      <c r="E454" s="1" t="str">
        <f t="shared" si="48"/>
        <v>پروژه تعميرات نيروگاه بوشهر</v>
      </c>
      <c r="F454" s="1">
        <v>19125471</v>
      </c>
      <c r="G454" s="1">
        <v>7540920</v>
      </c>
      <c r="H454" s="1">
        <v>0</v>
      </c>
      <c r="I454" s="1">
        <v>23696988</v>
      </c>
      <c r="J454" s="1">
        <v>0</v>
      </c>
      <c r="K454" s="1">
        <v>5500000</v>
      </c>
      <c r="L454" s="1">
        <v>0</v>
      </c>
      <c r="M454" s="1">
        <v>400000</v>
      </c>
      <c r="N454" s="1">
        <v>2647166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5346046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3074667</v>
      </c>
      <c r="AD454" s="1">
        <v>0</v>
      </c>
      <c r="AE454" s="1">
        <v>1890833</v>
      </c>
      <c r="AF454" s="1">
        <v>1111269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3025333</v>
      </c>
      <c r="AM454" s="1">
        <v>0</v>
      </c>
      <c r="AN454" s="1">
        <v>74458693</v>
      </c>
      <c r="AO454" s="1">
        <v>11488299</v>
      </c>
      <c r="AP454" s="1">
        <v>62970394</v>
      </c>
      <c r="AQ454" s="1">
        <v>14669485</v>
      </c>
      <c r="AR454" s="1">
        <v>2200423</v>
      </c>
      <c r="AS454" s="1">
        <v>0</v>
      </c>
      <c r="AT454" s="1">
        <f t="shared" si="47"/>
        <v>91328601</v>
      </c>
    </row>
    <row r="455" spans="1:46" x14ac:dyDescent="0.2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 t="shared" si="49"/>
        <v>قراردادي بهره بردار</v>
      </c>
      <c r="E455" s="1" t="str">
        <f t="shared" si="48"/>
        <v>پروژه تعميرات نيروگاه بوشهر</v>
      </c>
      <c r="F455" s="1">
        <v>15885738</v>
      </c>
      <c r="G455" s="1">
        <v>7115799</v>
      </c>
      <c r="H455" s="1">
        <v>0</v>
      </c>
      <c r="I455" s="1">
        <v>11969248</v>
      </c>
      <c r="J455" s="1">
        <v>0</v>
      </c>
      <c r="K455" s="1">
        <v>5500000</v>
      </c>
      <c r="L455" s="1">
        <v>0</v>
      </c>
      <c r="M455" s="1">
        <v>400000</v>
      </c>
      <c r="N455" s="1">
        <v>2570591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8399956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1836137</v>
      </c>
      <c r="AF455" s="1">
        <v>1111269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4259838</v>
      </c>
      <c r="AM455" s="1">
        <v>0</v>
      </c>
      <c r="AN455" s="1">
        <v>60148576</v>
      </c>
      <c r="AO455" s="1">
        <v>9015551</v>
      </c>
      <c r="AP455" s="1">
        <v>51133025</v>
      </c>
      <c r="AQ455" s="1">
        <v>11807461</v>
      </c>
      <c r="AR455" s="1">
        <v>1771119</v>
      </c>
      <c r="AS455" s="1">
        <v>0</v>
      </c>
      <c r="AT455" s="1">
        <f t="shared" si="47"/>
        <v>73727156</v>
      </c>
    </row>
    <row r="456" spans="1:46" x14ac:dyDescent="0.2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16163716</v>
      </c>
      <c r="G456" s="1">
        <v>11348122</v>
      </c>
      <c r="H456" s="1">
        <v>0</v>
      </c>
      <c r="I456" s="1">
        <v>12284875</v>
      </c>
      <c r="J456" s="1">
        <v>0</v>
      </c>
      <c r="K456" s="1">
        <v>5500000</v>
      </c>
      <c r="L456" s="1">
        <v>0</v>
      </c>
      <c r="M456" s="1">
        <v>400000</v>
      </c>
      <c r="N456" s="1">
        <v>2693373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12157065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1923839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4925026</v>
      </c>
      <c r="AM456" s="1">
        <v>0</v>
      </c>
      <c r="AN456" s="1">
        <v>68496016</v>
      </c>
      <c r="AO456" s="1">
        <v>11057330</v>
      </c>
      <c r="AP456" s="1">
        <v>57438686</v>
      </c>
      <c r="AQ456" s="1">
        <v>13699203</v>
      </c>
      <c r="AR456" s="1">
        <v>2054880</v>
      </c>
      <c r="AS456" s="1">
        <v>0</v>
      </c>
      <c r="AT456" s="1">
        <f t="shared" si="47"/>
        <v>84250099</v>
      </c>
    </row>
    <row r="457" spans="1:46" x14ac:dyDescent="0.2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14592162</v>
      </c>
      <c r="G457" s="1">
        <v>12687350</v>
      </c>
      <c r="H457" s="1">
        <v>0</v>
      </c>
      <c r="I457" s="1">
        <v>11151914</v>
      </c>
      <c r="J457" s="1">
        <v>0</v>
      </c>
      <c r="K457" s="1">
        <v>4620000</v>
      </c>
      <c r="L457" s="1">
        <v>0</v>
      </c>
      <c r="M457" s="1">
        <v>400000</v>
      </c>
      <c r="N457" s="1">
        <v>2814912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11326466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2010652</v>
      </c>
      <c r="AF457" s="1">
        <v>1111269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4825564</v>
      </c>
      <c r="AM457" s="1">
        <v>0</v>
      </c>
      <c r="AN457" s="1">
        <v>66640289</v>
      </c>
      <c r="AO457" s="1">
        <v>10090621</v>
      </c>
      <c r="AP457" s="1">
        <v>56549668</v>
      </c>
      <c r="AQ457" s="1">
        <v>13105804</v>
      </c>
      <c r="AR457" s="1">
        <v>1965871</v>
      </c>
      <c r="AS457" s="1">
        <v>0</v>
      </c>
      <c r="AT457" s="1">
        <f t="shared" si="47"/>
        <v>81711964</v>
      </c>
    </row>
    <row r="458" spans="1:46" x14ac:dyDescent="0.2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 t="shared" si="49"/>
        <v>قراردادي بهره بردار</v>
      </c>
      <c r="E458" s="1" t="str">
        <f t="shared" ref="E458:E463" si="50">"پروژه بهره برداري نيروگاه بوشهر"</f>
        <v>پروژه بهره برداري نيروگاه بوشهر</v>
      </c>
      <c r="F458" s="1">
        <v>12405218</v>
      </c>
      <c r="G458" s="1">
        <v>7118225</v>
      </c>
      <c r="H458" s="1">
        <v>0</v>
      </c>
      <c r="I458" s="1">
        <v>10116319</v>
      </c>
      <c r="J458" s="1">
        <v>0</v>
      </c>
      <c r="K458" s="1">
        <v>4620000</v>
      </c>
      <c r="L458" s="1">
        <v>0</v>
      </c>
      <c r="M458" s="1">
        <v>400000</v>
      </c>
      <c r="N458" s="1">
        <v>2304951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1342000</v>
      </c>
      <c r="U458" s="1">
        <v>0</v>
      </c>
      <c r="V458" s="1">
        <v>9946491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1646394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4609902</v>
      </c>
      <c r="AM458" s="1">
        <v>0</v>
      </c>
      <c r="AN458" s="1">
        <v>55609500</v>
      </c>
      <c r="AO458" s="1">
        <v>6706941</v>
      </c>
      <c r="AP458" s="1">
        <v>48902559</v>
      </c>
      <c r="AQ458" s="1">
        <v>10853500</v>
      </c>
      <c r="AR458" s="1">
        <v>1628025</v>
      </c>
      <c r="AS458" s="1">
        <v>0</v>
      </c>
      <c r="AT458" s="1">
        <f t="shared" si="47"/>
        <v>68091025</v>
      </c>
    </row>
    <row r="459" spans="1:46" x14ac:dyDescent="0.2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 t="shared" si="49"/>
        <v>قراردادي بهره بردار</v>
      </c>
      <c r="E459" s="1" t="str">
        <f t="shared" si="50"/>
        <v>پروژه بهره برداري نيروگاه بوشهر</v>
      </c>
      <c r="F459" s="1">
        <v>29440371</v>
      </c>
      <c r="G459" s="1">
        <v>17899309</v>
      </c>
      <c r="H459" s="1">
        <v>0</v>
      </c>
      <c r="I459" s="1">
        <v>36359583</v>
      </c>
      <c r="J459" s="1">
        <v>0</v>
      </c>
      <c r="K459" s="1">
        <v>5500000</v>
      </c>
      <c r="L459" s="1">
        <v>0</v>
      </c>
      <c r="M459" s="1">
        <v>400000</v>
      </c>
      <c r="N459" s="1">
        <v>4204824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7989687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2683820</v>
      </c>
      <c r="AD459" s="1">
        <v>0</v>
      </c>
      <c r="AE459" s="1">
        <v>3003446</v>
      </c>
      <c r="AF459" s="1">
        <v>2222538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4204824</v>
      </c>
      <c r="AM459" s="1">
        <v>0</v>
      </c>
      <c r="AN459" s="1">
        <v>115008402</v>
      </c>
      <c r="AO459" s="1">
        <v>17339238</v>
      </c>
      <c r="AP459" s="1">
        <v>97669164</v>
      </c>
      <c r="AQ459" s="1">
        <v>15039174</v>
      </c>
      <c r="AR459" s="1">
        <v>2255876</v>
      </c>
      <c r="AS459" s="1">
        <v>0</v>
      </c>
      <c r="AT459" s="1">
        <f t="shared" si="47"/>
        <v>132303452</v>
      </c>
    </row>
    <row r="460" spans="1:46" x14ac:dyDescent="0.2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14149929</v>
      </c>
      <c r="G460" s="1">
        <v>0</v>
      </c>
      <c r="H460" s="1">
        <v>0</v>
      </c>
      <c r="I460" s="1">
        <v>10209032</v>
      </c>
      <c r="J460" s="1">
        <v>0</v>
      </c>
      <c r="K460" s="1">
        <v>4125000</v>
      </c>
      <c r="L460" s="1">
        <v>0</v>
      </c>
      <c r="M460" s="1">
        <v>400000</v>
      </c>
      <c r="N460" s="1">
        <v>2276453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1342000</v>
      </c>
      <c r="U460" s="1">
        <v>0</v>
      </c>
      <c r="V460" s="1">
        <v>14232544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1626038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3902489</v>
      </c>
      <c r="AM460" s="1">
        <v>0</v>
      </c>
      <c r="AN460" s="1">
        <v>53363485</v>
      </c>
      <c r="AO460" s="1">
        <v>7797668</v>
      </c>
      <c r="AP460" s="1">
        <v>45565817</v>
      </c>
      <c r="AQ460" s="1">
        <v>10404297</v>
      </c>
      <c r="AR460" s="1">
        <v>1560645</v>
      </c>
      <c r="AS460" s="1">
        <v>0</v>
      </c>
      <c r="AT460" s="1">
        <f t="shared" si="47"/>
        <v>65328427</v>
      </c>
    </row>
    <row r="461" spans="1:46" x14ac:dyDescent="0.2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14430090</v>
      </c>
      <c r="G461" s="1">
        <v>6942124</v>
      </c>
      <c r="H461" s="1">
        <v>0</v>
      </c>
      <c r="I461" s="1">
        <v>11558202</v>
      </c>
      <c r="J461" s="1">
        <v>0</v>
      </c>
      <c r="K461" s="1">
        <v>5500000</v>
      </c>
      <c r="L461" s="1">
        <v>0</v>
      </c>
      <c r="M461" s="1">
        <v>400000</v>
      </c>
      <c r="N461" s="1">
        <v>2387557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1342000</v>
      </c>
      <c r="U461" s="1">
        <v>0</v>
      </c>
      <c r="V461" s="1">
        <v>10755858</v>
      </c>
      <c r="W461" s="1">
        <v>1100000</v>
      </c>
      <c r="X461" s="1">
        <v>2239152</v>
      </c>
      <c r="Y461" s="1">
        <v>0</v>
      </c>
      <c r="Z461" s="1">
        <v>0</v>
      </c>
      <c r="AA461" s="1">
        <v>0</v>
      </c>
      <c r="AB461" s="1">
        <v>0</v>
      </c>
      <c r="AC461" s="1">
        <v>3074667</v>
      </c>
      <c r="AD461" s="1">
        <v>0</v>
      </c>
      <c r="AE461" s="1">
        <v>1705398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13608685</v>
      </c>
      <c r="AM461" s="1">
        <v>0</v>
      </c>
      <c r="AN461" s="1">
        <v>75043733</v>
      </c>
      <c r="AO461" s="1">
        <v>9971890</v>
      </c>
      <c r="AP461" s="1">
        <v>65071843</v>
      </c>
      <c r="AQ461" s="1">
        <v>14740347</v>
      </c>
      <c r="AR461" s="1">
        <v>2211052</v>
      </c>
      <c r="AS461" s="1">
        <v>0</v>
      </c>
      <c r="AT461" s="1">
        <f t="shared" si="47"/>
        <v>91995132</v>
      </c>
    </row>
    <row r="462" spans="1:46" x14ac:dyDescent="0.2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11594795</v>
      </c>
      <c r="G462" s="1">
        <v>4907561</v>
      </c>
      <c r="H462" s="1">
        <v>0</v>
      </c>
      <c r="I462" s="1">
        <v>10576846</v>
      </c>
      <c r="J462" s="1">
        <v>0</v>
      </c>
      <c r="K462" s="1">
        <v>4620000</v>
      </c>
      <c r="L462" s="1">
        <v>0</v>
      </c>
      <c r="M462" s="1">
        <v>400000</v>
      </c>
      <c r="N462" s="1">
        <v>2204204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1342000</v>
      </c>
      <c r="U462" s="1">
        <v>0</v>
      </c>
      <c r="V462" s="1">
        <v>7156315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1574431</v>
      </c>
      <c r="AF462" s="1">
        <v>1111269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5164135</v>
      </c>
      <c r="AM462" s="1">
        <v>0</v>
      </c>
      <c r="AN462" s="1">
        <v>51751556</v>
      </c>
      <c r="AO462" s="1">
        <v>6953124</v>
      </c>
      <c r="AP462" s="1">
        <v>44798432</v>
      </c>
      <c r="AQ462" s="1">
        <v>9859657</v>
      </c>
      <c r="AR462" s="1">
        <v>1478949</v>
      </c>
      <c r="AS462" s="1">
        <v>0</v>
      </c>
      <c r="AT462" s="1">
        <f t="shared" si="47"/>
        <v>63090162</v>
      </c>
    </row>
    <row r="463" spans="1:46" x14ac:dyDescent="0.2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47"/>
        <v>0</v>
      </c>
    </row>
    <row r="464" spans="1:46" x14ac:dyDescent="0.2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"قراردادي کارگري"</f>
        <v>قراردادي کارگري</v>
      </c>
      <c r="E464" s="1" t="str">
        <f>"پروژه تعميرات نيروگاه بوشهر"</f>
        <v>پروژه تعميرات نيروگاه بوشهر</v>
      </c>
      <c r="F464" s="1">
        <v>5201064</v>
      </c>
      <c r="G464" s="1">
        <v>7728096</v>
      </c>
      <c r="H464" s="1">
        <v>0</v>
      </c>
      <c r="I464" s="1">
        <v>3952808</v>
      </c>
      <c r="J464" s="1">
        <v>0</v>
      </c>
      <c r="K464" s="1">
        <v>0</v>
      </c>
      <c r="L464" s="1">
        <v>3500010</v>
      </c>
      <c r="M464" s="1">
        <v>400000</v>
      </c>
      <c r="N464" s="1">
        <v>2737402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1684129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26303509</v>
      </c>
      <c r="AO464" s="1">
        <v>2048990</v>
      </c>
      <c r="AP464" s="1">
        <v>24254519</v>
      </c>
      <c r="AQ464" s="1">
        <v>5260702</v>
      </c>
      <c r="AR464" s="1">
        <v>789105</v>
      </c>
      <c r="AS464" s="1">
        <v>0</v>
      </c>
      <c r="AT464" s="1">
        <f t="shared" si="47"/>
        <v>32353316</v>
      </c>
    </row>
    <row r="465" spans="1:46" x14ac:dyDescent="0.2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 t="shared" ref="D465:D496" si="51">"قراردادي بهره بردار"</f>
        <v>قراردادي بهره بردار</v>
      </c>
      <c r="E465" s="1" t="str">
        <f t="shared" ref="E465:E495" si="52">"پروژه بهره برداري نيروگاه بوشهر"</f>
        <v>پروژه بهره برداري نيروگاه بوشهر</v>
      </c>
      <c r="F465" s="1">
        <v>11013395</v>
      </c>
      <c r="G465" s="1">
        <v>4343671</v>
      </c>
      <c r="H465" s="1">
        <v>0</v>
      </c>
      <c r="I465" s="1">
        <v>8152327</v>
      </c>
      <c r="J465" s="1">
        <v>0</v>
      </c>
      <c r="K465" s="1">
        <v>0</v>
      </c>
      <c r="L465" s="1">
        <v>0</v>
      </c>
      <c r="M465" s="1">
        <v>400000</v>
      </c>
      <c r="N465" s="1">
        <v>2013375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1342000</v>
      </c>
      <c r="U465" s="1">
        <v>0</v>
      </c>
      <c r="V465" s="1">
        <v>10493614</v>
      </c>
      <c r="W465" s="1">
        <v>1100000</v>
      </c>
      <c r="X465" s="1">
        <v>1708975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1438125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8021069</v>
      </c>
      <c r="AM465" s="1">
        <v>0</v>
      </c>
      <c r="AN465" s="1">
        <v>50026551</v>
      </c>
      <c r="AO465" s="1">
        <v>5769005</v>
      </c>
      <c r="AP465" s="1">
        <v>44257546</v>
      </c>
      <c r="AQ465" s="1">
        <v>9736910</v>
      </c>
      <c r="AR465" s="1">
        <v>1460537</v>
      </c>
      <c r="AS465" s="1">
        <v>0</v>
      </c>
      <c r="AT465" s="1">
        <f t="shared" si="47"/>
        <v>61223998</v>
      </c>
    </row>
    <row r="466" spans="1:46" x14ac:dyDescent="0.2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 t="shared" si="51"/>
        <v>قراردادي بهره بردار</v>
      </c>
      <c r="E466" s="1" t="str">
        <f t="shared" si="52"/>
        <v>پروژه بهره برداري نيروگاه بوشهر</v>
      </c>
      <c r="F466" s="1">
        <v>11679309</v>
      </c>
      <c r="G466" s="1">
        <v>3180869</v>
      </c>
      <c r="H466" s="1">
        <v>0</v>
      </c>
      <c r="I466" s="1">
        <v>10512705</v>
      </c>
      <c r="J466" s="1">
        <v>0</v>
      </c>
      <c r="K466" s="1">
        <v>4620000</v>
      </c>
      <c r="L466" s="1">
        <v>0</v>
      </c>
      <c r="M466" s="1">
        <v>400000</v>
      </c>
      <c r="N466" s="1">
        <v>2272130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1342000</v>
      </c>
      <c r="U466" s="1">
        <v>0</v>
      </c>
      <c r="V466" s="1">
        <v>11291362</v>
      </c>
      <c r="W466" s="1">
        <v>1100000</v>
      </c>
      <c r="X466" s="1">
        <v>1767149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1622950</v>
      </c>
      <c r="AF466" s="1">
        <v>1111269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9476248</v>
      </c>
      <c r="AM466" s="1">
        <v>0</v>
      </c>
      <c r="AN466" s="1">
        <v>60375991</v>
      </c>
      <c r="AO466" s="1">
        <v>26412153</v>
      </c>
      <c r="AP466" s="1">
        <v>33963838</v>
      </c>
      <c r="AQ466" s="1">
        <v>11584544</v>
      </c>
      <c r="AR466" s="1">
        <v>1737682</v>
      </c>
      <c r="AS466" s="1">
        <v>0</v>
      </c>
      <c r="AT466" s="1">
        <f t="shared" si="47"/>
        <v>73698217</v>
      </c>
    </row>
    <row r="467" spans="1:46" x14ac:dyDescent="0.2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14433564</v>
      </c>
      <c r="G467" s="1">
        <v>8020106</v>
      </c>
      <c r="H467" s="1">
        <v>0</v>
      </c>
      <c r="I467" s="1">
        <v>12131142</v>
      </c>
      <c r="J467" s="1">
        <v>0</v>
      </c>
      <c r="K467" s="1">
        <v>5500000</v>
      </c>
      <c r="L467" s="1">
        <v>0</v>
      </c>
      <c r="M467" s="1">
        <v>400000</v>
      </c>
      <c r="N467" s="1">
        <v>2388774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1342000</v>
      </c>
      <c r="U467" s="1">
        <v>0</v>
      </c>
      <c r="V467" s="1">
        <v>14800334</v>
      </c>
      <c r="W467" s="1">
        <v>1100000</v>
      </c>
      <c r="X467" s="1">
        <v>2239691</v>
      </c>
      <c r="Y467" s="1">
        <v>0</v>
      </c>
      <c r="Z467" s="1">
        <v>0</v>
      </c>
      <c r="AA467" s="1">
        <v>0</v>
      </c>
      <c r="AB467" s="1">
        <v>0</v>
      </c>
      <c r="AC467" s="1">
        <v>3074667</v>
      </c>
      <c r="AD467" s="1">
        <v>0</v>
      </c>
      <c r="AE467" s="1">
        <v>1706266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14008600</v>
      </c>
      <c r="AM467" s="1">
        <v>0</v>
      </c>
      <c r="AN467" s="1">
        <v>81145144</v>
      </c>
      <c r="AO467" s="1">
        <v>16934904</v>
      </c>
      <c r="AP467" s="1">
        <v>64210240</v>
      </c>
      <c r="AQ467" s="1">
        <v>15039174</v>
      </c>
      <c r="AR467" s="1">
        <v>2255876</v>
      </c>
      <c r="AS467" s="1">
        <v>0</v>
      </c>
      <c r="AT467" s="1">
        <f t="shared" si="47"/>
        <v>98440194</v>
      </c>
    </row>
    <row r="468" spans="1:46" x14ac:dyDescent="0.2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11186318</v>
      </c>
      <c r="G468" s="1">
        <v>0</v>
      </c>
      <c r="H468" s="1">
        <v>0</v>
      </c>
      <c r="I468" s="1">
        <v>7810606</v>
      </c>
      <c r="J468" s="1">
        <v>0</v>
      </c>
      <c r="K468" s="1">
        <v>3465000</v>
      </c>
      <c r="L468" s="1">
        <v>0</v>
      </c>
      <c r="M468" s="1">
        <v>400000</v>
      </c>
      <c r="N468" s="1">
        <v>2036217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1342000</v>
      </c>
      <c r="U468" s="1">
        <v>0</v>
      </c>
      <c r="V468" s="1">
        <v>2466925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1454440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2181661</v>
      </c>
      <c r="AM468" s="1">
        <v>0</v>
      </c>
      <c r="AN468" s="1">
        <v>33443167</v>
      </c>
      <c r="AO468" s="1">
        <v>5191282</v>
      </c>
      <c r="AP468" s="1">
        <v>28251885</v>
      </c>
      <c r="AQ468" s="1">
        <v>6420233</v>
      </c>
      <c r="AR468" s="1">
        <v>963035</v>
      </c>
      <c r="AS468" s="1">
        <v>0</v>
      </c>
      <c r="AT468" s="1">
        <f t="shared" si="47"/>
        <v>40826435</v>
      </c>
    </row>
    <row r="469" spans="1:46" x14ac:dyDescent="0.2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10318965</v>
      </c>
      <c r="G469" s="1">
        <v>371643</v>
      </c>
      <c r="H469" s="1">
        <v>0</v>
      </c>
      <c r="I469" s="1">
        <v>6976787</v>
      </c>
      <c r="J469" s="1">
        <v>0</v>
      </c>
      <c r="K469" s="1">
        <v>3465000</v>
      </c>
      <c r="L469" s="1">
        <v>0</v>
      </c>
      <c r="M469" s="1">
        <v>400000</v>
      </c>
      <c r="N469" s="1">
        <v>1699784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2239511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1214130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2185435</v>
      </c>
      <c r="AM469" s="1">
        <v>0</v>
      </c>
      <c r="AN469" s="1">
        <v>29971255</v>
      </c>
      <c r="AO469" s="1">
        <v>12107174</v>
      </c>
      <c r="AP469" s="1">
        <v>17864081</v>
      </c>
      <c r="AQ469" s="1">
        <v>5994251</v>
      </c>
      <c r="AR469" s="1">
        <v>899138</v>
      </c>
      <c r="AS469" s="1">
        <v>0</v>
      </c>
      <c r="AT469" s="1">
        <f t="shared" si="47"/>
        <v>36864644</v>
      </c>
    </row>
    <row r="470" spans="1:46" x14ac:dyDescent="0.2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11346491</v>
      </c>
      <c r="G470" s="1">
        <v>6838731</v>
      </c>
      <c r="H470" s="1">
        <v>0</v>
      </c>
      <c r="I470" s="1">
        <v>8928769</v>
      </c>
      <c r="J470" s="1">
        <v>0</v>
      </c>
      <c r="K470" s="1">
        <v>4620000</v>
      </c>
      <c r="L470" s="1">
        <v>0</v>
      </c>
      <c r="M470" s="1">
        <v>400000</v>
      </c>
      <c r="N470" s="1">
        <v>2122362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1342000</v>
      </c>
      <c r="U470" s="1">
        <v>0</v>
      </c>
      <c r="V470" s="1">
        <v>7370897</v>
      </c>
      <c r="W470" s="1">
        <v>1100000</v>
      </c>
      <c r="X470" s="1">
        <v>1760662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1515973</v>
      </c>
      <c r="AF470" s="1">
        <v>2222538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8133783</v>
      </c>
      <c r="AM470" s="1">
        <v>0</v>
      </c>
      <c r="AN470" s="1">
        <v>57702206</v>
      </c>
      <c r="AO470" s="1">
        <v>6907382</v>
      </c>
      <c r="AP470" s="1">
        <v>50794824</v>
      </c>
      <c r="AQ470" s="1">
        <v>10827534</v>
      </c>
      <c r="AR470" s="1">
        <v>1624130</v>
      </c>
      <c r="AS470" s="1">
        <v>0</v>
      </c>
      <c r="AT470" s="1">
        <f t="shared" si="47"/>
        <v>70153870</v>
      </c>
    </row>
    <row r="471" spans="1:46" x14ac:dyDescent="0.2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14954694</v>
      </c>
      <c r="G471" s="1">
        <v>12784562</v>
      </c>
      <c r="H471" s="1">
        <v>0</v>
      </c>
      <c r="I471" s="1">
        <v>12877806</v>
      </c>
      <c r="J471" s="1">
        <v>0</v>
      </c>
      <c r="K471" s="1">
        <v>4125000</v>
      </c>
      <c r="L471" s="1">
        <v>0</v>
      </c>
      <c r="M471" s="1">
        <v>400000</v>
      </c>
      <c r="N471" s="1">
        <v>2571169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15425983</v>
      </c>
      <c r="W471" s="1">
        <v>1100000</v>
      </c>
      <c r="X471" s="1">
        <v>2320556</v>
      </c>
      <c r="Y471" s="1">
        <v>0</v>
      </c>
      <c r="Z471" s="1">
        <v>0</v>
      </c>
      <c r="AA471" s="1">
        <v>0</v>
      </c>
      <c r="AB471" s="1">
        <v>0</v>
      </c>
      <c r="AC471" s="1">
        <v>3074667</v>
      </c>
      <c r="AD471" s="1">
        <v>0</v>
      </c>
      <c r="AE471" s="1">
        <v>1836549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14446349</v>
      </c>
      <c r="AM471" s="1">
        <v>0</v>
      </c>
      <c r="AN471" s="1">
        <v>85917335</v>
      </c>
      <c r="AO471" s="1">
        <v>30315061</v>
      </c>
      <c r="AP471" s="1">
        <v>55602274</v>
      </c>
      <c r="AQ471" s="1">
        <v>15039174</v>
      </c>
      <c r="AR471" s="1">
        <v>2255876</v>
      </c>
      <c r="AS471" s="1">
        <v>0</v>
      </c>
      <c r="AT471" s="1">
        <f t="shared" si="47"/>
        <v>103212385</v>
      </c>
    </row>
    <row r="472" spans="1:46" x14ac:dyDescent="0.2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10849387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10849387</v>
      </c>
      <c r="AO472" s="1">
        <v>10849387</v>
      </c>
      <c r="AP472" s="1">
        <v>0</v>
      </c>
      <c r="AQ472" s="1">
        <v>0</v>
      </c>
      <c r="AR472" s="1">
        <v>0</v>
      </c>
      <c r="AS472" s="1">
        <v>0</v>
      </c>
      <c r="AT472" s="1">
        <f t="shared" si="47"/>
        <v>10849387</v>
      </c>
    </row>
    <row r="473" spans="1:46" x14ac:dyDescent="0.2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14306756</v>
      </c>
      <c r="G473" s="1">
        <v>6914073</v>
      </c>
      <c r="H473" s="1">
        <v>0</v>
      </c>
      <c r="I473" s="1">
        <v>11667710</v>
      </c>
      <c r="J473" s="1">
        <v>0</v>
      </c>
      <c r="K473" s="1">
        <v>5500000</v>
      </c>
      <c r="L473" s="1">
        <v>0</v>
      </c>
      <c r="M473" s="1">
        <v>400000</v>
      </c>
      <c r="N473" s="1">
        <v>2344390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10712397</v>
      </c>
      <c r="W473" s="1">
        <v>1100000</v>
      </c>
      <c r="X473" s="1">
        <v>2220014</v>
      </c>
      <c r="Y473" s="1">
        <v>0</v>
      </c>
      <c r="Z473" s="1">
        <v>0</v>
      </c>
      <c r="AA473" s="1">
        <v>0</v>
      </c>
      <c r="AB473" s="1">
        <v>0</v>
      </c>
      <c r="AC473" s="1">
        <v>3074667</v>
      </c>
      <c r="AD473" s="1">
        <v>0</v>
      </c>
      <c r="AE473" s="1">
        <v>1674564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13507551</v>
      </c>
      <c r="AM473" s="1">
        <v>0</v>
      </c>
      <c r="AN473" s="1">
        <v>73422122</v>
      </c>
      <c r="AO473" s="1">
        <v>26602051</v>
      </c>
      <c r="AP473" s="1">
        <v>46820071</v>
      </c>
      <c r="AQ473" s="1">
        <v>14684424</v>
      </c>
      <c r="AR473" s="1">
        <v>2202664</v>
      </c>
      <c r="AS473" s="1">
        <v>0</v>
      </c>
      <c r="AT473" s="1">
        <f t="shared" si="47"/>
        <v>90309210</v>
      </c>
    </row>
    <row r="474" spans="1:46" x14ac:dyDescent="0.2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10574546</v>
      </c>
      <c r="G474" s="1">
        <v>4556714</v>
      </c>
      <c r="H474" s="1">
        <v>0</v>
      </c>
      <c r="I474" s="1">
        <v>7861219</v>
      </c>
      <c r="J474" s="1">
        <v>0</v>
      </c>
      <c r="K474" s="1">
        <v>4620000</v>
      </c>
      <c r="L474" s="1">
        <v>0</v>
      </c>
      <c r="M474" s="1">
        <v>400000</v>
      </c>
      <c r="N474" s="1">
        <v>1835180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1342000</v>
      </c>
      <c r="U474" s="1">
        <v>0</v>
      </c>
      <c r="V474" s="1">
        <v>6585863</v>
      </c>
      <c r="W474" s="1">
        <v>1100000</v>
      </c>
      <c r="X474" s="1">
        <v>1640878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1310843</v>
      </c>
      <c r="AF474" s="1">
        <v>1111269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7367060</v>
      </c>
      <c r="AM474" s="1">
        <v>0</v>
      </c>
      <c r="AN474" s="1">
        <v>50305572</v>
      </c>
      <c r="AO474" s="1">
        <v>7930003</v>
      </c>
      <c r="AP474" s="1">
        <v>42375569</v>
      </c>
      <c r="AQ474" s="1">
        <v>9570461</v>
      </c>
      <c r="AR474" s="1">
        <v>1435569</v>
      </c>
      <c r="AS474" s="1">
        <v>0</v>
      </c>
      <c r="AT474" s="1">
        <f t="shared" si="47"/>
        <v>61311602</v>
      </c>
    </row>
    <row r="475" spans="1:46" x14ac:dyDescent="0.2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14445207</v>
      </c>
      <c r="G475" s="1">
        <v>6706304</v>
      </c>
      <c r="H475" s="1">
        <v>0</v>
      </c>
      <c r="I475" s="1">
        <v>10412406</v>
      </c>
      <c r="J475" s="1">
        <v>0</v>
      </c>
      <c r="K475" s="1">
        <v>5500000</v>
      </c>
      <c r="L475" s="1">
        <v>0</v>
      </c>
      <c r="M475" s="1">
        <v>400000</v>
      </c>
      <c r="N475" s="1">
        <v>2366751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11886758</v>
      </c>
      <c r="W475" s="1">
        <v>1100000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1690537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3651559</v>
      </c>
      <c r="AM475" s="1">
        <v>0</v>
      </c>
      <c r="AN475" s="1">
        <v>58159522</v>
      </c>
      <c r="AO475" s="1">
        <v>9110799</v>
      </c>
      <c r="AP475" s="1">
        <v>49048723</v>
      </c>
      <c r="AQ475" s="1">
        <v>11631904</v>
      </c>
      <c r="AR475" s="1">
        <v>1744786</v>
      </c>
      <c r="AS475" s="1">
        <v>0</v>
      </c>
      <c r="AT475" s="1">
        <f t="shared" si="47"/>
        <v>71536212</v>
      </c>
    </row>
    <row r="476" spans="1:46" x14ac:dyDescent="0.2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14442248</v>
      </c>
      <c r="G476" s="1">
        <v>9909594</v>
      </c>
      <c r="H476" s="1">
        <v>0</v>
      </c>
      <c r="I476" s="1">
        <v>10768858</v>
      </c>
      <c r="J476" s="1">
        <v>0</v>
      </c>
      <c r="K476" s="1">
        <v>5500000</v>
      </c>
      <c r="L476" s="1">
        <v>0</v>
      </c>
      <c r="M476" s="1">
        <v>400000</v>
      </c>
      <c r="N476" s="1">
        <v>2320445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5859913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1657460</v>
      </c>
      <c r="AF476" s="1">
        <v>1111269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2486190</v>
      </c>
      <c r="AM476" s="1">
        <v>0</v>
      </c>
      <c r="AN476" s="1">
        <v>55555977</v>
      </c>
      <c r="AO476" s="1">
        <v>9897951</v>
      </c>
      <c r="AP476" s="1">
        <v>45658026</v>
      </c>
      <c r="AQ476" s="1">
        <v>10888942</v>
      </c>
      <c r="AR476" s="1">
        <v>1633341</v>
      </c>
      <c r="AS476" s="1">
        <v>0</v>
      </c>
      <c r="AT476" s="1">
        <f t="shared" si="47"/>
        <v>68078260</v>
      </c>
    </row>
    <row r="477" spans="1:46" x14ac:dyDescent="0.2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11465160</v>
      </c>
      <c r="G477" s="1">
        <v>4980874</v>
      </c>
      <c r="H477" s="1">
        <v>0</v>
      </c>
      <c r="I477" s="1">
        <v>8893609</v>
      </c>
      <c r="J477" s="1">
        <v>0</v>
      </c>
      <c r="K477" s="1">
        <v>4620000</v>
      </c>
      <c r="L477" s="1">
        <v>0</v>
      </c>
      <c r="M477" s="1">
        <v>400000</v>
      </c>
      <c r="N477" s="1">
        <v>2161363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1342000</v>
      </c>
      <c r="U477" s="1">
        <v>0</v>
      </c>
      <c r="V477" s="1">
        <v>7263222</v>
      </c>
      <c r="W477" s="1">
        <v>1100000</v>
      </c>
      <c r="X477" s="1">
        <v>1779077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1543831</v>
      </c>
      <c r="AF477" s="1">
        <v>1111269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7515263</v>
      </c>
      <c r="AM477" s="1">
        <v>0</v>
      </c>
      <c r="AN477" s="1">
        <v>54175668</v>
      </c>
      <c r="AO477" s="1">
        <v>23945288</v>
      </c>
      <c r="AP477" s="1">
        <v>30230380</v>
      </c>
      <c r="AQ477" s="1">
        <v>10344480</v>
      </c>
      <c r="AR477" s="1">
        <v>1551672</v>
      </c>
      <c r="AS477" s="1">
        <v>0</v>
      </c>
      <c r="AT477" s="1">
        <f t="shared" si="47"/>
        <v>66071820</v>
      </c>
    </row>
    <row r="478" spans="1:46" x14ac:dyDescent="0.2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11679945</v>
      </c>
      <c r="G478" s="1">
        <v>14284232</v>
      </c>
      <c r="H478" s="1">
        <v>0</v>
      </c>
      <c r="I478" s="1">
        <v>8937007</v>
      </c>
      <c r="J478" s="1">
        <v>0</v>
      </c>
      <c r="K478" s="1">
        <v>4620000</v>
      </c>
      <c r="L478" s="1">
        <v>0</v>
      </c>
      <c r="M478" s="1">
        <v>400000</v>
      </c>
      <c r="N478" s="1">
        <v>2005700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1342000</v>
      </c>
      <c r="U478" s="1">
        <v>0</v>
      </c>
      <c r="V478" s="1">
        <v>4927300</v>
      </c>
      <c r="W478" s="1">
        <v>1100000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1432643</v>
      </c>
      <c r="AF478" s="1">
        <v>1111269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2578756</v>
      </c>
      <c r="AM478" s="1">
        <v>0</v>
      </c>
      <c r="AN478" s="1">
        <v>54418852</v>
      </c>
      <c r="AO478" s="1">
        <v>7290341</v>
      </c>
      <c r="AP478" s="1">
        <v>47128511</v>
      </c>
      <c r="AQ478" s="1">
        <v>10393117</v>
      </c>
      <c r="AR478" s="1">
        <v>1558967</v>
      </c>
      <c r="AS478" s="1">
        <v>0</v>
      </c>
      <c r="AT478" s="1">
        <f t="shared" si="47"/>
        <v>66370936</v>
      </c>
    </row>
    <row r="479" spans="1:46" x14ac:dyDescent="0.2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10639981</v>
      </c>
      <c r="G479" s="1">
        <v>4812390</v>
      </c>
      <c r="H479" s="1">
        <v>0</v>
      </c>
      <c r="I479" s="1">
        <v>8796664</v>
      </c>
      <c r="J479" s="1">
        <v>0</v>
      </c>
      <c r="K479" s="1">
        <v>4620000</v>
      </c>
      <c r="L479" s="1">
        <v>0</v>
      </c>
      <c r="M479" s="1">
        <v>400000</v>
      </c>
      <c r="N479" s="1">
        <v>1888830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1342000</v>
      </c>
      <c r="U479" s="1">
        <v>0</v>
      </c>
      <c r="V479" s="1">
        <v>12995999</v>
      </c>
      <c r="W479" s="1">
        <v>1100000</v>
      </c>
      <c r="X479" s="1">
        <v>1651032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1349165</v>
      </c>
      <c r="AF479" s="1">
        <v>1111269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6861722</v>
      </c>
      <c r="AM479" s="1">
        <v>0</v>
      </c>
      <c r="AN479" s="1">
        <v>57569052</v>
      </c>
      <c r="AO479" s="1">
        <v>8183129</v>
      </c>
      <c r="AP479" s="1">
        <v>49385923</v>
      </c>
      <c r="AQ479" s="1">
        <v>11023157</v>
      </c>
      <c r="AR479" s="1">
        <v>1653473</v>
      </c>
      <c r="AS479" s="1">
        <v>0</v>
      </c>
      <c r="AT479" s="1">
        <f t="shared" si="47"/>
        <v>70245682</v>
      </c>
    </row>
    <row r="480" spans="1:46" x14ac:dyDescent="0.2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14659387</v>
      </c>
      <c r="G480" s="1">
        <v>7533212</v>
      </c>
      <c r="H480" s="1">
        <v>0</v>
      </c>
      <c r="I480" s="1">
        <v>11999996</v>
      </c>
      <c r="J480" s="1">
        <v>0</v>
      </c>
      <c r="K480" s="1">
        <v>5500000</v>
      </c>
      <c r="L480" s="1">
        <v>0</v>
      </c>
      <c r="M480" s="1">
        <v>400000</v>
      </c>
      <c r="N480" s="1">
        <v>2467811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1342000</v>
      </c>
      <c r="U480" s="1">
        <v>0</v>
      </c>
      <c r="V480" s="1">
        <v>10985098</v>
      </c>
      <c r="W480" s="1">
        <v>1100000</v>
      </c>
      <c r="X480" s="1">
        <v>2274732</v>
      </c>
      <c r="Y480" s="1">
        <v>0</v>
      </c>
      <c r="Z480" s="1">
        <v>0</v>
      </c>
      <c r="AA480" s="1">
        <v>0</v>
      </c>
      <c r="AB480" s="1">
        <v>0</v>
      </c>
      <c r="AC480" s="1">
        <v>3074667</v>
      </c>
      <c r="AD480" s="1">
        <v>0</v>
      </c>
      <c r="AE480" s="1">
        <v>1762722</v>
      </c>
      <c r="AF480" s="1">
        <v>1111269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13796708</v>
      </c>
      <c r="AM480" s="1">
        <v>0</v>
      </c>
      <c r="AN480" s="1">
        <v>78007602</v>
      </c>
      <c r="AO480" s="1">
        <v>16953438</v>
      </c>
      <c r="AP480" s="1">
        <v>61054164</v>
      </c>
      <c r="AQ480" s="1">
        <v>15039174</v>
      </c>
      <c r="AR480" s="1">
        <v>2255876</v>
      </c>
      <c r="AS480" s="1">
        <v>0</v>
      </c>
      <c r="AT480" s="1">
        <f t="shared" si="47"/>
        <v>95302652</v>
      </c>
    </row>
    <row r="481" spans="1:46" x14ac:dyDescent="0.2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10653561</v>
      </c>
      <c r="G481" s="1">
        <v>9463699</v>
      </c>
      <c r="H481" s="1">
        <v>0</v>
      </c>
      <c r="I481" s="1">
        <v>8279213</v>
      </c>
      <c r="J481" s="1">
        <v>0</v>
      </c>
      <c r="K481" s="1">
        <v>3465000</v>
      </c>
      <c r="L481" s="1">
        <v>0</v>
      </c>
      <c r="M481" s="1">
        <v>400000</v>
      </c>
      <c r="N481" s="1">
        <v>1890327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12778497</v>
      </c>
      <c r="W481" s="1">
        <v>1100000</v>
      </c>
      <c r="X481" s="1">
        <v>1653139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1350234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6868704</v>
      </c>
      <c r="AM481" s="1">
        <v>0</v>
      </c>
      <c r="AN481" s="1">
        <v>57902374</v>
      </c>
      <c r="AO481" s="1">
        <v>7357599</v>
      </c>
      <c r="AP481" s="1">
        <v>50544775</v>
      </c>
      <c r="AQ481" s="1">
        <v>11580475</v>
      </c>
      <c r="AR481" s="1">
        <v>1737071</v>
      </c>
      <c r="AS481" s="1">
        <v>0</v>
      </c>
      <c r="AT481" s="1">
        <f t="shared" si="47"/>
        <v>71219920</v>
      </c>
    </row>
    <row r="482" spans="1:46" x14ac:dyDescent="0.2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11989644</v>
      </c>
      <c r="G482" s="1">
        <v>4822240</v>
      </c>
      <c r="H482" s="1">
        <v>0</v>
      </c>
      <c r="I482" s="1">
        <v>9090396</v>
      </c>
      <c r="J482" s="1">
        <v>0</v>
      </c>
      <c r="K482" s="1">
        <v>3465000</v>
      </c>
      <c r="L482" s="1">
        <v>0</v>
      </c>
      <c r="M482" s="1">
        <v>400000</v>
      </c>
      <c r="N482" s="1">
        <v>2115894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1342000</v>
      </c>
      <c r="U482" s="1">
        <v>0</v>
      </c>
      <c r="V482" s="1">
        <v>4990248</v>
      </c>
      <c r="W482" s="1">
        <v>1100000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1511352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2267030</v>
      </c>
      <c r="AM482" s="1">
        <v>0</v>
      </c>
      <c r="AN482" s="1">
        <v>43093804</v>
      </c>
      <c r="AO482" s="1">
        <v>5482572</v>
      </c>
      <c r="AP482" s="1">
        <v>37611232</v>
      </c>
      <c r="AQ482" s="1">
        <v>8350361</v>
      </c>
      <c r="AR482" s="1">
        <v>1252554</v>
      </c>
      <c r="AS482" s="1">
        <v>0</v>
      </c>
      <c r="AT482" s="1">
        <f t="shared" si="47"/>
        <v>52696719</v>
      </c>
    </row>
    <row r="483" spans="1:46" x14ac:dyDescent="0.2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11397791</v>
      </c>
      <c r="G483" s="1">
        <v>3650050</v>
      </c>
      <c r="H483" s="1">
        <v>0</v>
      </c>
      <c r="I483" s="1">
        <v>9184498</v>
      </c>
      <c r="J483" s="1">
        <v>0</v>
      </c>
      <c r="K483" s="1">
        <v>4620000</v>
      </c>
      <c r="L483" s="1">
        <v>0</v>
      </c>
      <c r="M483" s="1">
        <v>400000</v>
      </c>
      <c r="N483" s="1">
        <v>2160574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1342000</v>
      </c>
      <c r="U483" s="1">
        <v>0</v>
      </c>
      <c r="V483" s="1">
        <v>11222831</v>
      </c>
      <c r="W483" s="1">
        <v>1100000</v>
      </c>
      <c r="X483" s="1">
        <v>1768623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1543268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8481255</v>
      </c>
      <c r="AM483" s="1">
        <v>0</v>
      </c>
      <c r="AN483" s="1">
        <v>56870890</v>
      </c>
      <c r="AO483" s="1">
        <v>9929162</v>
      </c>
      <c r="AP483" s="1">
        <v>46941728</v>
      </c>
      <c r="AQ483" s="1">
        <v>11105778</v>
      </c>
      <c r="AR483" s="1">
        <v>1665867</v>
      </c>
      <c r="AS483" s="1">
        <v>0</v>
      </c>
      <c r="AT483" s="1">
        <f t="shared" si="47"/>
        <v>69642535</v>
      </c>
    </row>
    <row r="484" spans="1:46" x14ac:dyDescent="0.2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11294520</v>
      </c>
      <c r="G484" s="1">
        <v>5027486</v>
      </c>
      <c r="H484" s="1">
        <v>0</v>
      </c>
      <c r="I484" s="1">
        <v>8844442</v>
      </c>
      <c r="J484" s="1">
        <v>0</v>
      </c>
      <c r="K484" s="1">
        <v>4620000</v>
      </c>
      <c r="L484" s="1">
        <v>0</v>
      </c>
      <c r="M484" s="1">
        <v>400000</v>
      </c>
      <c r="N484" s="1">
        <v>2103087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1342000</v>
      </c>
      <c r="U484" s="1">
        <v>0</v>
      </c>
      <c r="V484" s="1">
        <v>7266273</v>
      </c>
      <c r="W484" s="1">
        <v>1100000</v>
      </c>
      <c r="X484" s="1">
        <v>1752598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1502205</v>
      </c>
      <c r="AF484" s="1">
        <v>2222538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8195412</v>
      </c>
      <c r="AM484" s="1">
        <v>0</v>
      </c>
      <c r="AN484" s="1">
        <v>55670561</v>
      </c>
      <c r="AO484" s="1">
        <v>9262217</v>
      </c>
      <c r="AP484" s="1">
        <v>46408344</v>
      </c>
      <c r="AQ484" s="1">
        <v>10421205</v>
      </c>
      <c r="AR484" s="1">
        <v>1563181</v>
      </c>
      <c r="AS484" s="1">
        <v>0</v>
      </c>
      <c r="AT484" s="1">
        <f t="shared" si="47"/>
        <v>67654947</v>
      </c>
    </row>
    <row r="485" spans="1:46" x14ac:dyDescent="0.2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14979013</v>
      </c>
      <c r="G485" s="1">
        <v>6787710</v>
      </c>
      <c r="H485" s="1">
        <v>0</v>
      </c>
      <c r="I485" s="1">
        <v>12337250</v>
      </c>
      <c r="J485" s="1">
        <v>0</v>
      </c>
      <c r="K485" s="1">
        <v>5500000</v>
      </c>
      <c r="L485" s="1">
        <v>0</v>
      </c>
      <c r="M485" s="1">
        <v>400000</v>
      </c>
      <c r="N485" s="1">
        <v>2579681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1342000</v>
      </c>
      <c r="U485" s="1">
        <v>0</v>
      </c>
      <c r="V485" s="1">
        <v>11118389</v>
      </c>
      <c r="W485" s="1">
        <v>1100000</v>
      </c>
      <c r="X485" s="1">
        <v>2324330</v>
      </c>
      <c r="Y485" s="1">
        <v>0</v>
      </c>
      <c r="Z485" s="1">
        <v>0</v>
      </c>
      <c r="AA485" s="1">
        <v>0</v>
      </c>
      <c r="AB485" s="1">
        <v>0</v>
      </c>
      <c r="AC485" s="1">
        <v>3074667</v>
      </c>
      <c r="AD485" s="1">
        <v>0</v>
      </c>
      <c r="AE485" s="1">
        <v>1842629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14058802</v>
      </c>
      <c r="AM485" s="1">
        <v>0</v>
      </c>
      <c r="AN485" s="1">
        <v>77444471</v>
      </c>
      <c r="AO485" s="1">
        <v>11923567</v>
      </c>
      <c r="AP485" s="1">
        <v>65520904</v>
      </c>
      <c r="AQ485" s="1">
        <v>15039174</v>
      </c>
      <c r="AR485" s="1">
        <v>2255876</v>
      </c>
      <c r="AS485" s="1">
        <v>0</v>
      </c>
      <c r="AT485" s="1">
        <f t="shared" si="47"/>
        <v>94739521</v>
      </c>
    </row>
    <row r="486" spans="1:46" x14ac:dyDescent="0.2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11220692</v>
      </c>
      <c r="G486" s="1">
        <v>5614567</v>
      </c>
      <c r="H486" s="1">
        <v>0</v>
      </c>
      <c r="I486" s="1">
        <v>9516407</v>
      </c>
      <c r="J486" s="1">
        <v>0</v>
      </c>
      <c r="K486" s="1">
        <v>4620000</v>
      </c>
      <c r="L486" s="1">
        <v>0</v>
      </c>
      <c r="M486" s="1">
        <v>400000</v>
      </c>
      <c r="N486" s="1">
        <v>2097686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1342000</v>
      </c>
      <c r="U486" s="1">
        <v>0</v>
      </c>
      <c r="V486" s="1">
        <v>11170267</v>
      </c>
      <c r="W486" s="1">
        <v>1100000</v>
      </c>
      <c r="X486" s="1">
        <v>1741142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1498348</v>
      </c>
      <c r="AF486" s="1">
        <v>1111269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8280787</v>
      </c>
      <c r="AM486" s="1">
        <v>0</v>
      </c>
      <c r="AN486" s="1">
        <v>59713165</v>
      </c>
      <c r="AO486" s="1">
        <v>8478942</v>
      </c>
      <c r="AP486" s="1">
        <v>51234223</v>
      </c>
      <c r="AQ486" s="1">
        <v>11451979</v>
      </c>
      <c r="AR486" s="1">
        <v>1717797</v>
      </c>
      <c r="AS486" s="1">
        <v>0</v>
      </c>
      <c r="AT486" s="1">
        <f t="shared" si="47"/>
        <v>72882941</v>
      </c>
    </row>
    <row r="487" spans="1:46" x14ac:dyDescent="0.2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11201294</v>
      </c>
      <c r="G487" s="1">
        <v>7517729</v>
      </c>
      <c r="H487" s="1">
        <v>0</v>
      </c>
      <c r="I487" s="1">
        <v>8971102</v>
      </c>
      <c r="J487" s="1">
        <v>0</v>
      </c>
      <c r="K487" s="1">
        <v>4620000</v>
      </c>
      <c r="L487" s="1">
        <v>0</v>
      </c>
      <c r="M487" s="1">
        <v>400000</v>
      </c>
      <c r="N487" s="1">
        <v>2097770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1342000</v>
      </c>
      <c r="U487" s="1">
        <v>0</v>
      </c>
      <c r="V487" s="1">
        <v>13677459</v>
      </c>
      <c r="W487" s="1">
        <v>1100000</v>
      </c>
      <c r="X487" s="1">
        <v>1738132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1498407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7855610</v>
      </c>
      <c r="AM487" s="1">
        <v>0</v>
      </c>
      <c r="AN487" s="1">
        <v>62019503</v>
      </c>
      <c r="AO487" s="1">
        <v>9070653</v>
      </c>
      <c r="AP487" s="1">
        <v>52948850</v>
      </c>
      <c r="AQ487" s="1">
        <v>12135501</v>
      </c>
      <c r="AR487" s="1">
        <v>1820325</v>
      </c>
      <c r="AS487" s="1">
        <v>0</v>
      </c>
      <c r="AT487" s="1">
        <f t="shared" si="47"/>
        <v>75975329</v>
      </c>
    </row>
    <row r="488" spans="1:46" x14ac:dyDescent="0.2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11488290</v>
      </c>
      <c r="G488" s="1">
        <v>9881453</v>
      </c>
      <c r="H488" s="1">
        <v>0</v>
      </c>
      <c r="I488" s="1">
        <v>9807447</v>
      </c>
      <c r="J488" s="1">
        <v>0</v>
      </c>
      <c r="K488" s="1">
        <v>3465000</v>
      </c>
      <c r="L488" s="1">
        <v>0</v>
      </c>
      <c r="M488" s="1">
        <v>400000</v>
      </c>
      <c r="N488" s="1">
        <v>2197676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1342000</v>
      </c>
      <c r="U488" s="1">
        <v>0</v>
      </c>
      <c r="V488" s="1">
        <v>10885938</v>
      </c>
      <c r="W488" s="1">
        <v>1100000</v>
      </c>
      <c r="X488" s="1">
        <v>1782666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1569768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9223235</v>
      </c>
      <c r="AM488" s="1">
        <v>0</v>
      </c>
      <c r="AN488" s="1">
        <v>63143473</v>
      </c>
      <c r="AO488" s="1">
        <v>11300073</v>
      </c>
      <c r="AP488" s="1">
        <v>51843400</v>
      </c>
      <c r="AQ488" s="1">
        <v>12360295</v>
      </c>
      <c r="AR488" s="1">
        <v>1854044</v>
      </c>
      <c r="AS488" s="1">
        <v>0</v>
      </c>
      <c r="AT488" s="1">
        <f t="shared" si="47"/>
        <v>77357812</v>
      </c>
    </row>
    <row r="489" spans="1:46" x14ac:dyDescent="0.2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14800092</v>
      </c>
      <c r="G489" s="1">
        <v>8230318</v>
      </c>
      <c r="H489" s="1">
        <v>0</v>
      </c>
      <c r="I489" s="1">
        <v>12488191</v>
      </c>
      <c r="J489" s="1">
        <v>0</v>
      </c>
      <c r="K489" s="1">
        <v>0</v>
      </c>
      <c r="L489" s="1">
        <v>0</v>
      </c>
      <c r="M489" s="1">
        <v>400000</v>
      </c>
      <c r="N489" s="1">
        <v>2517058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1342000</v>
      </c>
      <c r="U489" s="1">
        <v>0</v>
      </c>
      <c r="V489" s="1">
        <v>15188261</v>
      </c>
      <c r="W489" s="1">
        <v>1100000</v>
      </c>
      <c r="X489" s="1">
        <v>2296566</v>
      </c>
      <c r="Y489" s="1">
        <v>0</v>
      </c>
      <c r="Z489" s="1">
        <v>0</v>
      </c>
      <c r="AA489" s="1">
        <v>0</v>
      </c>
      <c r="AB489" s="1">
        <v>0</v>
      </c>
      <c r="AC489" s="1">
        <v>3074667</v>
      </c>
      <c r="AD489" s="1">
        <v>0</v>
      </c>
      <c r="AE489" s="1">
        <v>1797899</v>
      </c>
      <c r="AF489" s="1">
        <v>1111269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14316483</v>
      </c>
      <c r="AM489" s="1">
        <v>0</v>
      </c>
      <c r="AN489" s="1">
        <v>78662804</v>
      </c>
      <c r="AO489" s="1">
        <v>16685832</v>
      </c>
      <c r="AP489" s="1">
        <v>61976972</v>
      </c>
      <c r="AQ489" s="1">
        <v>15039174</v>
      </c>
      <c r="AR489" s="1">
        <v>2255876</v>
      </c>
      <c r="AS489" s="1">
        <v>0</v>
      </c>
      <c r="AT489" s="1">
        <f t="shared" si="47"/>
        <v>95957854</v>
      </c>
    </row>
    <row r="490" spans="1:46" x14ac:dyDescent="0.2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10753135</v>
      </c>
      <c r="G490" s="1">
        <v>5765293</v>
      </c>
      <c r="H490" s="1">
        <v>0</v>
      </c>
      <c r="I490" s="1">
        <v>8457077</v>
      </c>
      <c r="J490" s="1">
        <v>0</v>
      </c>
      <c r="K490" s="1">
        <v>3465000</v>
      </c>
      <c r="L490" s="1">
        <v>0</v>
      </c>
      <c r="M490" s="1">
        <v>400000</v>
      </c>
      <c r="N490" s="1">
        <v>1928073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1342000</v>
      </c>
      <c r="U490" s="1">
        <v>0</v>
      </c>
      <c r="V490" s="1">
        <v>12974451</v>
      </c>
      <c r="W490" s="1">
        <v>1100000</v>
      </c>
      <c r="X490" s="1">
        <v>1668590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1377195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6971910</v>
      </c>
      <c r="AM490" s="1">
        <v>0</v>
      </c>
      <c r="AN490" s="1">
        <v>56202724</v>
      </c>
      <c r="AO490" s="1">
        <v>9770001</v>
      </c>
      <c r="AP490" s="1">
        <v>46432723</v>
      </c>
      <c r="AQ490" s="1">
        <v>10972145</v>
      </c>
      <c r="AR490" s="1">
        <v>1645822</v>
      </c>
      <c r="AS490" s="1">
        <v>0</v>
      </c>
      <c r="AT490" s="1">
        <f t="shared" si="47"/>
        <v>68820691</v>
      </c>
    </row>
    <row r="491" spans="1:46" x14ac:dyDescent="0.2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10664905</v>
      </c>
      <c r="G491" s="1">
        <v>1341316</v>
      </c>
      <c r="H491" s="1">
        <v>0</v>
      </c>
      <c r="I491" s="1">
        <v>7910485</v>
      </c>
      <c r="J491" s="1">
        <v>0</v>
      </c>
      <c r="K491" s="1">
        <v>3465000</v>
      </c>
      <c r="L491" s="1">
        <v>0</v>
      </c>
      <c r="M491" s="1">
        <v>400000</v>
      </c>
      <c r="N491" s="1">
        <v>1866985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1342000</v>
      </c>
      <c r="U491" s="1">
        <v>0</v>
      </c>
      <c r="V491" s="1">
        <v>9414006</v>
      </c>
      <c r="W491" s="1">
        <v>1100000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1333561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4374081</v>
      </c>
      <c r="AM491" s="1">
        <v>0</v>
      </c>
      <c r="AN491" s="1">
        <v>43212339</v>
      </c>
      <c r="AO491" s="1">
        <v>5662780</v>
      </c>
      <c r="AP491" s="1">
        <v>37549559</v>
      </c>
      <c r="AQ491" s="1">
        <v>8374068</v>
      </c>
      <c r="AR491" s="1">
        <v>1256110</v>
      </c>
      <c r="AS491" s="1">
        <v>0</v>
      </c>
      <c r="AT491" s="1">
        <f t="shared" si="47"/>
        <v>52842517</v>
      </c>
    </row>
    <row r="492" spans="1:46" x14ac:dyDescent="0.2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11598603</v>
      </c>
      <c r="G492" s="1">
        <v>8601637</v>
      </c>
      <c r="H492" s="1">
        <v>0</v>
      </c>
      <c r="I492" s="1">
        <v>9423429</v>
      </c>
      <c r="J492" s="1">
        <v>0</v>
      </c>
      <c r="K492" s="1">
        <v>4620000</v>
      </c>
      <c r="L492" s="1">
        <v>0</v>
      </c>
      <c r="M492" s="1">
        <v>400000</v>
      </c>
      <c r="N492" s="1">
        <v>2246958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1342000</v>
      </c>
      <c r="U492" s="1">
        <v>0</v>
      </c>
      <c r="V492" s="1">
        <v>14345355</v>
      </c>
      <c r="W492" s="1">
        <v>1100000</v>
      </c>
      <c r="X492" s="1">
        <v>1799783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1604969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8294489</v>
      </c>
      <c r="AM492" s="1">
        <v>0</v>
      </c>
      <c r="AN492" s="1">
        <v>65377223</v>
      </c>
      <c r="AO492" s="1">
        <v>10189847</v>
      </c>
      <c r="AP492" s="1">
        <v>55187376</v>
      </c>
      <c r="AQ492" s="1">
        <v>12807045</v>
      </c>
      <c r="AR492" s="1">
        <v>1921057</v>
      </c>
      <c r="AS492" s="1">
        <v>0</v>
      </c>
      <c r="AT492" s="1">
        <f t="shared" si="47"/>
        <v>80105325</v>
      </c>
    </row>
    <row r="493" spans="1:46" x14ac:dyDescent="0.2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14367941</v>
      </c>
      <c r="G493" s="1">
        <v>8604066</v>
      </c>
      <c r="H493" s="1">
        <v>0</v>
      </c>
      <c r="I493" s="1">
        <v>11170644</v>
      </c>
      <c r="J493" s="1">
        <v>0</v>
      </c>
      <c r="K493" s="1">
        <v>5500000</v>
      </c>
      <c r="L493" s="1">
        <v>0</v>
      </c>
      <c r="M493" s="1">
        <v>400000</v>
      </c>
      <c r="N493" s="1">
        <v>2315208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6359882</v>
      </c>
      <c r="W493" s="1">
        <v>1100000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2389642</v>
      </c>
      <c r="AD493" s="1">
        <v>0</v>
      </c>
      <c r="AE493" s="1">
        <v>1653720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2480581</v>
      </c>
      <c r="AM493" s="1">
        <v>0</v>
      </c>
      <c r="AN493" s="1">
        <v>56341684</v>
      </c>
      <c r="AO493" s="1">
        <v>8491134</v>
      </c>
      <c r="AP493" s="1">
        <v>47850550</v>
      </c>
      <c r="AQ493" s="1">
        <v>11268337</v>
      </c>
      <c r="AR493" s="1">
        <v>1690251</v>
      </c>
      <c r="AS493" s="1">
        <v>0</v>
      </c>
      <c r="AT493" s="1">
        <f t="shared" si="47"/>
        <v>69300272</v>
      </c>
    </row>
    <row r="494" spans="1:46" x14ac:dyDescent="0.2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11110130</v>
      </c>
      <c r="G494" s="1">
        <v>4180548</v>
      </c>
      <c r="H494" s="1">
        <v>0</v>
      </c>
      <c r="I494" s="1">
        <v>8980474</v>
      </c>
      <c r="J494" s="1">
        <v>0</v>
      </c>
      <c r="K494" s="1">
        <v>4620000</v>
      </c>
      <c r="L494" s="1">
        <v>0</v>
      </c>
      <c r="M494" s="1">
        <v>400000</v>
      </c>
      <c r="N494" s="1">
        <v>2053744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1342000</v>
      </c>
      <c r="U494" s="1">
        <v>0</v>
      </c>
      <c r="V494" s="1">
        <v>10876422</v>
      </c>
      <c r="W494" s="1">
        <v>1100000</v>
      </c>
      <c r="X494" s="1">
        <v>1723986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1466959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8144668</v>
      </c>
      <c r="AM494" s="1">
        <v>0</v>
      </c>
      <c r="AN494" s="1">
        <v>55998931</v>
      </c>
      <c r="AO494" s="1">
        <v>21956370</v>
      </c>
      <c r="AP494" s="1">
        <v>34042561</v>
      </c>
      <c r="AQ494" s="1">
        <v>10931386</v>
      </c>
      <c r="AR494" s="1">
        <v>1639708</v>
      </c>
      <c r="AS494" s="1">
        <v>0</v>
      </c>
      <c r="AT494" s="1">
        <f t="shared" si="47"/>
        <v>68570025</v>
      </c>
    </row>
    <row r="495" spans="1:46" x14ac:dyDescent="0.2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11066822</v>
      </c>
      <c r="G495" s="1">
        <v>5185767</v>
      </c>
      <c r="H495" s="1">
        <v>0</v>
      </c>
      <c r="I495" s="1">
        <v>8340263</v>
      </c>
      <c r="J495" s="1">
        <v>0</v>
      </c>
      <c r="K495" s="1">
        <v>4620000</v>
      </c>
      <c r="L495" s="1">
        <v>0</v>
      </c>
      <c r="M495" s="1">
        <v>400000</v>
      </c>
      <c r="N495" s="1">
        <v>2040214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1342000</v>
      </c>
      <c r="U495" s="1">
        <v>0</v>
      </c>
      <c r="V495" s="1">
        <v>13129044</v>
      </c>
      <c r="W495" s="1">
        <v>1100000</v>
      </c>
      <c r="X495" s="1">
        <v>1717266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1457296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6934142</v>
      </c>
      <c r="AM495" s="1">
        <v>0</v>
      </c>
      <c r="AN495" s="1">
        <v>57332814</v>
      </c>
      <c r="AO495" s="1">
        <v>8247966</v>
      </c>
      <c r="AP495" s="1">
        <v>49084848</v>
      </c>
      <c r="AQ495" s="1">
        <v>11198163</v>
      </c>
      <c r="AR495" s="1">
        <v>1679724</v>
      </c>
      <c r="AS495" s="1">
        <v>0</v>
      </c>
      <c r="AT495" s="1">
        <f t="shared" si="47"/>
        <v>70210701</v>
      </c>
    </row>
    <row r="496" spans="1:46" x14ac:dyDescent="0.2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 t="shared" si="51"/>
        <v>قراردادي بهره بردار</v>
      </c>
      <c r="E496" s="1" t="str">
        <f t="shared" ref="E496:E523" si="53">"پروژه تعميرات نيروگاه بوشهر"</f>
        <v>پروژه تعميرات نيروگاه بوشهر</v>
      </c>
      <c r="F496" s="1">
        <v>10884484</v>
      </c>
      <c r="G496" s="1">
        <v>2784753</v>
      </c>
      <c r="H496" s="1">
        <v>0</v>
      </c>
      <c r="I496" s="1">
        <v>9764903</v>
      </c>
      <c r="J496" s="1">
        <v>0</v>
      </c>
      <c r="K496" s="1">
        <v>4620000</v>
      </c>
      <c r="L496" s="1">
        <v>0</v>
      </c>
      <c r="M496" s="1">
        <v>400000</v>
      </c>
      <c r="N496" s="1">
        <v>1990685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14156117</v>
      </c>
      <c r="W496" s="1">
        <v>1100000</v>
      </c>
      <c r="X496" s="1">
        <v>1688972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1421917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7929235</v>
      </c>
      <c r="AM496" s="1">
        <v>0</v>
      </c>
      <c r="AN496" s="1">
        <v>56741066</v>
      </c>
      <c r="AO496" s="1">
        <v>7162499</v>
      </c>
      <c r="AP496" s="1">
        <v>49578567</v>
      </c>
      <c r="AQ496" s="1">
        <v>11348213</v>
      </c>
      <c r="AR496" s="1">
        <v>1702232</v>
      </c>
      <c r="AS496" s="1">
        <v>0</v>
      </c>
      <c r="AT496" s="1">
        <f t="shared" si="47"/>
        <v>69791511</v>
      </c>
    </row>
    <row r="497" spans="1:46" x14ac:dyDescent="0.2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 t="shared" ref="D497:D522" si="54">"قراردادي کارگري"</f>
        <v>قراردادي کارگري</v>
      </c>
      <c r="E497" s="1" t="str">
        <f t="shared" si="53"/>
        <v>پروژه تعميرات نيروگاه بوشهر</v>
      </c>
      <c r="F497" s="1">
        <v>5344400</v>
      </c>
      <c r="G497" s="1">
        <v>712611</v>
      </c>
      <c r="H497" s="1">
        <v>0</v>
      </c>
      <c r="I497" s="1">
        <v>3741080</v>
      </c>
      <c r="J497" s="1">
        <v>0</v>
      </c>
      <c r="K497" s="1">
        <v>0</v>
      </c>
      <c r="L497" s="1">
        <v>3500010</v>
      </c>
      <c r="M497" s="1">
        <v>400000</v>
      </c>
      <c r="N497" s="1">
        <v>2812842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3496029</v>
      </c>
      <c r="W497" s="1">
        <v>1100000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1111269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22218241</v>
      </c>
      <c r="AO497" s="1">
        <v>1974752</v>
      </c>
      <c r="AP497" s="1">
        <v>20243489</v>
      </c>
      <c r="AQ497" s="1">
        <v>4221394</v>
      </c>
      <c r="AR497" s="1">
        <v>633209</v>
      </c>
      <c r="AS497" s="1">
        <v>0</v>
      </c>
      <c r="AT497" s="1">
        <f t="shared" si="47"/>
        <v>27072844</v>
      </c>
    </row>
    <row r="498" spans="1:46" x14ac:dyDescent="0.2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 t="shared" si="54"/>
        <v>قراردادي کارگري</v>
      </c>
      <c r="E498" s="1" t="str">
        <f t="shared" si="53"/>
        <v>پروژه تعميرات نيروگاه بوشهر</v>
      </c>
      <c r="F498" s="1">
        <v>7093672</v>
      </c>
      <c r="G498" s="1">
        <v>5111025</v>
      </c>
      <c r="H498" s="1">
        <v>0</v>
      </c>
      <c r="I498" s="1">
        <v>5958684</v>
      </c>
      <c r="J498" s="1">
        <v>0</v>
      </c>
      <c r="K498" s="1">
        <v>0</v>
      </c>
      <c r="L498" s="1">
        <v>3345440</v>
      </c>
      <c r="M498" s="1">
        <v>400000</v>
      </c>
      <c r="N498" s="1">
        <v>3783292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6921947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33714060</v>
      </c>
      <c r="AO498" s="1">
        <v>3293963</v>
      </c>
      <c r="AP498" s="1">
        <v>30420097</v>
      </c>
      <c r="AQ498" s="1">
        <v>6742812</v>
      </c>
      <c r="AR498" s="1">
        <v>1011422</v>
      </c>
      <c r="AS498" s="1">
        <v>0</v>
      </c>
      <c r="AT498" s="1">
        <f t="shared" si="47"/>
        <v>41468294</v>
      </c>
    </row>
    <row r="499" spans="1:46" x14ac:dyDescent="0.2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8211129</v>
      </c>
      <c r="G499" s="1">
        <v>3786160</v>
      </c>
      <c r="H499" s="1">
        <v>0</v>
      </c>
      <c r="I499" s="1">
        <v>6076235</v>
      </c>
      <c r="J499" s="1">
        <v>0</v>
      </c>
      <c r="K499" s="1">
        <v>0</v>
      </c>
      <c r="L499" s="1">
        <v>3586553</v>
      </c>
      <c r="M499" s="1">
        <v>400000</v>
      </c>
      <c r="N499" s="1">
        <v>4321647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7330124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34811848</v>
      </c>
      <c r="AO499" s="1">
        <v>3478390</v>
      </c>
      <c r="AP499" s="1">
        <v>31333458</v>
      </c>
      <c r="AQ499" s="1">
        <v>6962370</v>
      </c>
      <c r="AR499" s="1">
        <v>1044355</v>
      </c>
      <c r="AS499" s="1">
        <v>0</v>
      </c>
      <c r="AT499" s="1">
        <f t="shared" si="47"/>
        <v>42818573</v>
      </c>
    </row>
    <row r="500" spans="1:46" x14ac:dyDescent="0.2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5455944</v>
      </c>
      <c r="G500" s="1">
        <v>13893938</v>
      </c>
      <c r="H500" s="1">
        <v>0</v>
      </c>
      <c r="I500" s="1">
        <v>3437244</v>
      </c>
      <c r="J500" s="1">
        <v>0</v>
      </c>
      <c r="K500" s="1">
        <v>0</v>
      </c>
      <c r="L500" s="1">
        <v>4395733</v>
      </c>
      <c r="M500" s="1">
        <v>400000</v>
      </c>
      <c r="N500" s="1">
        <v>2909837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5471115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37063811</v>
      </c>
      <c r="AO500" s="1">
        <v>4421913</v>
      </c>
      <c r="AP500" s="1">
        <v>32641898</v>
      </c>
      <c r="AQ500" s="1">
        <v>7412762</v>
      </c>
      <c r="AR500" s="1">
        <v>1111914</v>
      </c>
      <c r="AS500" s="1">
        <v>0</v>
      </c>
      <c r="AT500" s="1">
        <f t="shared" si="47"/>
        <v>45588487</v>
      </c>
    </row>
    <row r="501" spans="1:46" x14ac:dyDescent="0.2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5718099</v>
      </c>
      <c r="G501" s="1">
        <v>6695233</v>
      </c>
      <c r="H501" s="1">
        <v>0</v>
      </c>
      <c r="I501" s="1">
        <v>4231393</v>
      </c>
      <c r="J501" s="1">
        <v>0</v>
      </c>
      <c r="K501" s="1">
        <v>0</v>
      </c>
      <c r="L501" s="1">
        <v>3500010</v>
      </c>
      <c r="M501" s="1">
        <v>400000</v>
      </c>
      <c r="N501" s="1">
        <v>3009525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5730889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30385149</v>
      </c>
      <c r="AO501" s="1">
        <v>4684705</v>
      </c>
      <c r="AP501" s="1">
        <v>25700444</v>
      </c>
      <c r="AQ501" s="1">
        <v>6077030</v>
      </c>
      <c r="AR501" s="1">
        <v>911554</v>
      </c>
      <c r="AS501" s="1">
        <v>0</v>
      </c>
      <c r="AT501" s="1">
        <f t="shared" si="47"/>
        <v>37373733</v>
      </c>
    </row>
    <row r="502" spans="1:46" x14ac:dyDescent="0.2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7426146</v>
      </c>
      <c r="G502" s="1">
        <v>0</v>
      </c>
      <c r="H502" s="1">
        <v>0</v>
      </c>
      <c r="I502" s="1">
        <v>6535009</v>
      </c>
      <c r="J502" s="1">
        <v>0</v>
      </c>
      <c r="K502" s="1">
        <v>0</v>
      </c>
      <c r="L502" s="1">
        <v>3500010</v>
      </c>
      <c r="M502" s="1">
        <v>400000</v>
      </c>
      <c r="N502" s="1">
        <v>3960611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7318968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2222538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32463282</v>
      </c>
      <c r="AO502" s="1">
        <v>10707698</v>
      </c>
      <c r="AP502" s="1">
        <v>21755584</v>
      </c>
      <c r="AQ502" s="1">
        <v>6048149</v>
      </c>
      <c r="AR502" s="1">
        <v>907222</v>
      </c>
      <c r="AS502" s="1">
        <v>0</v>
      </c>
      <c r="AT502" s="1">
        <f t="shared" si="47"/>
        <v>39418653</v>
      </c>
    </row>
    <row r="503" spans="1:46" x14ac:dyDescent="0.2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8172364</v>
      </c>
      <c r="G503" s="1">
        <v>5756886</v>
      </c>
      <c r="H503" s="1">
        <v>0</v>
      </c>
      <c r="I503" s="1">
        <v>5884102</v>
      </c>
      <c r="J503" s="1">
        <v>0</v>
      </c>
      <c r="K503" s="1">
        <v>0</v>
      </c>
      <c r="L503" s="1">
        <v>3500010</v>
      </c>
      <c r="M503" s="1">
        <v>400000</v>
      </c>
      <c r="N503" s="1">
        <v>4329729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7467586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3282931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2834159</v>
      </c>
      <c r="AK503" s="1">
        <v>0</v>
      </c>
      <c r="AL503" s="1">
        <v>0</v>
      </c>
      <c r="AM503" s="1">
        <v>0</v>
      </c>
      <c r="AN503" s="1">
        <v>42727767</v>
      </c>
      <c r="AO503" s="1">
        <v>4808266</v>
      </c>
      <c r="AP503" s="1">
        <v>37919501</v>
      </c>
      <c r="AQ503" s="1">
        <v>8545553</v>
      </c>
      <c r="AR503" s="1">
        <v>1281833</v>
      </c>
      <c r="AS503" s="1">
        <v>0</v>
      </c>
      <c r="AT503" s="1">
        <f t="shared" si="47"/>
        <v>52555153</v>
      </c>
    </row>
    <row r="504" spans="1:46" x14ac:dyDescent="0.2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5021893</v>
      </c>
      <c r="G504" s="1">
        <v>768483</v>
      </c>
      <c r="H504" s="1">
        <v>0</v>
      </c>
      <c r="I504" s="1">
        <v>3766420</v>
      </c>
      <c r="J504" s="1">
        <v>0</v>
      </c>
      <c r="K504" s="1">
        <v>0</v>
      </c>
      <c r="L504" s="1">
        <v>3779483</v>
      </c>
      <c r="M504" s="1">
        <v>400000</v>
      </c>
      <c r="N504" s="1">
        <v>2643102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5164879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2222538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24866798</v>
      </c>
      <c r="AO504" s="1">
        <v>2152000</v>
      </c>
      <c r="AP504" s="1">
        <v>22714798</v>
      </c>
      <c r="AQ504" s="1">
        <v>4528852</v>
      </c>
      <c r="AR504" s="1">
        <v>679328</v>
      </c>
      <c r="AS504" s="1">
        <v>0</v>
      </c>
      <c r="AT504" s="1">
        <f t="shared" si="47"/>
        <v>30074978</v>
      </c>
    </row>
    <row r="505" spans="1:46" x14ac:dyDescent="0.2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5308566</v>
      </c>
      <c r="G505" s="1">
        <v>7069198</v>
      </c>
      <c r="H505" s="1">
        <v>0</v>
      </c>
      <c r="I505" s="1">
        <v>3822168</v>
      </c>
      <c r="J505" s="1">
        <v>0</v>
      </c>
      <c r="K505" s="1">
        <v>0</v>
      </c>
      <c r="L505" s="1">
        <v>3501102</v>
      </c>
      <c r="M505" s="1">
        <v>400000</v>
      </c>
      <c r="N505" s="1">
        <v>2793982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5400262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31617816</v>
      </c>
      <c r="AO505" s="1">
        <v>3344565</v>
      </c>
      <c r="AP505" s="1">
        <v>28273251</v>
      </c>
      <c r="AQ505" s="1">
        <v>5879056</v>
      </c>
      <c r="AR505" s="1">
        <v>881858</v>
      </c>
      <c r="AS505" s="1">
        <v>0</v>
      </c>
      <c r="AT505" s="1">
        <f t="shared" si="47"/>
        <v>38378730</v>
      </c>
    </row>
    <row r="506" spans="1:46" x14ac:dyDescent="0.2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8441558</v>
      </c>
      <c r="G506" s="1">
        <v>18875789</v>
      </c>
      <c r="H506" s="1">
        <v>0</v>
      </c>
      <c r="I506" s="1">
        <v>7090909</v>
      </c>
      <c r="J506" s="1">
        <v>0</v>
      </c>
      <c r="K506" s="1">
        <v>0</v>
      </c>
      <c r="L506" s="1">
        <v>3500010</v>
      </c>
      <c r="M506" s="1">
        <v>400000</v>
      </c>
      <c r="N506" s="1">
        <v>4502164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7745239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3333807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54989476</v>
      </c>
      <c r="AO506" s="1">
        <v>7478781</v>
      </c>
      <c r="AP506" s="1">
        <v>47510695</v>
      </c>
      <c r="AQ506" s="1">
        <v>10331134</v>
      </c>
      <c r="AR506" s="1">
        <v>1549670</v>
      </c>
      <c r="AS506" s="1">
        <v>0</v>
      </c>
      <c r="AT506" s="1">
        <f t="shared" si="47"/>
        <v>66870280</v>
      </c>
    </row>
    <row r="507" spans="1:46" x14ac:dyDescent="0.2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7282406</v>
      </c>
      <c r="G507" s="1">
        <v>5037067</v>
      </c>
      <c r="H507" s="1">
        <v>0</v>
      </c>
      <c r="I507" s="1">
        <v>5243331</v>
      </c>
      <c r="J507" s="1">
        <v>0</v>
      </c>
      <c r="K507" s="1">
        <v>0</v>
      </c>
      <c r="L507" s="1">
        <v>3500010</v>
      </c>
      <c r="M507" s="1">
        <v>400000</v>
      </c>
      <c r="N507" s="1">
        <v>3858228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6826873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2982596</v>
      </c>
      <c r="AE507" s="1">
        <v>0</v>
      </c>
      <c r="AF507" s="1">
        <v>4445076</v>
      </c>
      <c r="AG507" s="1">
        <v>0</v>
      </c>
      <c r="AH507" s="1">
        <v>0</v>
      </c>
      <c r="AI507" s="1">
        <v>0</v>
      </c>
      <c r="AJ507" s="1">
        <v>3868468</v>
      </c>
      <c r="AK507" s="1">
        <v>0</v>
      </c>
      <c r="AL507" s="1">
        <v>0</v>
      </c>
      <c r="AM507" s="1">
        <v>0</v>
      </c>
      <c r="AN507" s="1">
        <v>44544055</v>
      </c>
      <c r="AO507" s="1">
        <v>4811136</v>
      </c>
      <c r="AP507" s="1">
        <v>39732919</v>
      </c>
      <c r="AQ507" s="1">
        <v>8019796</v>
      </c>
      <c r="AR507" s="1">
        <v>1202969</v>
      </c>
      <c r="AS507" s="1">
        <v>0</v>
      </c>
      <c r="AT507" s="1">
        <f t="shared" si="47"/>
        <v>53766820</v>
      </c>
    </row>
    <row r="508" spans="1:46" x14ac:dyDescent="0.2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6855225</v>
      </c>
      <c r="G508" s="1">
        <v>7712253</v>
      </c>
      <c r="H508" s="1">
        <v>0</v>
      </c>
      <c r="I508" s="1">
        <v>5072867</v>
      </c>
      <c r="J508" s="1">
        <v>0</v>
      </c>
      <c r="K508" s="1">
        <v>0</v>
      </c>
      <c r="L508" s="1">
        <v>3500010</v>
      </c>
      <c r="M508" s="1">
        <v>400000</v>
      </c>
      <c r="N508" s="1">
        <v>3631908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4717302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2859001</v>
      </c>
      <c r="AE508" s="1">
        <v>0</v>
      </c>
      <c r="AF508" s="1">
        <v>3333807</v>
      </c>
      <c r="AG508" s="1">
        <v>0</v>
      </c>
      <c r="AH508" s="1">
        <v>0</v>
      </c>
      <c r="AI508" s="1">
        <v>0</v>
      </c>
      <c r="AJ508" s="1">
        <v>4591481</v>
      </c>
      <c r="AK508" s="1">
        <v>0</v>
      </c>
      <c r="AL508" s="1">
        <v>0</v>
      </c>
      <c r="AM508" s="1">
        <v>0</v>
      </c>
      <c r="AN508" s="1">
        <v>43773854</v>
      </c>
      <c r="AO508" s="1">
        <v>6223943</v>
      </c>
      <c r="AP508" s="1">
        <v>37549911</v>
      </c>
      <c r="AQ508" s="1">
        <v>8088009</v>
      </c>
      <c r="AR508" s="1">
        <v>1213201</v>
      </c>
      <c r="AS508" s="1">
        <v>0</v>
      </c>
      <c r="AT508" s="1">
        <f t="shared" si="47"/>
        <v>53075064</v>
      </c>
    </row>
    <row r="509" spans="1:46" x14ac:dyDescent="0.2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7982464</v>
      </c>
      <c r="G509" s="1">
        <v>11811819</v>
      </c>
      <c r="H509" s="1">
        <v>0</v>
      </c>
      <c r="I509" s="1">
        <v>6625444</v>
      </c>
      <c r="J509" s="1">
        <v>0</v>
      </c>
      <c r="K509" s="1">
        <v>0</v>
      </c>
      <c r="L509" s="1">
        <v>3345440</v>
      </c>
      <c r="M509" s="1">
        <v>400000</v>
      </c>
      <c r="N509" s="1">
        <v>4257314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7334805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42857286</v>
      </c>
      <c r="AO509" s="1">
        <v>4830023</v>
      </c>
      <c r="AP509" s="1">
        <v>38027263</v>
      </c>
      <c r="AQ509" s="1">
        <v>8571457</v>
      </c>
      <c r="AR509" s="1">
        <v>1285719</v>
      </c>
      <c r="AS509" s="1">
        <v>0</v>
      </c>
      <c r="AT509" s="1">
        <f t="shared" si="47"/>
        <v>52714462</v>
      </c>
    </row>
    <row r="510" spans="1:46" x14ac:dyDescent="0.2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7305037</v>
      </c>
      <c r="G510" s="1">
        <v>6834299</v>
      </c>
      <c r="H510" s="1">
        <v>0</v>
      </c>
      <c r="I510" s="1">
        <v>5186577</v>
      </c>
      <c r="J510" s="1">
        <v>0</v>
      </c>
      <c r="K510" s="1">
        <v>0</v>
      </c>
      <c r="L510" s="1">
        <v>3500010</v>
      </c>
      <c r="M510" s="1">
        <v>400000</v>
      </c>
      <c r="N510" s="1">
        <v>3844756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6811642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2975457</v>
      </c>
      <c r="AE510" s="1">
        <v>0</v>
      </c>
      <c r="AF510" s="1">
        <v>1111269</v>
      </c>
      <c r="AG510" s="1">
        <v>0</v>
      </c>
      <c r="AH510" s="1">
        <v>0</v>
      </c>
      <c r="AI510" s="1">
        <v>0</v>
      </c>
      <c r="AJ510" s="1">
        <v>2572912</v>
      </c>
      <c r="AK510" s="1">
        <v>0</v>
      </c>
      <c r="AL510" s="1">
        <v>0</v>
      </c>
      <c r="AM510" s="1">
        <v>0</v>
      </c>
      <c r="AN510" s="1">
        <v>41641959</v>
      </c>
      <c r="AO510" s="1">
        <v>5280456</v>
      </c>
      <c r="AP510" s="1">
        <v>36361503</v>
      </c>
      <c r="AQ510" s="1">
        <v>8106138</v>
      </c>
      <c r="AR510" s="1">
        <v>1215921</v>
      </c>
      <c r="AS510" s="1">
        <v>0</v>
      </c>
      <c r="AT510" s="1">
        <f t="shared" si="47"/>
        <v>50964018</v>
      </c>
    </row>
    <row r="511" spans="1:46" x14ac:dyDescent="0.2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5807616</v>
      </c>
      <c r="G511" s="1">
        <v>5897157</v>
      </c>
      <c r="H511" s="1">
        <v>0</v>
      </c>
      <c r="I511" s="1">
        <v>4878398</v>
      </c>
      <c r="J511" s="1">
        <v>0</v>
      </c>
      <c r="K511" s="1">
        <v>0</v>
      </c>
      <c r="L511" s="1">
        <v>3978510</v>
      </c>
      <c r="M511" s="1">
        <v>400000</v>
      </c>
      <c r="N511" s="1">
        <v>3076883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5949336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3333807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34421707</v>
      </c>
      <c r="AO511" s="1">
        <v>3794266</v>
      </c>
      <c r="AP511" s="1">
        <v>30627441</v>
      </c>
      <c r="AQ511" s="1">
        <v>6217580</v>
      </c>
      <c r="AR511" s="1">
        <v>932637</v>
      </c>
      <c r="AS511" s="1">
        <v>0</v>
      </c>
      <c r="AT511" s="1">
        <f t="shared" si="47"/>
        <v>41571924</v>
      </c>
    </row>
    <row r="512" spans="1:46" x14ac:dyDescent="0.2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8121509</v>
      </c>
      <c r="G512" s="1">
        <v>7704651</v>
      </c>
      <c r="H512" s="1">
        <v>0</v>
      </c>
      <c r="I512" s="1">
        <v>6009917</v>
      </c>
      <c r="J512" s="1">
        <v>0</v>
      </c>
      <c r="K512" s="1">
        <v>0</v>
      </c>
      <c r="L512" s="1">
        <v>3500010</v>
      </c>
      <c r="M512" s="1">
        <v>400000</v>
      </c>
      <c r="N512" s="1">
        <v>4302786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7249109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3333807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41721789</v>
      </c>
      <c r="AO512" s="1">
        <v>4412562</v>
      </c>
      <c r="AP512" s="1">
        <v>37309227</v>
      </c>
      <c r="AQ512" s="1">
        <v>7677596</v>
      </c>
      <c r="AR512" s="1">
        <v>1151639</v>
      </c>
      <c r="AS512" s="1">
        <v>0</v>
      </c>
      <c r="AT512" s="1">
        <f t="shared" si="47"/>
        <v>50551024</v>
      </c>
    </row>
    <row r="513" spans="1:46" x14ac:dyDescent="0.2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5636193</v>
      </c>
      <c r="G513" s="1">
        <v>14028420</v>
      </c>
      <c r="H513" s="1">
        <v>0</v>
      </c>
      <c r="I513" s="1">
        <v>4227144</v>
      </c>
      <c r="J513" s="1">
        <v>0</v>
      </c>
      <c r="K513" s="1">
        <v>0</v>
      </c>
      <c r="L513" s="1">
        <v>3529116</v>
      </c>
      <c r="M513" s="1">
        <v>400000</v>
      </c>
      <c r="N513" s="1">
        <v>2966417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5520749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2222538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39630577</v>
      </c>
      <c r="AO513" s="1">
        <v>4713888</v>
      </c>
      <c r="AP513" s="1">
        <v>34916689</v>
      </c>
      <c r="AQ513" s="1">
        <v>7481608</v>
      </c>
      <c r="AR513" s="1">
        <v>1122241</v>
      </c>
      <c r="AS513" s="1">
        <v>0</v>
      </c>
      <c r="AT513" s="1">
        <f t="shared" si="47"/>
        <v>48234426</v>
      </c>
    </row>
    <row r="514" spans="1:46" x14ac:dyDescent="0.2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9082343</v>
      </c>
      <c r="G514" s="1">
        <v>3183874</v>
      </c>
      <c r="H514" s="1">
        <v>0</v>
      </c>
      <c r="I514" s="1">
        <v>7447522</v>
      </c>
      <c r="J514" s="1">
        <v>0</v>
      </c>
      <c r="K514" s="1">
        <v>0</v>
      </c>
      <c r="L514" s="1">
        <v>3345440</v>
      </c>
      <c r="M514" s="1">
        <v>400000</v>
      </c>
      <c r="N514" s="1">
        <v>4843915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5430114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1111269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35944477</v>
      </c>
      <c r="AO514" s="1">
        <v>6283750</v>
      </c>
      <c r="AP514" s="1">
        <v>29660727</v>
      </c>
      <c r="AQ514" s="1">
        <v>6966642</v>
      </c>
      <c r="AR514" s="1">
        <v>1044996</v>
      </c>
      <c r="AS514" s="1">
        <v>0</v>
      </c>
      <c r="AT514" s="1">
        <f t="shared" si="47"/>
        <v>43956115</v>
      </c>
    </row>
    <row r="515" spans="1:46" x14ac:dyDescent="0.2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5922865</v>
      </c>
      <c r="G515" s="1">
        <v>0</v>
      </c>
      <c r="H515" s="1">
        <v>0</v>
      </c>
      <c r="I515" s="1">
        <v>4323691</v>
      </c>
      <c r="J515" s="1">
        <v>0</v>
      </c>
      <c r="K515" s="1">
        <v>0</v>
      </c>
      <c r="L515" s="1">
        <v>3973445</v>
      </c>
      <c r="M515" s="1">
        <v>400000</v>
      </c>
      <c r="N515" s="1">
        <v>3117297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5824062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2222538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26883898</v>
      </c>
      <c r="AO515" s="1">
        <v>1995363</v>
      </c>
      <c r="AP515" s="1">
        <v>24888535</v>
      </c>
      <c r="AQ515" s="1">
        <v>4932272</v>
      </c>
      <c r="AR515" s="1">
        <v>739841</v>
      </c>
      <c r="AS515" s="1">
        <v>0</v>
      </c>
      <c r="AT515" s="1">
        <f t="shared" ref="AT515:AT578" si="55">AS515+AR515+AQ515+AN515</f>
        <v>32556011</v>
      </c>
    </row>
    <row r="516" spans="1:46" x14ac:dyDescent="0.2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9526739</v>
      </c>
      <c r="G516" s="1">
        <v>0</v>
      </c>
      <c r="H516" s="1">
        <v>0</v>
      </c>
      <c r="I516" s="1">
        <v>8002461</v>
      </c>
      <c r="J516" s="1">
        <v>0</v>
      </c>
      <c r="K516" s="1">
        <v>0</v>
      </c>
      <c r="L516" s="1">
        <v>3345440</v>
      </c>
      <c r="M516" s="1">
        <v>400000</v>
      </c>
      <c r="N516" s="1">
        <v>5080927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8769782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3333807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39559156</v>
      </c>
      <c r="AO516" s="1">
        <v>4049238</v>
      </c>
      <c r="AP516" s="1">
        <v>35509918</v>
      </c>
      <c r="AQ516" s="1">
        <v>7245070</v>
      </c>
      <c r="AR516" s="1">
        <v>1086760</v>
      </c>
      <c r="AS516" s="1">
        <v>0</v>
      </c>
      <c r="AT516" s="1">
        <f t="shared" si="55"/>
        <v>47890986</v>
      </c>
    </row>
    <row r="517" spans="1:46" x14ac:dyDescent="0.2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7607876</v>
      </c>
      <c r="G517" s="1">
        <v>15714830</v>
      </c>
      <c r="H517" s="1">
        <v>0</v>
      </c>
      <c r="I517" s="1">
        <v>5553749</v>
      </c>
      <c r="J517" s="1">
        <v>0</v>
      </c>
      <c r="K517" s="1">
        <v>0</v>
      </c>
      <c r="L517" s="1">
        <v>3500010</v>
      </c>
      <c r="M517" s="1">
        <v>400000</v>
      </c>
      <c r="N517" s="1">
        <v>4030663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7085535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47215201</v>
      </c>
      <c r="AO517" s="1">
        <v>5411020</v>
      </c>
      <c r="AP517" s="1">
        <v>41804181</v>
      </c>
      <c r="AQ517" s="1">
        <v>8998533</v>
      </c>
      <c r="AR517" s="1">
        <v>1349780</v>
      </c>
      <c r="AS517" s="1">
        <v>0</v>
      </c>
      <c r="AT517" s="1">
        <f t="shared" si="55"/>
        <v>57563514</v>
      </c>
    </row>
    <row r="518" spans="1:46" x14ac:dyDescent="0.2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6317040</v>
      </c>
      <c r="G518" s="1">
        <v>6304241</v>
      </c>
      <c r="H518" s="1">
        <v>0</v>
      </c>
      <c r="I518" s="1">
        <v>5369484</v>
      </c>
      <c r="J518" s="1">
        <v>0</v>
      </c>
      <c r="K518" s="1">
        <v>0</v>
      </c>
      <c r="L518" s="1">
        <v>3978510</v>
      </c>
      <c r="M518" s="1">
        <v>400000</v>
      </c>
      <c r="N518" s="1">
        <v>3324758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6336336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35352907</v>
      </c>
      <c r="AO518" s="1">
        <v>4328156</v>
      </c>
      <c r="AP518" s="1">
        <v>31024751</v>
      </c>
      <c r="AQ518" s="1">
        <v>6626074</v>
      </c>
      <c r="AR518" s="1">
        <v>993911</v>
      </c>
      <c r="AS518" s="1">
        <v>0</v>
      </c>
      <c r="AT518" s="1">
        <f t="shared" si="55"/>
        <v>42972892</v>
      </c>
    </row>
    <row r="519" spans="1:46" x14ac:dyDescent="0.2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8666733</v>
      </c>
      <c r="G519" s="1">
        <v>0</v>
      </c>
      <c r="H519" s="1">
        <v>0</v>
      </c>
      <c r="I519" s="1">
        <v>6240048</v>
      </c>
      <c r="J519" s="1">
        <v>0</v>
      </c>
      <c r="K519" s="1">
        <v>0</v>
      </c>
      <c r="L519" s="1">
        <v>3500010</v>
      </c>
      <c r="M519" s="1">
        <v>400000</v>
      </c>
      <c r="N519" s="1">
        <v>4561439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7569652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34260420</v>
      </c>
      <c r="AO519" s="1">
        <v>4074431</v>
      </c>
      <c r="AP519" s="1">
        <v>30185989</v>
      </c>
      <c r="AQ519" s="1">
        <v>6407576</v>
      </c>
      <c r="AR519" s="1">
        <v>961136</v>
      </c>
      <c r="AS519" s="1">
        <v>0</v>
      </c>
      <c r="AT519" s="1">
        <f t="shared" si="55"/>
        <v>41629132</v>
      </c>
    </row>
    <row r="520" spans="1:46" x14ac:dyDescent="0.2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5263470</v>
      </c>
      <c r="G520" s="1">
        <v>12258104</v>
      </c>
      <c r="H520" s="1">
        <v>0</v>
      </c>
      <c r="I520" s="1">
        <v>4158142</v>
      </c>
      <c r="J520" s="1">
        <v>0</v>
      </c>
      <c r="K520" s="1">
        <v>0</v>
      </c>
      <c r="L520" s="1">
        <v>5168305</v>
      </c>
      <c r="M520" s="1">
        <v>400000</v>
      </c>
      <c r="N520" s="1">
        <v>2788594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5836838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39195991</v>
      </c>
      <c r="AO520" s="1">
        <v>4637948</v>
      </c>
      <c r="AP520" s="1">
        <v>34558043</v>
      </c>
      <c r="AQ520" s="1">
        <v>7394691</v>
      </c>
      <c r="AR520" s="1">
        <v>1109204</v>
      </c>
      <c r="AS520" s="1">
        <v>0</v>
      </c>
      <c r="AT520" s="1">
        <f t="shared" si="55"/>
        <v>47699886</v>
      </c>
    </row>
    <row r="521" spans="1:46" x14ac:dyDescent="0.2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4349600</v>
      </c>
      <c r="G521" s="1">
        <v>2345375</v>
      </c>
      <c r="H521" s="1">
        <v>0</v>
      </c>
      <c r="I521" s="1">
        <v>3044720</v>
      </c>
      <c r="J521" s="1">
        <v>0</v>
      </c>
      <c r="K521" s="1">
        <v>0</v>
      </c>
      <c r="L521" s="1">
        <v>4801415</v>
      </c>
      <c r="M521" s="1">
        <v>400000</v>
      </c>
      <c r="N521" s="1">
        <v>2174799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5062571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2155580</v>
      </c>
      <c r="AE521" s="1">
        <v>0</v>
      </c>
      <c r="AF521" s="1">
        <v>1111269</v>
      </c>
      <c r="AG521" s="1">
        <v>0</v>
      </c>
      <c r="AH521" s="1">
        <v>0</v>
      </c>
      <c r="AI521" s="1">
        <v>0</v>
      </c>
      <c r="AJ521" s="1">
        <v>1876300</v>
      </c>
      <c r="AK521" s="1">
        <v>0</v>
      </c>
      <c r="AL521" s="1">
        <v>0</v>
      </c>
      <c r="AM521" s="1">
        <v>0</v>
      </c>
      <c r="AN521" s="1">
        <v>28421629</v>
      </c>
      <c r="AO521" s="1">
        <v>2329268</v>
      </c>
      <c r="AP521" s="1">
        <v>26092361</v>
      </c>
      <c r="AQ521" s="1">
        <v>5462072</v>
      </c>
      <c r="AR521" s="1">
        <v>819311</v>
      </c>
      <c r="AS521" s="1">
        <v>0</v>
      </c>
      <c r="AT521" s="1">
        <f t="shared" si="55"/>
        <v>34703012</v>
      </c>
    </row>
    <row r="522" spans="1:46" x14ac:dyDescent="0.2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5132629</v>
      </c>
      <c r="G522" s="1">
        <v>6893826</v>
      </c>
      <c r="H522" s="1">
        <v>0</v>
      </c>
      <c r="I522" s="1">
        <v>3182230</v>
      </c>
      <c r="J522" s="1">
        <v>0</v>
      </c>
      <c r="K522" s="1">
        <v>0</v>
      </c>
      <c r="L522" s="1">
        <v>4868870</v>
      </c>
      <c r="M522" s="1">
        <v>400000</v>
      </c>
      <c r="N522" s="1">
        <v>2566313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5504013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2362506</v>
      </c>
      <c r="AE522" s="1">
        <v>0</v>
      </c>
      <c r="AF522" s="1">
        <v>3333807</v>
      </c>
      <c r="AG522" s="1">
        <v>0</v>
      </c>
      <c r="AH522" s="1">
        <v>0</v>
      </c>
      <c r="AI522" s="1">
        <v>0</v>
      </c>
      <c r="AJ522" s="1">
        <v>3078174</v>
      </c>
      <c r="AK522" s="1">
        <v>0</v>
      </c>
      <c r="AL522" s="1">
        <v>0</v>
      </c>
      <c r="AM522" s="1">
        <v>0</v>
      </c>
      <c r="AN522" s="1">
        <v>38422368</v>
      </c>
      <c r="AO522" s="1">
        <v>4408430</v>
      </c>
      <c r="AP522" s="1">
        <v>34013938</v>
      </c>
      <c r="AQ522" s="1">
        <v>7017712</v>
      </c>
      <c r="AR522" s="1">
        <v>1052657</v>
      </c>
      <c r="AS522" s="1">
        <v>0</v>
      </c>
      <c r="AT522" s="1">
        <f t="shared" si="55"/>
        <v>46492737</v>
      </c>
    </row>
    <row r="523" spans="1:46" x14ac:dyDescent="0.2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 t="shared" ref="D523:D565" si="56">"قراردادي بهره بردار"</f>
        <v>قراردادي بهره بردار</v>
      </c>
      <c r="E523" s="1" t="str">
        <f t="shared" si="53"/>
        <v>پروژه تعميرات نيروگاه بوشهر</v>
      </c>
      <c r="F523" s="1">
        <v>21916991</v>
      </c>
      <c r="G523" s="1">
        <v>0</v>
      </c>
      <c r="H523" s="1">
        <v>0</v>
      </c>
      <c r="I523" s="1">
        <v>18354698</v>
      </c>
      <c r="J523" s="1">
        <v>0</v>
      </c>
      <c r="K523" s="1">
        <v>5500000</v>
      </c>
      <c r="L523" s="1">
        <v>0</v>
      </c>
      <c r="M523" s="1">
        <v>400000</v>
      </c>
      <c r="N523" s="1">
        <v>3407756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12039323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2434111</v>
      </c>
      <c r="AF523" s="1">
        <v>1111269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6231325</v>
      </c>
      <c r="AM523" s="1">
        <v>0</v>
      </c>
      <c r="AN523" s="1">
        <v>72495473</v>
      </c>
      <c r="AO523" s="1">
        <v>11490034</v>
      </c>
      <c r="AP523" s="1">
        <v>61005439</v>
      </c>
      <c r="AQ523" s="1">
        <v>14276841</v>
      </c>
      <c r="AR523" s="1">
        <v>2141526</v>
      </c>
      <c r="AS523" s="1">
        <v>0</v>
      </c>
      <c r="AT523" s="1">
        <f t="shared" si="55"/>
        <v>88913840</v>
      </c>
    </row>
    <row r="524" spans="1:46" x14ac:dyDescent="0.2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 t="shared" si="56"/>
        <v>قراردادي بهره بردار</v>
      </c>
      <c r="E524" s="1" t="str">
        <f t="shared" ref="E524:E529" si="57">"پروژه بهره برداري نيروگاه بوشهر"</f>
        <v>پروژه بهره برداري نيروگاه بوشهر</v>
      </c>
      <c r="F524" s="1">
        <v>18494904</v>
      </c>
      <c r="G524" s="1">
        <v>23252633</v>
      </c>
      <c r="H524" s="1">
        <v>0</v>
      </c>
      <c r="I524" s="1">
        <v>17955846</v>
      </c>
      <c r="J524" s="1">
        <v>0</v>
      </c>
      <c r="K524" s="1">
        <v>5500000</v>
      </c>
      <c r="L524" s="1">
        <v>0</v>
      </c>
      <c r="M524" s="1">
        <v>400000</v>
      </c>
      <c r="N524" s="1">
        <v>2768763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4670659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2345085</v>
      </c>
      <c r="AD524" s="1">
        <v>0</v>
      </c>
      <c r="AE524" s="1">
        <v>1977688</v>
      </c>
      <c r="AF524" s="1">
        <v>1111269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3164301</v>
      </c>
      <c r="AM524" s="1">
        <v>0</v>
      </c>
      <c r="AN524" s="1">
        <v>82741148</v>
      </c>
      <c r="AO524" s="1">
        <v>29997442</v>
      </c>
      <c r="AP524" s="1">
        <v>52743706</v>
      </c>
      <c r="AQ524" s="1">
        <v>15039174</v>
      </c>
      <c r="AR524" s="1">
        <v>2255876</v>
      </c>
      <c r="AS524" s="1">
        <v>0</v>
      </c>
      <c r="AT524" s="1">
        <f t="shared" si="55"/>
        <v>100036198</v>
      </c>
    </row>
    <row r="525" spans="1:46" x14ac:dyDescent="0.2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 t="shared" si="56"/>
        <v>قراردادي بهره بردار</v>
      </c>
      <c r="E525" s="1" t="str">
        <f t="shared" si="57"/>
        <v>پروژه بهره برداري نيروگاه بوشهر</v>
      </c>
      <c r="F525" s="1">
        <v>16957701</v>
      </c>
      <c r="G525" s="1">
        <v>16889188</v>
      </c>
      <c r="H525" s="1">
        <v>0</v>
      </c>
      <c r="I525" s="1">
        <v>14891753</v>
      </c>
      <c r="J525" s="1">
        <v>0</v>
      </c>
      <c r="K525" s="1">
        <v>5500000</v>
      </c>
      <c r="L525" s="1">
        <v>0</v>
      </c>
      <c r="M525" s="1">
        <v>400000</v>
      </c>
      <c r="N525" s="1">
        <v>2392482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4070952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2366191</v>
      </c>
      <c r="AD525" s="1">
        <v>0</v>
      </c>
      <c r="AE525" s="1">
        <v>1708916</v>
      </c>
      <c r="AF525" s="1">
        <v>1111269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2392482</v>
      </c>
      <c r="AM525" s="1">
        <v>0</v>
      </c>
      <c r="AN525" s="1">
        <v>69780934</v>
      </c>
      <c r="AO525" s="1">
        <v>11627709</v>
      </c>
      <c r="AP525" s="1">
        <v>58153225</v>
      </c>
      <c r="AQ525" s="1">
        <v>13733933</v>
      </c>
      <c r="AR525" s="1">
        <v>2060090</v>
      </c>
      <c r="AS525" s="1">
        <v>0</v>
      </c>
      <c r="AT525" s="1">
        <f t="shared" si="55"/>
        <v>85574957</v>
      </c>
    </row>
    <row r="526" spans="1:46" x14ac:dyDescent="0.2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12954233</v>
      </c>
      <c r="G526" s="1">
        <v>12099056</v>
      </c>
      <c r="H526" s="1">
        <v>0</v>
      </c>
      <c r="I526" s="1">
        <v>10066276</v>
      </c>
      <c r="J526" s="1">
        <v>0</v>
      </c>
      <c r="K526" s="1">
        <v>4125000</v>
      </c>
      <c r="L526" s="1">
        <v>0</v>
      </c>
      <c r="M526" s="1">
        <v>400000</v>
      </c>
      <c r="N526" s="1">
        <v>1899936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2804177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1357097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1764227</v>
      </c>
      <c r="AM526" s="1">
        <v>0</v>
      </c>
      <c r="AN526" s="1">
        <v>48570002</v>
      </c>
      <c r="AO526" s="1">
        <v>6604850</v>
      </c>
      <c r="AP526" s="1">
        <v>41965152</v>
      </c>
      <c r="AQ526" s="1">
        <v>9714000</v>
      </c>
      <c r="AR526" s="1">
        <v>1457100</v>
      </c>
      <c r="AS526" s="1">
        <v>0</v>
      </c>
      <c r="AT526" s="1">
        <f t="shared" si="55"/>
        <v>59741102</v>
      </c>
    </row>
    <row r="527" spans="1:46" x14ac:dyDescent="0.2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12365378</v>
      </c>
      <c r="G527" s="1">
        <v>2108492</v>
      </c>
      <c r="H527" s="1">
        <v>0</v>
      </c>
      <c r="I527" s="1">
        <v>11130294</v>
      </c>
      <c r="J527" s="1">
        <v>1000000</v>
      </c>
      <c r="K527" s="1">
        <v>3465000</v>
      </c>
      <c r="L527" s="1">
        <v>0</v>
      </c>
      <c r="M527" s="1">
        <v>400000</v>
      </c>
      <c r="N527" s="1">
        <v>2198797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3176429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2300452</v>
      </c>
      <c r="AD527" s="1">
        <v>0</v>
      </c>
      <c r="AE527" s="1">
        <v>1570569</v>
      </c>
      <c r="AF527" s="1">
        <v>2222538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2198797</v>
      </c>
      <c r="AM527" s="1">
        <v>0</v>
      </c>
      <c r="AN527" s="1">
        <v>45236746</v>
      </c>
      <c r="AO527" s="1">
        <v>5833517</v>
      </c>
      <c r="AP527" s="1">
        <v>39403229</v>
      </c>
      <c r="AQ527" s="1">
        <v>8402842</v>
      </c>
      <c r="AR527" s="1">
        <v>1260426</v>
      </c>
      <c r="AS527" s="1">
        <v>0</v>
      </c>
      <c r="AT527" s="1">
        <f t="shared" si="55"/>
        <v>54900014</v>
      </c>
    </row>
    <row r="528" spans="1:46" x14ac:dyDescent="0.2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15131325</v>
      </c>
      <c r="G528" s="1">
        <v>14767435</v>
      </c>
      <c r="H528" s="1">
        <v>0</v>
      </c>
      <c r="I528" s="1">
        <v>13295395</v>
      </c>
      <c r="J528" s="1">
        <v>0</v>
      </c>
      <c r="K528" s="1">
        <v>5500000</v>
      </c>
      <c r="L528" s="1">
        <v>0</v>
      </c>
      <c r="M528" s="1">
        <v>400000</v>
      </c>
      <c r="N528" s="1">
        <v>2607159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7873440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1862256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3724514</v>
      </c>
      <c r="AM528" s="1">
        <v>0</v>
      </c>
      <c r="AN528" s="1">
        <v>66261524</v>
      </c>
      <c r="AO528" s="1">
        <v>12121977</v>
      </c>
      <c r="AP528" s="1">
        <v>54139547</v>
      </c>
      <c r="AQ528" s="1">
        <v>13252305</v>
      </c>
      <c r="AR528" s="1">
        <v>1987846</v>
      </c>
      <c r="AS528" s="1">
        <v>0</v>
      </c>
      <c r="AT528" s="1">
        <f t="shared" si="55"/>
        <v>81501675</v>
      </c>
    </row>
    <row r="529" spans="1:46" x14ac:dyDescent="0.2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17465707</v>
      </c>
      <c r="G529" s="1">
        <v>10692050</v>
      </c>
      <c r="H529" s="1">
        <v>0</v>
      </c>
      <c r="I529" s="1">
        <v>16029454</v>
      </c>
      <c r="J529" s="1">
        <v>0</v>
      </c>
      <c r="K529" s="1">
        <v>5500000</v>
      </c>
      <c r="L529" s="1">
        <v>0</v>
      </c>
      <c r="M529" s="1">
        <v>400000</v>
      </c>
      <c r="N529" s="1">
        <v>2370760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1342000</v>
      </c>
      <c r="U529" s="1">
        <v>0</v>
      </c>
      <c r="V529" s="1">
        <v>4026875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1693400</v>
      </c>
      <c r="AF529" s="1">
        <v>1111269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2709440</v>
      </c>
      <c r="AM529" s="1">
        <v>0</v>
      </c>
      <c r="AN529" s="1">
        <v>64440955</v>
      </c>
      <c r="AO529" s="1">
        <v>24669064</v>
      </c>
      <c r="AP529" s="1">
        <v>39771891</v>
      </c>
      <c r="AQ529" s="1">
        <v>12397537</v>
      </c>
      <c r="AR529" s="1">
        <v>1859631</v>
      </c>
      <c r="AS529" s="1">
        <v>0</v>
      </c>
      <c r="AT529" s="1">
        <f t="shared" si="55"/>
        <v>78698123</v>
      </c>
    </row>
    <row r="530" spans="1:46" x14ac:dyDescent="0.2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 t="shared" si="56"/>
        <v>قراردادي بهره بردار</v>
      </c>
      <c r="E530" s="1" t="str">
        <f>"پروژه تعميرات نيروگاه بوشهر"</f>
        <v>پروژه تعميرات نيروگاه بوشهر</v>
      </c>
      <c r="F530" s="1">
        <v>10266294</v>
      </c>
      <c r="G530" s="1">
        <v>8864654</v>
      </c>
      <c r="H530" s="1">
        <v>0</v>
      </c>
      <c r="I530" s="1">
        <v>8144699</v>
      </c>
      <c r="J530" s="1">
        <v>0</v>
      </c>
      <c r="K530" s="1">
        <v>4620000</v>
      </c>
      <c r="L530" s="1">
        <v>0</v>
      </c>
      <c r="M530" s="1">
        <v>400000</v>
      </c>
      <c r="N530" s="1">
        <v>1718790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8978502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1227707</v>
      </c>
      <c r="AF530" s="1">
        <v>1111269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3241146</v>
      </c>
      <c r="AM530" s="1">
        <v>0</v>
      </c>
      <c r="AN530" s="1">
        <v>49673061</v>
      </c>
      <c r="AO530" s="1">
        <v>9265067</v>
      </c>
      <c r="AP530" s="1">
        <v>40407994</v>
      </c>
      <c r="AQ530" s="1">
        <v>9712358</v>
      </c>
      <c r="AR530" s="1">
        <v>1456854</v>
      </c>
      <c r="AS530" s="1">
        <v>0</v>
      </c>
      <c r="AT530" s="1">
        <f t="shared" si="55"/>
        <v>60842273</v>
      </c>
    </row>
    <row r="531" spans="1:46" x14ac:dyDescent="0.2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 t="shared" si="56"/>
        <v>قراردادي بهره بردار</v>
      </c>
      <c r="E531" s="1" t="str">
        <f t="shared" ref="E531:E550" si="58">"پروژه بهره برداري نيروگاه بوشهر"</f>
        <v>پروژه بهره برداري نيروگاه بوشهر</v>
      </c>
      <c r="F531" s="1">
        <v>10859512</v>
      </c>
      <c r="G531" s="1">
        <v>6248122</v>
      </c>
      <c r="H531" s="1">
        <v>0</v>
      </c>
      <c r="I531" s="1">
        <v>8768597</v>
      </c>
      <c r="J531" s="1">
        <v>0</v>
      </c>
      <c r="K531" s="1">
        <v>4620000</v>
      </c>
      <c r="L531" s="1">
        <v>0</v>
      </c>
      <c r="M531" s="1">
        <v>400000</v>
      </c>
      <c r="N531" s="1">
        <v>1970550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1342000</v>
      </c>
      <c r="U531" s="1">
        <v>0</v>
      </c>
      <c r="V531" s="1">
        <v>13109262</v>
      </c>
      <c r="W531" s="1">
        <v>1100000</v>
      </c>
      <c r="X531" s="1">
        <v>1685097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1407535</v>
      </c>
      <c r="AF531" s="1">
        <v>1111269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7480460</v>
      </c>
      <c r="AM531" s="1">
        <v>0</v>
      </c>
      <c r="AN531" s="1">
        <v>60102404</v>
      </c>
      <c r="AO531" s="1">
        <v>8625945</v>
      </c>
      <c r="AP531" s="1">
        <v>51476459</v>
      </c>
      <c r="AQ531" s="1">
        <v>11529827</v>
      </c>
      <c r="AR531" s="1">
        <v>1729474</v>
      </c>
      <c r="AS531" s="1">
        <v>0</v>
      </c>
      <c r="AT531" s="1">
        <f t="shared" si="55"/>
        <v>73361705</v>
      </c>
    </row>
    <row r="532" spans="1:46" x14ac:dyDescent="0.2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 t="shared" si="56"/>
        <v>قراردادي بهره بردار</v>
      </c>
      <c r="E532" s="1" t="str">
        <f t="shared" si="58"/>
        <v>پروژه بهره برداري نيروگاه بوشهر</v>
      </c>
      <c r="F532" s="1">
        <v>14358869</v>
      </c>
      <c r="G532" s="1">
        <v>17353923</v>
      </c>
      <c r="H532" s="1">
        <v>0</v>
      </c>
      <c r="I532" s="1">
        <v>11726817</v>
      </c>
      <c r="J532" s="1">
        <v>0</v>
      </c>
      <c r="K532" s="1">
        <v>5500000</v>
      </c>
      <c r="L532" s="1">
        <v>0</v>
      </c>
      <c r="M532" s="1">
        <v>400000</v>
      </c>
      <c r="N532" s="1">
        <v>2362630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10754998</v>
      </c>
      <c r="W532" s="1">
        <v>1100000</v>
      </c>
      <c r="X532" s="1">
        <v>2228100</v>
      </c>
      <c r="Y532" s="1">
        <v>0</v>
      </c>
      <c r="Z532" s="1">
        <v>0</v>
      </c>
      <c r="AA532" s="1">
        <v>0</v>
      </c>
      <c r="AB532" s="1">
        <v>0</v>
      </c>
      <c r="AC532" s="1">
        <v>3074667</v>
      </c>
      <c r="AD532" s="1">
        <v>0</v>
      </c>
      <c r="AE532" s="1">
        <v>1687593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13550284</v>
      </c>
      <c r="AM532" s="1">
        <v>0</v>
      </c>
      <c r="AN532" s="1">
        <v>84097881</v>
      </c>
      <c r="AO532" s="1">
        <v>11153107</v>
      </c>
      <c r="AP532" s="1">
        <v>72944774</v>
      </c>
      <c r="AQ532" s="1">
        <v>15039174</v>
      </c>
      <c r="AR532" s="1">
        <v>2255876</v>
      </c>
      <c r="AS532" s="1">
        <v>0</v>
      </c>
      <c r="AT532" s="1">
        <f t="shared" si="55"/>
        <v>101392931</v>
      </c>
    </row>
    <row r="533" spans="1:46" x14ac:dyDescent="0.2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15526200</v>
      </c>
      <c r="G533" s="1">
        <v>8056204</v>
      </c>
      <c r="H533" s="1">
        <v>0</v>
      </c>
      <c r="I533" s="1">
        <v>12541961</v>
      </c>
      <c r="J533" s="1">
        <v>0</v>
      </c>
      <c r="K533" s="1">
        <v>5500000</v>
      </c>
      <c r="L533" s="1">
        <v>0</v>
      </c>
      <c r="M533" s="1">
        <v>400000</v>
      </c>
      <c r="N533" s="1">
        <v>2771196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1342000</v>
      </c>
      <c r="U533" s="1">
        <v>0</v>
      </c>
      <c r="V533" s="1">
        <v>11768843</v>
      </c>
      <c r="W533" s="1">
        <v>1100000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1979426</v>
      </c>
      <c r="AF533" s="1">
        <v>1111269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3958851</v>
      </c>
      <c r="AM533" s="1">
        <v>0</v>
      </c>
      <c r="AN533" s="1">
        <v>66055950</v>
      </c>
      <c r="AO533" s="1">
        <v>9798191</v>
      </c>
      <c r="AP533" s="1">
        <v>56257759</v>
      </c>
      <c r="AQ533" s="1">
        <v>12720536</v>
      </c>
      <c r="AR533" s="1">
        <v>1908080</v>
      </c>
      <c r="AS533" s="1">
        <v>0</v>
      </c>
      <c r="AT533" s="1">
        <f t="shared" si="55"/>
        <v>80684566</v>
      </c>
    </row>
    <row r="534" spans="1:46" x14ac:dyDescent="0.2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11207551</v>
      </c>
      <c r="G534" s="1">
        <v>4277379</v>
      </c>
      <c r="H534" s="1">
        <v>0</v>
      </c>
      <c r="I534" s="1">
        <v>9432686</v>
      </c>
      <c r="J534" s="1">
        <v>0</v>
      </c>
      <c r="K534" s="1">
        <v>0</v>
      </c>
      <c r="L534" s="1">
        <v>0</v>
      </c>
      <c r="M534" s="1">
        <v>400000</v>
      </c>
      <c r="N534" s="1">
        <v>2092364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1342000</v>
      </c>
      <c r="U534" s="1">
        <v>0</v>
      </c>
      <c r="V534" s="1">
        <v>11128346</v>
      </c>
      <c r="W534" s="1">
        <v>1100000</v>
      </c>
      <c r="X534" s="1">
        <v>1739103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1494545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8264375</v>
      </c>
      <c r="AM534" s="1">
        <v>0</v>
      </c>
      <c r="AN534" s="1">
        <v>52478349</v>
      </c>
      <c r="AO534" s="1">
        <v>8638294</v>
      </c>
      <c r="AP534" s="1">
        <v>43840055</v>
      </c>
      <c r="AQ534" s="1">
        <v>10227270</v>
      </c>
      <c r="AR534" s="1">
        <v>1534090</v>
      </c>
      <c r="AS534" s="1">
        <v>0</v>
      </c>
      <c r="AT534" s="1">
        <f t="shared" si="55"/>
        <v>64239709</v>
      </c>
    </row>
    <row r="535" spans="1:46" x14ac:dyDescent="0.2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11485189</v>
      </c>
      <c r="G535" s="1">
        <v>6475804</v>
      </c>
      <c r="H535" s="1">
        <v>0</v>
      </c>
      <c r="I535" s="1">
        <v>8886789</v>
      </c>
      <c r="J535" s="1">
        <v>0</v>
      </c>
      <c r="K535" s="1">
        <v>3465000</v>
      </c>
      <c r="L535" s="1">
        <v>0</v>
      </c>
      <c r="M535" s="1">
        <v>400000</v>
      </c>
      <c r="N535" s="1">
        <v>2161682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9048818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1544059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4199839</v>
      </c>
      <c r="AM535" s="1">
        <v>0</v>
      </c>
      <c r="AN535" s="1">
        <v>48767180</v>
      </c>
      <c r="AO535" s="1">
        <v>6884991</v>
      </c>
      <c r="AP535" s="1">
        <v>41882189</v>
      </c>
      <c r="AQ535" s="1">
        <v>9753436</v>
      </c>
      <c r="AR535" s="1">
        <v>1463015</v>
      </c>
      <c r="AS535" s="1">
        <v>0</v>
      </c>
      <c r="AT535" s="1">
        <f t="shared" si="55"/>
        <v>59983631</v>
      </c>
    </row>
    <row r="536" spans="1:46" x14ac:dyDescent="0.2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14853530</v>
      </c>
      <c r="G536" s="1">
        <v>8098118</v>
      </c>
      <c r="H536" s="1">
        <v>0</v>
      </c>
      <c r="I536" s="1">
        <v>12266604</v>
      </c>
      <c r="J536" s="1">
        <v>0</v>
      </c>
      <c r="K536" s="1">
        <v>5500000</v>
      </c>
      <c r="L536" s="1">
        <v>0</v>
      </c>
      <c r="M536" s="1">
        <v>400000</v>
      </c>
      <c r="N536" s="1">
        <v>2524577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1342000</v>
      </c>
      <c r="U536" s="1">
        <v>0</v>
      </c>
      <c r="V536" s="1">
        <v>11045785</v>
      </c>
      <c r="W536" s="1">
        <v>1100000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1803269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4183584</v>
      </c>
      <c r="AM536" s="1">
        <v>0</v>
      </c>
      <c r="AN536" s="1">
        <v>63117467</v>
      </c>
      <c r="AO536" s="1">
        <v>26948287</v>
      </c>
      <c r="AP536" s="1">
        <v>36169180</v>
      </c>
      <c r="AQ536" s="1">
        <v>12355093</v>
      </c>
      <c r="AR536" s="1">
        <v>1853264</v>
      </c>
      <c r="AS536" s="1">
        <v>0</v>
      </c>
      <c r="AT536" s="1">
        <f t="shared" si="55"/>
        <v>77325824</v>
      </c>
    </row>
    <row r="537" spans="1:46" x14ac:dyDescent="0.2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11581857</v>
      </c>
      <c r="G537" s="1">
        <v>5925730</v>
      </c>
      <c r="H537" s="1">
        <v>0</v>
      </c>
      <c r="I537" s="1">
        <v>9133652</v>
      </c>
      <c r="J537" s="1">
        <v>0</v>
      </c>
      <c r="K537" s="1">
        <v>3465000</v>
      </c>
      <c r="L537" s="1">
        <v>0</v>
      </c>
      <c r="M537" s="1">
        <v>400000</v>
      </c>
      <c r="N537" s="1">
        <v>2204017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10503208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1574298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4282090</v>
      </c>
      <c r="AM537" s="1">
        <v>0</v>
      </c>
      <c r="AN537" s="1">
        <v>50169852</v>
      </c>
      <c r="AO537" s="1">
        <v>6058535</v>
      </c>
      <c r="AP537" s="1">
        <v>44111317</v>
      </c>
      <c r="AQ537" s="1">
        <v>10033970</v>
      </c>
      <c r="AR537" s="1">
        <v>1505096</v>
      </c>
      <c r="AS537" s="1">
        <v>0</v>
      </c>
      <c r="AT537" s="1">
        <f t="shared" si="55"/>
        <v>61708918</v>
      </c>
    </row>
    <row r="538" spans="1:46" x14ac:dyDescent="0.2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14275488</v>
      </c>
      <c r="G538" s="1">
        <v>9688286</v>
      </c>
      <c r="H538" s="1">
        <v>0</v>
      </c>
      <c r="I538" s="1">
        <v>11595285</v>
      </c>
      <c r="J538" s="1">
        <v>0</v>
      </c>
      <c r="K538" s="1">
        <v>5500000</v>
      </c>
      <c r="L538" s="1">
        <v>0</v>
      </c>
      <c r="M538" s="1">
        <v>400000</v>
      </c>
      <c r="N538" s="1">
        <v>2333446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14473314</v>
      </c>
      <c r="W538" s="1">
        <v>1100000</v>
      </c>
      <c r="X538" s="1">
        <v>2215162</v>
      </c>
      <c r="Y538" s="1">
        <v>0</v>
      </c>
      <c r="Z538" s="1">
        <v>0</v>
      </c>
      <c r="AA538" s="1">
        <v>0</v>
      </c>
      <c r="AB538" s="1">
        <v>0</v>
      </c>
      <c r="AC538" s="1">
        <v>3074667</v>
      </c>
      <c r="AD538" s="1">
        <v>0</v>
      </c>
      <c r="AE538" s="1">
        <v>1666748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13742477</v>
      </c>
      <c r="AM538" s="1">
        <v>0</v>
      </c>
      <c r="AN538" s="1">
        <v>80064873</v>
      </c>
      <c r="AO538" s="1">
        <v>10749806</v>
      </c>
      <c r="AP538" s="1">
        <v>69315067</v>
      </c>
      <c r="AQ538" s="1">
        <v>15039174</v>
      </c>
      <c r="AR538" s="1">
        <v>2255876</v>
      </c>
      <c r="AS538" s="1">
        <v>0</v>
      </c>
      <c r="AT538" s="1">
        <f t="shared" si="55"/>
        <v>97359923</v>
      </c>
    </row>
    <row r="539" spans="1:46" x14ac:dyDescent="0.2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11254741</v>
      </c>
      <c r="G539" s="1">
        <v>5848453</v>
      </c>
      <c r="H539" s="1">
        <v>0</v>
      </c>
      <c r="I539" s="1">
        <v>8908241</v>
      </c>
      <c r="J539" s="1">
        <v>0</v>
      </c>
      <c r="K539" s="1">
        <v>3465000</v>
      </c>
      <c r="L539" s="1">
        <v>0</v>
      </c>
      <c r="M539" s="1">
        <v>400000</v>
      </c>
      <c r="N539" s="1">
        <v>2106347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10989166</v>
      </c>
      <c r="W539" s="1">
        <v>1100000</v>
      </c>
      <c r="X539" s="1">
        <v>1746425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1504535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8311293</v>
      </c>
      <c r="AM539" s="1">
        <v>0</v>
      </c>
      <c r="AN539" s="1">
        <v>55634201</v>
      </c>
      <c r="AO539" s="1">
        <v>22160553</v>
      </c>
      <c r="AP539" s="1">
        <v>33473648</v>
      </c>
      <c r="AQ539" s="1">
        <v>11126840</v>
      </c>
      <c r="AR539" s="1">
        <v>1669026</v>
      </c>
      <c r="AS539" s="1">
        <v>0</v>
      </c>
      <c r="AT539" s="1">
        <f t="shared" si="55"/>
        <v>68430067</v>
      </c>
    </row>
    <row r="540" spans="1:46" x14ac:dyDescent="0.2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11190508</v>
      </c>
      <c r="G540" s="1">
        <v>5175375</v>
      </c>
      <c r="H540" s="1">
        <v>0</v>
      </c>
      <c r="I540" s="1">
        <v>9001982</v>
      </c>
      <c r="J540" s="1">
        <v>0</v>
      </c>
      <c r="K540" s="1">
        <v>4620000</v>
      </c>
      <c r="L540" s="1">
        <v>0</v>
      </c>
      <c r="M540" s="1">
        <v>400000</v>
      </c>
      <c r="N540" s="1">
        <v>2083143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1342000</v>
      </c>
      <c r="U540" s="1">
        <v>0</v>
      </c>
      <c r="V540" s="1">
        <v>10880425</v>
      </c>
      <c r="W540" s="1">
        <v>1100000</v>
      </c>
      <c r="X540" s="1">
        <v>1736458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1487959</v>
      </c>
      <c r="AF540" s="1">
        <v>2222538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8237658</v>
      </c>
      <c r="AM540" s="1">
        <v>0</v>
      </c>
      <c r="AN540" s="1">
        <v>59478046</v>
      </c>
      <c r="AO540" s="1">
        <v>26185731</v>
      </c>
      <c r="AP540" s="1">
        <v>33292315</v>
      </c>
      <c r="AQ540" s="1">
        <v>11182702</v>
      </c>
      <c r="AR540" s="1">
        <v>1677405</v>
      </c>
      <c r="AS540" s="1">
        <v>0</v>
      </c>
      <c r="AT540" s="1">
        <f t="shared" si="55"/>
        <v>72338153</v>
      </c>
    </row>
    <row r="541" spans="1:46" x14ac:dyDescent="0.2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11091289</v>
      </c>
      <c r="G541" s="1">
        <v>1390722</v>
      </c>
      <c r="H541" s="1">
        <v>0</v>
      </c>
      <c r="I541" s="1">
        <v>7345086</v>
      </c>
      <c r="J541" s="1">
        <v>0</v>
      </c>
      <c r="K541" s="1">
        <v>3465000</v>
      </c>
      <c r="L541" s="1">
        <v>0</v>
      </c>
      <c r="M541" s="1">
        <v>400000</v>
      </c>
      <c r="N541" s="1">
        <v>1977151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2394416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1412251</v>
      </c>
      <c r="AF541" s="1">
        <v>1111269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2118376</v>
      </c>
      <c r="AM541" s="1">
        <v>0</v>
      </c>
      <c r="AN541" s="1">
        <v>33805560</v>
      </c>
      <c r="AO541" s="1">
        <v>3733767</v>
      </c>
      <c r="AP541" s="1">
        <v>30071793</v>
      </c>
      <c r="AQ541" s="1">
        <v>6538858</v>
      </c>
      <c r="AR541" s="1">
        <v>980829</v>
      </c>
      <c r="AS541" s="1">
        <v>0</v>
      </c>
      <c r="AT541" s="1">
        <f t="shared" si="55"/>
        <v>41325247</v>
      </c>
    </row>
    <row r="542" spans="1:46" x14ac:dyDescent="0.2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10915098</v>
      </c>
      <c r="G542" s="1">
        <v>4765903</v>
      </c>
      <c r="H542" s="1">
        <v>0</v>
      </c>
      <c r="I542" s="1">
        <v>8414637</v>
      </c>
      <c r="J542" s="1">
        <v>0</v>
      </c>
      <c r="K542" s="1">
        <v>3465000</v>
      </c>
      <c r="L542" s="1">
        <v>0</v>
      </c>
      <c r="M542" s="1">
        <v>400000</v>
      </c>
      <c r="N542" s="1">
        <v>1983312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12717313</v>
      </c>
      <c r="W542" s="1">
        <v>1100000</v>
      </c>
      <c r="X542" s="1">
        <v>1693722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1416652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6674493</v>
      </c>
      <c r="AM542" s="1">
        <v>0</v>
      </c>
      <c r="AN542" s="1">
        <v>53546130</v>
      </c>
      <c r="AO542" s="1">
        <v>25605758</v>
      </c>
      <c r="AP542" s="1">
        <v>27940372</v>
      </c>
      <c r="AQ542" s="1">
        <v>10709226</v>
      </c>
      <c r="AR542" s="1">
        <v>1606384</v>
      </c>
      <c r="AS542" s="1">
        <v>0</v>
      </c>
      <c r="AT542" s="1">
        <f t="shared" si="55"/>
        <v>65861740</v>
      </c>
    </row>
    <row r="543" spans="1:46" x14ac:dyDescent="0.2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11394663</v>
      </c>
      <c r="G543" s="1">
        <v>7691488</v>
      </c>
      <c r="H543" s="1">
        <v>0</v>
      </c>
      <c r="I543" s="1">
        <v>9442140</v>
      </c>
      <c r="J543" s="1">
        <v>0</v>
      </c>
      <c r="K543" s="1">
        <v>0</v>
      </c>
      <c r="L543" s="1">
        <v>0</v>
      </c>
      <c r="M543" s="1">
        <v>400000</v>
      </c>
      <c r="N543" s="1">
        <v>2161108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1342000</v>
      </c>
      <c r="U543" s="1">
        <v>0</v>
      </c>
      <c r="V543" s="1">
        <v>11310421</v>
      </c>
      <c r="W543" s="1">
        <v>1100000</v>
      </c>
      <c r="X543" s="1">
        <v>1672063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1543649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8481565</v>
      </c>
      <c r="AM543" s="1">
        <v>0</v>
      </c>
      <c r="AN543" s="1">
        <v>57650366</v>
      </c>
      <c r="AO543" s="1">
        <v>6974240</v>
      </c>
      <c r="AP543" s="1">
        <v>50676126</v>
      </c>
      <c r="AQ543" s="1">
        <v>11039419</v>
      </c>
      <c r="AR543" s="1">
        <v>1655913</v>
      </c>
      <c r="AS543" s="1">
        <v>0</v>
      </c>
      <c r="AT543" s="1">
        <f t="shared" si="55"/>
        <v>70345698</v>
      </c>
    </row>
    <row r="544" spans="1:46" x14ac:dyDescent="0.2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15150514</v>
      </c>
      <c r="G544" s="1">
        <v>1576037</v>
      </c>
      <c r="H544" s="1">
        <v>0</v>
      </c>
      <c r="I544" s="1">
        <v>11593841</v>
      </c>
      <c r="J544" s="1">
        <v>0</v>
      </c>
      <c r="K544" s="1">
        <v>4125000</v>
      </c>
      <c r="L544" s="1">
        <v>0</v>
      </c>
      <c r="M544" s="1">
        <v>400000</v>
      </c>
      <c r="N544" s="1">
        <v>2596033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7180876</v>
      </c>
      <c r="W544" s="1">
        <v>1100000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1854309</v>
      </c>
      <c r="AF544" s="1">
        <v>1111269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3411929</v>
      </c>
      <c r="AM544" s="1">
        <v>0</v>
      </c>
      <c r="AN544" s="1">
        <v>50099808</v>
      </c>
      <c r="AO544" s="1">
        <v>8862383</v>
      </c>
      <c r="AP544" s="1">
        <v>41237425</v>
      </c>
      <c r="AQ544" s="1">
        <v>9797708</v>
      </c>
      <c r="AR544" s="1">
        <v>1469656</v>
      </c>
      <c r="AS544" s="1">
        <v>0</v>
      </c>
      <c r="AT544" s="1">
        <f t="shared" si="55"/>
        <v>61367172</v>
      </c>
    </row>
    <row r="545" spans="1:46" x14ac:dyDescent="0.2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15235605</v>
      </c>
      <c r="G545" s="1">
        <v>7548409</v>
      </c>
      <c r="H545" s="1">
        <v>0</v>
      </c>
      <c r="I545" s="1">
        <v>11805565</v>
      </c>
      <c r="J545" s="1">
        <v>0</v>
      </c>
      <c r="K545" s="1">
        <v>5500000</v>
      </c>
      <c r="L545" s="1">
        <v>0</v>
      </c>
      <c r="M545" s="1">
        <v>400000</v>
      </c>
      <c r="N545" s="1">
        <v>2637000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8632014</v>
      </c>
      <c r="W545" s="1">
        <v>1100000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1883570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3315085</v>
      </c>
      <c r="AM545" s="1">
        <v>0</v>
      </c>
      <c r="AN545" s="1">
        <v>58057248</v>
      </c>
      <c r="AO545" s="1">
        <v>20006155</v>
      </c>
      <c r="AP545" s="1">
        <v>38051093</v>
      </c>
      <c r="AQ545" s="1">
        <v>11611450</v>
      </c>
      <c r="AR545" s="1">
        <v>1741717</v>
      </c>
      <c r="AS545" s="1">
        <v>0</v>
      </c>
      <c r="AT545" s="1">
        <f t="shared" si="55"/>
        <v>71410415</v>
      </c>
    </row>
    <row r="546" spans="1:46" x14ac:dyDescent="0.2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11518683</v>
      </c>
      <c r="G546" s="1">
        <v>5880879</v>
      </c>
      <c r="H546" s="1">
        <v>0</v>
      </c>
      <c r="I546" s="1">
        <v>9064520</v>
      </c>
      <c r="J546" s="1">
        <v>0</v>
      </c>
      <c r="K546" s="1">
        <v>0</v>
      </c>
      <c r="L546" s="1">
        <v>0</v>
      </c>
      <c r="M546" s="1">
        <v>400000</v>
      </c>
      <c r="N546" s="1">
        <v>2180640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1342000</v>
      </c>
      <c r="U546" s="1">
        <v>0</v>
      </c>
      <c r="V546" s="1">
        <v>10423712</v>
      </c>
      <c r="W546" s="1">
        <v>1100000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1557600</v>
      </c>
      <c r="AF546" s="1">
        <v>1111269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4236671</v>
      </c>
      <c r="AM546" s="1">
        <v>0</v>
      </c>
      <c r="AN546" s="1">
        <v>48815974</v>
      </c>
      <c r="AO546" s="1">
        <v>11846437</v>
      </c>
      <c r="AP546" s="1">
        <v>36969537</v>
      </c>
      <c r="AQ546" s="1">
        <v>9272541</v>
      </c>
      <c r="AR546" s="1">
        <v>1390881</v>
      </c>
      <c r="AS546" s="1">
        <v>0</v>
      </c>
      <c r="AT546" s="1">
        <f t="shared" si="55"/>
        <v>59479396</v>
      </c>
    </row>
    <row r="547" spans="1:46" x14ac:dyDescent="0.2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18128211</v>
      </c>
      <c r="G547" s="1">
        <v>3398656</v>
      </c>
      <c r="H547" s="1">
        <v>0</v>
      </c>
      <c r="I547" s="1">
        <v>12761510</v>
      </c>
      <c r="J547" s="1">
        <v>0</v>
      </c>
      <c r="K547" s="1">
        <v>4125000</v>
      </c>
      <c r="L547" s="1">
        <v>0</v>
      </c>
      <c r="M547" s="1">
        <v>400000</v>
      </c>
      <c r="N547" s="1">
        <v>2609674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6710538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1864052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2982485</v>
      </c>
      <c r="AM547" s="1">
        <v>0</v>
      </c>
      <c r="AN547" s="1">
        <v>54080126</v>
      </c>
      <c r="AO547" s="1">
        <v>21899467</v>
      </c>
      <c r="AP547" s="1">
        <v>32180659</v>
      </c>
      <c r="AQ547" s="1">
        <v>10816025</v>
      </c>
      <c r="AR547" s="1">
        <v>1622404</v>
      </c>
      <c r="AS547" s="1">
        <v>0</v>
      </c>
      <c r="AT547" s="1">
        <f t="shared" si="55"/>
        <v>66518555</v>
      </c>
    </row>
    <row r="548" spans="1:46" x14ac:dyDescent="0.2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13069221</v>
      </c>
      <c r="G548" s="1">
        <v>549609</v>
      </c>
      <c r="H548" s="1">
        <v>0</v>
      </c>
      <c r="I548" s="1">
        <v>9543727</v>
      </c>
      <c r="J548" s="1">
        <v>0</v>
      </c>
      <c r="K548" s="1">
        <v>4620000</v>
      </c>
      <c r="L548" s="1">
        <v>0</v>
      </c>
      <c r="M548" s="1">
        <v>400000</v>
      </c>
      <c r="N548" s="1">
        <v>2514949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1342000</v>
      </c>
      <c r="U548" s="1">
        <v>0</v>
      </c>
      <c r="V548" s="1">
        <v>6812342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1796391</v>
      </c>
      <c r="AF548" s="1">
        <v>2222538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2694588</v>
      </c>
      <c r="AM548" s="1">
        <v>0</v>
      </c>
      <c r="AN548" s="1">
        <v>46665365</v>
      </c>
      <c r="AO548" s="1">
        <v>20237198</v>
      </c>
      <c r="AP548" s="1">
        <v>26428167</v>
      </c>
      <c r="AQ548" s="1">
        <v>8620165</v>
      </c>
      <c r="AR548" s="1">
        <v>1293025</v>
      </c>
      <c r="AS548" s="1">
        <v>0</v>
      </c>
      <c r="AT548" s="1">
        <f t="shared" si="55"/>
        <v>56578555</v>
      </c>
    </row>
    <row r="549" spans="1:46" x14ac:dyDescent="0.2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14498906</v>
      </c>
      <c r="G549" s="1">
        <v>6788826</v>
      </c>
      <c r="H549" s="1">
        <v>0</v>
      </c>
      <c r="I549" s="1">
        <v>10504833</v>
      </c>
      <c r="J549" s="1">
        <v>0</v>
      </c>
      <c r="K549" s="1">
        <v>5500000</v>
      </c>
      <c r="L549" s="1">
        <v>0</v>
      </c>
      <c r="M549" s="1">
        <v>400000</v>
      </c>
      <c r="N549" s="1">
        <v>2374893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10389660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1696352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3392704</v>
      </c>
      <c r="AM549" s="1">
        <v>0</v>
      </c>
      <c r="AN549" s="1">
        <v>56646174</v>
      </c>
      <c r="AO549" s="1">
        <v>7146557</v>
      </c>
      <c r="AP549" s="1">
        <v>49499617</v>
      </c>
      <c r="AQ549" s="1">
        <v>11329235</v>
      </c>
      <c r="AR549" s="1">
        <v>1699385</v>
      </c>
      <c r="AS549" s="1">
        <v>0</v>
      </c>
      <c r="AT549" s="1">
        <f t="shared" si="55"/>
        <v>69674794</v>
      </c>
    </row>
    <row r="550" spans="1:46" x14ac:dyDescent="0.2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16326582</v>
      </c>
      <c r="G550" s="1">
        <v>6541501</v>
      </c>
      <c r="H550" s="1">
        <v>0</v>
      </c>
      <c r="I550" s="1">
        <v>12079617</v>
      </c>
      <c r="J550" s="1">
        <v>0</v>
      </c>
      <c r="K550" s="1">
        <v>5500000</v>
      </c>
      <c r="L550" s="1">
        <v>0</v>
      </c>
      <c r="M550" s="1">
        <v>400000</v>
      </c>
      <c r="N550" s="1">
        <v>2749191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10975066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1963708</v>
      </c>
      <c r="AF550" s="1">
        <v>1111269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4084513</v>
      </c>
      <c r="AM550" s="1">
        <v>0</v>
      </c>
      <c r="AN550" s="1">
        <v>62831447</v>
      </c>
      <c r="AO550" s="1">
        <v>9522271</v>
      </c>
      <c r="AP550" s="1">
        <v>53309176</v>
      </c>
      <c r="AQ550" s="1">
        <v>12344036</v>
      </c>
      <c r="AR550" s="1">
        <v>1851605</v>
      </c>
      <c r="AS550" s="1">
        <v>0</v>
      </c>
      <c r="AT550" s="1">
        <f t="shared" si="55"/>
        <v>77027088</v>
      </c>
    </row>
    <row r="551" spans="1:46" x14ac:dyDescent="0.2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 t="shared" si="56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13249358</v>
      </c>
      <c r="G551" s="1">
        <v>6782182</v>
      </c>
      <c r="H551" s="1">
        <v>0</v>
      </c>
      <c r="I551" s="1">
        <v>12984149</v>
      </c>
      <c r="J551" s="1">
        <v>0</v>
      </c>
      <c r="K551" s="1">
        <v>4620000</v>
      </c>
      <c r="L551" s="1">
        <v>0</v>
      </c>
      <c r="M551" s="1">
        <v>400000</v>
      </c>
      <c r="N551" s="1">
        <v>2620002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8991236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1871430</v>
      </c>
      <c r="AF551" s="1">
        <v>2222538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5240005</v>
      </c>
      <c r="AM551" s="1">
        <v>0</v>
      </c>
      <c r="AN551" s="1">
        <v>60080900</v>
      </c>
      <c r="AO551" s="1">
        <v>7572458</v>
      </c>
      <c r="AP551" s="1">
        <v>52508442</v>
      </c>
      <c r="AQ551" s="1">
        <v>11571672</v>
      </c>
      <c r="AR551" s="1">
        <v>1735751</v>
      </c>
      <c r="AS551" s="1">
        <v>0</v>
      </c>
      <c r="AT551" s="1">
        <f t="shared" si="55"/>
        <v>73388323</v>
      </c>
    </row>
    <row r="552" spans="1:46" x14ac:dyDescent="0.2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 t="shared" si="56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16394750</v>
      </c>
      <c r="G552" s="1">
        <v>9321519</v>
      </c>
      <c r="H552" s="1">
        <v>0</v>
      </c>
      <c r="I552" s="1">
        <v>14637125</v>
      </c>
      <c r="J552" s="1">
        <v>0</v>
      </c>
      <c r="K552" s="1">
        <v>5500000</v>
      </c>
      <c r="L552" s="1">
        <v>0</v>
      </c>
      <c r="M552" s="1">
        <v>400000</v>
      </c>
      <c r="N552" s="1">
        <v>2774236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1342000</v>
      </c>
      <c r="U552" s="1">
        <v>0</v>
      </c>
      <c r="V552" s="1">
        <v>10946756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1981597</v>
      </c>
      <c r="AF552" s="1">
        <v>1111269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4755833</v>
      </c>
      <c r="AM552" s="1">
        <v>0</v>
      </c>
      <c r="AN552" s="1">
        <v>70265085</v>
      </c>
      <c r="AO552" s="1">
        <v>10507729</v>
      </c>
      <c r="AP552" s="1">
        <v>59757356</v>
      </c>
      <c r="AQ552" s="1">
        <v>13562363</v>
      </c>
      <c r="AR552" s="1">
        <v>2034354</v>
      </c>
      <c r="AS552" s="1">
        <v>0</v>
      </c>
      <c r="AT552" s="1">
        <f t="shared" si="55"/>
        <v>85861802</v>
      </c>
    </row>
    <row r="553" spans="1:46" x14ac:dyDescent="0.2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 t="shared" si="56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10812741</v>
      </c>
      <c r="G553" s="1">
        <v>5106938</v>
      </c>
      <c r="H553" s="1">
        <v>0</v>
      </c>
      <c r="I553" s="1">
        <v>8214067</v>
      </c>
      <c r="J553" s="1">
        <v>0</v>
      </c>
      <c r="K553" s="1">
        <v>4460690</v>
      </c>
      <c r="L553" s="1">
        <v>0</v>
      </c>
      <c r="M553" s="1">
        <v>386207</v>
      </c>
      <c r="N553" s="1">
        <v>2011704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1342000</v>
      </c>
      <c r="U553" s="1">
        <v>0</v>
      </c>
      <c r="V553" s="1">
        <v>10423097</v>
      </c>
      <c r="W553" s="1">
        <v>1062069</v>
      </c>
      <c r="X553" s="1">
        <v>1737762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1436932</v>
      </c>
      <c r="AF553" s="1">
        <v>1072949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7956959</v>
      </c>
      <c r="AM553" s="1">
        <v>0</v>
      </c>
      <c r="AN553" s="1">
        <v>56024115</v>
      </c>
      <c r="AO553" s="1">
        <v>7845063</v>
      </c>
      <c r="AP553" s="1">
        <v>48179052</v>
      </c>
      <c r="AQ553" s="1">
        <v>10721833</v>
      </c>
      <c r="AR553" s="1">
        <v>1608275</v>
      </c>
      <c r="AS553" s="1">
        <v>0</v>
      </c>
      <c r="AT553" s="1">
        <f t="shared" si="55"/>
        <v>68354223</v>
      </c>
    </row>
    <row r="554" spans="1:46" x14ac:dyDescent="0.2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 t="shared" si="56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14234957</v>
      </c>
      <c r="G554" s="1">
        <v>7620266</v>
      </c>
      <c r="H554" s="1">
        <v>0</v>
      </c>
      <c r="I554" s="1">
        <v>10170546</v>
      </c>
      <c r="J554" s="1">
        <v>0</v>
      </c>
      <c r="K554" s="1">
        <v>5500000</v>
      </c>
      <c r="L554" s="1">
        <v>0</v>
      </c>
      <c r="M554" s="1">
        <v>400000</v>
      </c>
      <c r="N554" s="1">
        <v>2277452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10204339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1626751</v>
      </c>
      <c r="AF554" s="1">
        <v>1111269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3578853</v>
      </c>
      <c r="AM554" s="1">
        <v>0</v>
      </c>
      <c r="AN554" s="1">
        <v>57824433</v>
      </c>
      <c r="AO554" s="1">
        <v>7268938</v>
      </c>
      <c r="AP554" s="1">
        <v>50555495</v>
      </c>
      <c r="AQ554" s="1">
        <v>11342633</v>
      </c>
      <c r="AR554" s="1">
        <v>1701395</v>
      </c>
      <c r="AS554" s="1">
        <v>0</v>
      </c>
      <c r="AT554" s="1">
        <f t="shared" si="55"/>
        <v>70868461</v>
      </c>
    </row>
    <row r="555" spans="1:46" x14ac:dyDescent="0.2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14111593</v>
      </c>
      <c r="G555" s="1">
        <v>8935722</v>
      </c>
      <c r="H555" s="1">
        <v>0</v>
      </c>
      <c r="I555" s="1">
        <v>11143365</v>
      </c>
      <c r="J555" s="1">
        <v>0</v>
      </c>
      <c r="K555" s="1">
        <v>5500000</v>
      </c>
      <c r="L555" s="1">
        <v>0</v>
      </c>
      <c r="M555" s="1">
        <v>400000</v>
      </c>
      <c r="N555" s="1">
        <v>2217232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1342000</v>
      </c>
      <c r="U555" s="1">
        <v>0</v>
      </c>
      <c r="V555" s="1">
        <v>7897477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1583737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2533978</v>
      </c>
      <c r="AM555" s="1">
        <v>0</v>
      </c>
      <c r="AN555" s="1">
        <v>56765104</v>
      </c>
      <c r="AO555" s="1">
        <v>9775592</v>
      </c>
      <c r="AP555" s="1">
        <v>46989512</v>
      </c>
      <c r="AQ555" s="1">
        <v>11084621</v>
      </c>
      <c r="AR555" s="1">
        <v>1662693</v>
      </c>
      <c r="AS555" s="1">
        <v>0</v>
      </c>
      <c r="AT555" s="1">
        <f t="shared" si="55"/>
        <v>69512418</v>
      </c>
    </row>
    <row r="556" spans="1:46" x14ac:dyDescent="0.2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 t="shared" si="56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14746603</v>
      </c>
      <c r="G556" s="1">
        <v>6777673</v>
      </c>
      <c r="H556" s="1">
        <v>0</v>
      </c>
      <c r="I556" s="1">
        <v>11617173</v>
      </c>
      <c r="J556" s="1">
        <v>0</v>
      </c>
      <c r="K556" s="1">
        <v>5500000</v>
      </c>
      <c r="L556" s="1">
        <v>0</v>
      </c>
      <c r="M556" s="1">
        <v>400000</v>
      </c>
      <c r="N556" s="1">
        <v>2461055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8829052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1757897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3375162</v>
      </c>
      <c r="AM556" s="1">
        <v>0</v>
      </c>
      <c r="AN556" s="1">
        <v>56564615</v>
      </c>
      <c r="AO556" s="1">
        <v>11390479</v>
      </c>
      <c r="AP556" s="1">
        <v>45174136</v>
      </c>
      <c r="AQ556" s="1">
        <v>11312923</v>
      </c>
      <c r="AR556" s="1">
        <v>1696938</v>
      </c>
      <c r="AS556" s="1">
        <v>0</v>
      </c>
      <c r="AT556" s="1">
        <f t="shared" si="55"/>
        <v>69574476</v>
      </c>
    </row>
    <row r="557" spans="1:46" x14ac:dyDescent="0.2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12813277</v>
      </c>
      <c r="G557" s="1">
        <v>3921513</v>
      </c>
      <c r="H557" s="1">
        <v>0</v>
      </c>
      <c r="I557" s="1">
        <v>6131724</v>
      </c>
      <c r="J557" s="1">
        <v>0</v>
      </c>
      <c r="K557" s="1">
        <v>5500000</v>
      </c>
      <c r="L557" s="1">
        <v>0</v>
      </c>
      <c r="M557" s="1">
        <v>400000</v>
      </c>
      <c r="N557" s="1">
        <v>1822309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2363094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1301649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1561978</v>
      </c>
      <c r="AM557" s="1">
        <v>0</v>
      </c>
      <c r="AN557" s="1">
        <v>36915544</v>
      </c>
      <c r="AO557" s="1">
        <v>4616796</v>
      </c>
      <c r="AP557" s="1">
        <v>32298748</v>
      </c>
      <c r="AQ557" s="1">
        <v>7383109</v>
      </c>
      <c r="AR557" s="1">
        <v>1107466</v>
      </c>
      <c r="AS557" s="1">
        <v>0</v>
      </c>
      <c r="AT557" s="1">
        <f t="shared" si="55"/>
        <v>45406119</v>
      </c>
    </row>
    <row r="558" spans="1:46" x14ac:dyDescent="0.2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 t="shared" si="56"/>
        <v>قراردادي بهره بردار</v>
      </c>
      <c r="E558" s="1" t="str">
        <f t="shared" ref="E558:E565" si="59">"پروژه بهره برداري نيروگاه بوشهر"</f>
        <v>پروژه بهره برداري نيروگاه بوشهر</v>
      </c>
      <c r="F558" s="1">
        <v>11388927</v>
      </c>
      <c r="G558" s="1">
        <v>5829555</v>
      </c>
      <c r="H558" s="1">
        <v>0</v>
      </c>
      <c r="I558" s="1">
        <v>9116419</v>
      </c>
      <c r="J558" s="1">
        <v>0</v>
      </c>
      <c r="K558" s="1">
        <v>4620000</v>
      </c>
      <c r="L558" s="1">
        <v>0</v>
      </c>
      <c r="M558" s="1">
        <v>400000</v>
      </c>
      <c r="N558" s="1">
        <v>2133778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1342000</v>
      </c>
      <c r="U558" s="1">
        <v>0</v>
      </c>
      <c r="V558" s="1">
        <v>10332742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1524128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4145627</v>
      </c>
      <c r="AM558" s="1">
        <v>0</v>
      </c>
      <c r="AN558" s="1">
        <v>51933176</v>
      </c>
      <c r="AO558" s="1">
        <v>6089317</v>
      </c>
      <c r="AP558" s="1">
        <v>45843859</v>
      </c>
      <c r="AQ558" s="1">
        <v>10118235</v>
      </c>
      <c r="AR558" s="1">
        <v>1517735</v>
      </c>
      <c r="AS558" s="1">
        <v>0</v>
      </c>
      <c r="AT558" s="1">
        <f t="shared" si="55"/>
        <v>63569146</v>
      </c>
    </row>
    <row r="559" spans="1:46" x14ac:dyDescent="0.2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 t="shared" si="56"/>
        <v>قراردادي بهره بردار</v>
      </c>
      <c r="E559" s="1" t="str">
        <f t="shared" si="59"/>
        <v>پروژه بهره برداري نيروگاه بوشهر</v>
      </c>
      <c r="F559" s="1">
        <v>10916862</v>
      </c>
      <c r="G559" s="1">
        <v>8580450</v>
      </c>
      <c r="H559" s="1">
        <v>0</v>
      </c>
      <c r="I559" s="1">
        <v>8416481</v>
      </c>
      <c r="J559" s="1">
        <v>0</v>
      </c>
      <c r="K559" s="1">
        <v>4620000</v>
      </c>
      <c r="L559" s="1">
        <v>0</v>
      </c>
      <c r="M559" s="1">
        <v>400000</v>
      </c>
      <c r="N559" s="1">
        <v>1983930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12720019</v>
      </c>
      <c r="W559" s="1">
        <v>1100000</v>
      </c>
      <c r="X559" s="1">
        <v>1693996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1417093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6676081</v>
      </c>
      <c r="AM559" s="1">
        <v>0</v>
      </c>
      <c r="AN559" s="1">
        <v>58524912</v>
      </c>
      <c r="AO559" s="1">
        <v>10420893</v>
      </c>
      <c r="AP559" s="1">
        <v>48104019</v>
      </c>
      <c r="AQ559" s="1">
        <v>11704982</v>
      </c>
      <c r="AR559" s="1">
        <v>1755747</v>
      </c>
      <c r="AS559" s="1">
        <v>0</v>
      </c>
      <c r="AT559" s="1">
        <f t="shared" si="55"/>
        <v>71985641</v>
      </c>
    </row>
    <row r="560" spans="1:46" x14ac:dyDescent="0.2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 t="shared" si="56"/>
        <v>قراردادي بهره بردار</v>
      </c>
      <c r="E560" s="1" t="str">
        <f t="shared" si="59"/>
        <v>پروژه بهره برداري نيروگاه بوشهر</v>
      </c>
      <c r="F560" s="1">
        <v>14262104</v>
      </c>
      <c r="G560" s="1">
        <v>4204258</v>
      </c>
      <c r="H560" s="1">
        <v>0</v>
      </c>
      <c r="I560" s="1">
        <v>9627804</v>
      </c>
      <c r="J560" s="1">
        <v>0</v>
      </c>
      <c r="K560" s="1">
        <v>4125000</v>
      </c>
      <c r="L560" s="1">
        <v>0</v>
      </c>
      <c r="M560" s="1">
        <v>400000</v>
      </c>
      <c r="N560" s="1">
        <v>2254998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6824871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1610712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2577140</v>
      </c>
      <c r="AM560" s="1">
        <v>0</v>
      </c>
      <c r="AN560" s="1">
        <v>46986887</v>
      </c>
      <c r="AO560" s="1">
        <v>5823797</v>
      </c>
      <c r="AP560" s="1">
        <v>41163090</v>
      </c>
      <c r="AQ560" s="1">
        <v>9397377</v>
      </c>
      <c r="AR560" s="1">
        <v>1409607</v>
      </c>
      <c r="AS560" s="1">
        <v>0</v>
      </c>
      <c r="AT560" s="1">
        <f t="shared" si="55"/>
        <v>57793871</v>
      </c>
    </row>
    <row r="561" spans="1:46" x14ac:dyDescent="0.2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10835011</v>
      </c>
      <c r="G561" s="1">
        <v>2540765</v>
      </c>
      <c r="H561" s="1">
        <v>0</v>
      </c>
      <c r="I561" s="1">
        <v>8003367</v>
      </c>
      <c r="J561" s="1">
        <v>0</v>
      </c>
      <c r="K561" s="1">
        <v>4620000</v>
      </c>
      <c r="L561" s="1">
        <v>0</v>
      </c>
      <c r="M561" s="1">
        <v>400000</v>
      </c>
      <c r="N561" s="1">
        <v>1955102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1342000</v>
      </c>
      <c r="U561" s="1">
        <v>0</v>
      </c>
      <c r="V561" s="1">
        <v>12865145</v>
      </c>
      <c r="W561" s="1">
        <v>1100000</v>
      </c>
      <c r="X561" s="1">
        <v>1681295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1396502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7048986</v>
      </c>
      <c r="AM561" s="1">
        <v>0</v>
      </c>
      <c r="AN561" s="1">
        <v>53788173</v>
      </c>
      <c r="AO561" s="1">
        <v>6400956</v>
      </c>
      <c r="AP561" s="1">
        <v>47387217</v>
      </c>
      <c r="AQ561" s="1">
        <v>10489235</v>
      </c>
      <c r="AR561" s="1">
        <v>1573385</v>
      </c>
      <c r="AS561" s="1">
        <v>0</v>
      </c>
      <c r="AT561" s="1">
        <f t="shared" si="55"/>
        <v>65850793</v>
      </c>
    </row>
    <row r="562" spans="1:46" x14ac:dyDescent="0.2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11175306</v>
      </c>
      <c r="G562" s="1">
        <v>1299156</v>
      </c>
      <c r="H562" s="1">
        <v>0</v>
      </c>
      <c r="I562" s="1">
        <v>8870783</v>
      </c>
      <c r="J562" s="1">
        <v>0</v>
      </c>
      <c r="K562" s="1">
        <v>3465000</v>
      </c>
      <c r="L562" s="1">
        <v>0</v>
      </c>
      <c r="M562" s="1">
        <v>400000</v>
      </c>
      <c r="N562" s="1">
        <v>2016505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1342000</v>
      </c>
      <c r="U562" s="1">
        <v>0</v>
      </c>
      <c r="V562" s="1">
        <v>2609561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1440361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2592649</v>
      </c>
      <c r="AM562" s="1">
        <v>0</v>
      </c>
      <c r="AN562" s="1">
        <v>36311321</v>
      </c>
      <c r="AO562" s="1">
        <v>5679938</v>
      </c>
      <c r="AP562" s="1">
        <v>30631383</v>
      </c>
      <c r="AQ562" s="1">
        <v>6993864</v>
      </c>
      <c r="AR562" s="1">
        <v>1049080</v>
      </c>
      <c r="AS562" s="1">
        <v>0</v>
      </c>
      <c r="AT562" s="1">
        <f t="shared" si="55"/>
        <v>44354265</v>
      </c>
    </row>
    <row r="563" spans="1:46" x14ac:dyDescent="0.2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20381394</v>
      </c>
      <c r="G563" s="1">
        <v>11347753</v>
      </c>
      <c r="H563" s="1">
        <v>0</v>
      </c>
      <c r="I563" s="1">
        <v>17566187</v>
      </c>
      <c r="J563" s="1">
        <v>0</v>
      </c>
      <c r="K563" s="1">
        <v>0</v>
      </c>
      <c r="L563" s="1">
        <v>0</v>
      </c>
      <c r="M563" s="1">
        <v>400000</v>
      </c>
      <c r="N563" s="1">
        <v>3429035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1342000</v>
      </c>
      <c r="U563" s="1">
        <v>0</v>
      </c>
      <c r="V563" s="1">
        <v>18285100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2449311</v>
      </c>
      <c r="AF563" s="1">
        <v>1111269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6270236</v>
      </c>
      <c r="AM563" s="1">
        <v>0</v>
      </c>
      <c r="AN563" s="1">
        <v>83682285</v>
      </c>
      <c r="AO563" s="1">
        <v>33653458</v>
      </c>
      <c r="AP563" s="1">
        <v>50028827</v>
      </c>
      <c r="AQ563" s="1">
        <v>15039174</v>
      </c>
      <c r="AR563" s="1">
        <v>2255876</v>
      </c>
      <c r="AS563" s="1">
        <v>0</v>
      </c>
      <c r="AT563" s="1">
        <f t="shared" si="55"/>
        <v>100977335</v>
      </c>
    </row>
    <row r="564" spans="1:46" x14ac:dyDescent="0.2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11341596</v>
      </c>
      <c r="G564" s="1">
        <v>9471679</v>
      </c>
      <c r="H564" s="1">
        <v>0</v>
      </c>
      <c r="I564" s="1">
        <v>8762434</v>
      </c>
      <c r="J564" s="1">
        <v>0</v>
      </c>
      <c r="K564" s="1">
        <v>4620000</v>
      </c>
      <c r="L564" s="1">
        <v>0</v>
      </c>
      <c r="M564" s="1">
        <v>400000</v>
      </c>
      <c r="N564" s="1">
        <v>2096284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2594367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1497345</v>
      </c>
      <c r="AF564" s="1">
        <v>3333807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2246018</v>
      </c>
      <c r="AM564" s="1">
        <v>0</v>
      </c>
      <c r="AN564" s="1">
        <v>47463530</v>
      </c>
      <c r="AO564" s="1">
        <v>5377174</v>
      </c>
      <c r="AP564" s="1">
        <v>42086356</v>
      </c>
      <c r="AQ564" s="1">
        <v>8825945</v>
      </c>
      <c r="AR564" s="1">
        <v>1323892</v>
      </c>
      <c r="AS564" s="1">
        <v>0</v>
      </c>
      <c r="AT564" s="1">
        <f t="shared" si="55"/>
        <v>57613367</v>
      </c>
    </row>
    <row r="565" spans="1:46" x14ac:dyDescent="0.2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11411783</v>
      </c>
      <c r="G565" s="1">
        <v>5353976</v>
      </c>
      <c r="H565" s="1">
        <v>0</v>
      </c>
      <c r="I565" s="1">
        <v>9401922</v>
      </c>
      <c r="J565" s="1">
        <v>0</v>
      </c>
      <c r="K565" s="1">
        <v>0</v>
      </c>
      <c r="L565" s="1">
        <v>0</v>
      </c>
      <c r="M565" s="1">
        <v>400000</v>
      </c>
      <c r="N565" s="1">
        <v>2120796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1342000</v>
      </c>
      <c r="U565" s="1">
        <v>0</v>
      </c>
      <c r="V565" s="1">
        <v>6320185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1514855</v>
      </c>
      <c r="AF565" s="1">
        <v>1111269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3029708</v>
      </c>
      <c r="AM565" s="1">
        <v>0</v>
      </c>
      <c r="AN565" s="1">
        <v>43106494</v>
      </c>
      <c r="AO565" s="1">
        <v>5448040</v>
      </c>
      <c r="AP565" s="1">
        <v>37658454</v>
      </c>
      <c r="AQ565" s="1">
        <v>8130645</v>
      </c>
      <c r="AR565" s="1">
        <v>1219597</v>
      </c>
      <c r="AS565" s="1">
        <v>0</v>
      </c>
      <c r="AT565" s="1">
        <f t="shared" si="55"/>
        <v>52456736</v>
      </c>
    </row>
    <row r="566" spans="1:46" x14ac:dyDescent="0.2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"قراردادي کارگري"</f>
        <v>قراردادي کارگري</v>
      </c>
      <c r="E566" s="1" t="str">
        <f>"پروژه تعميرات نيروگاه بوشهر"</f>
        <v>پروژه تعميرات نيروگاه بوشهر</v>
      </c>
      <c r="F566" s="1">
        <v>9682277</v>
      </c>
      <c r="G566" s="1">
        <v>8748696</v>
      </c>
      <c r="H566" s="1">
        <v>0</v>
      </c>
      <c r="I566" s="1">
        <v>8036291</v>
      </c>
      <c r="J566" s="1">
        <v>0</v>
      </c>
      <c r="K566" s="1">
        <v>0</v>
      </c>
      <c r="L566" s="1">
        <v>3345440</v>
      </c>
      <c r="M566" s="1">
        <v>400000</v>
      </c>
      <c r="N566" s="1">
        <v>5163881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2767789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2222538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41466912</v>
      </c>
      <c r="AO566" s="1">
        <v>4445307</v>
      </c>
      <c r="AP566" s="1">
        <v>37021605</v>
      </c>
      <c r="AQ566" s="1">
        <v>7848875</v>
      </c>
      <c r="AR566" s="1">
        <v>1177331</v>
      </c>
      <c r="AS566" s="1">
        <v>0</v>
      </c>
      <c r="AT566" s="1">
        <f t="shared" si="55"/>
        <v>50493118</v>
      </c>
    </row>
    <row r="567" spans="1:46" x14ac:dyDescent="0.2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15216927</v>
      </c>
      <c r="G567" s="1">
        <v>4321876</v>
      </c>
      <c r="H567" s="1">
        <v>0</v>
      </c>
      <c r="I567" s="1">
        <v>14238956</v>
      </c>
      <c r="J567" s="1">
        <v>0</v>
      </c>
      <c r="K567" s="1">
        <v>3465000</v>
      </c>
      <c r="L567" s="1">
        <v>0</v>
      </c>
      <c r="M567" s="1">
        <v>400000</v>
      </c>
      <c r="N567" s="1">
        <v>2854944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1342000</v>
      </c>
      <c r="U567" s="1">
        <v>0</v>
      </c>
      <c r="V567" s="1">
        <v>3720501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2039244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2854944</v>
      </c>
      <c r="AM567" s="1">
        <v>0</v>
      </c>
      <c r="AN567" s="1">
        <v>51554392</v>
      </c>
      <c r="AO567" s="1">
        <v>8135681</v>
      </c>
      <c r="AP567" s="1">
        <v>43418711</v>
      </c>
      <c r="AQ567" s="1">
        <v>10042478</v>
      </c>
      <c r="AR567" s="1">
        <v>1506372</v>
      </c>
      <c r="AS567" s="1">
        <v>0</v>
      </c>
      <c r="AT567" s="1">
        <f t="shared" si="55"/>
        <v>63103242</v>
      </c>
    </row>
    <row r="568" spans="1:46" x14ac:dyDescent="0.2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"قراردادي بهره بردار"</f>
        <v>قراردادي بهره بردار</v>
      </c>
      <c r="E568" s="1" t="str">
        <f>"پروژه بهره برداري نيروگاه بوشهر"</f>
        <v>پروژه بهره برداري نيروگاه بوشهر</v>
      </c>
      <c r="F568" s="1">
        <v>11951356</v>
      </c>
      <c r="G568" s="1">
        <v>1723688</v>
      </c>
      <c r="H568" s="1">
        <v>0</v>
      </c>
      <c r="I568" s="1">
        <v>11244023</v>
      </c>
      <c r="J568" s="1">
        <v>0</v>
      </c>
      <c r="K568" s="1">
        <v>0</v>
      </c>
      <c r="L568" s="1">
        <v>0</v>
      </c>
      <c r="M568" s="1">
        <v>400000</v>
      </c>
      <c r="N568" s="1">
        <v>2326682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1342000</v>
      </c>
      <c r="U568" s="1">
        <v>0</v>
      </c>
      <c r="V568" s="1">
        <v>2967685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1661915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2492872</v>
      </c>
      <c r="AM568" s="1">
        <v>0</v>
      </c>
      <c r="AN568" s="1">
        <v>37210221</v>
      </c>
      <c r="AO568" s="1">
        <v>16513865</v>
      </c>
      <c r="AP568" s="1">
        <v>20696356</v>
      </c>
      <c r="AQ568" s="1">
        <v>7173644</v>
      </c>
      <c r="AR568" s="1">
        <v>1076047</v>
      </c>
      <c r="AS568" s="1">
        <v>0</v>
      </c>
      <c r="AT568" s="1">
        <f t="shared" si="55"/>
        <v>45459912</v>
      </c>
    </row>
    <row r="569" spans="1:46" x14ac:dyDescent="0.2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 t="shared" ref="D569:D574" si="60">"قراردادي کارگري"</f>
        <v>قراردادي کارگري</v>
      </c>
      <c r="E569" s="1" t="str">
        <f t="shared" ref="E569:E574" si="61">"پروژه تعميرات نيروگاه بوشهر"</f>
        <v>پروژه تعميرات نيروگاه بوشهر</v>
      </c>
      <c r="F569" s="1">
        <v>5609283</v>
      </c>
      <c r="G569" s="1">
        <v>6860295</v>
      </c>
      <c r="H569" s="1">
        <v>0</v>
      </c>
      <c r="I569" s="1">
        <v>4038684</v>
      </c>
      <c r="J569" s="1">
        <v>0</v>
      </c>
      <c r="K569" s="1">
        <v>0</v>
      </c>
      <c r="L569" s="1">
        <v>3500010</v>
      </c>
      <c r="M569" s="1">
        <v>400000</v>
      </c>
      <c r="N569" s="1">
        <v>2971806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5534482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1111269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31125829</v>
      </c>
      <c r="AO569" s="1">
        <v>2783573</v>
      </c>
      <c r="AP569" s="1">
        <v>28342256</v>
      </c>
      <c r="AQ569" s="1">
        <v>6002912</v>
      </c>
      <c r="AR569" s="1">
        <v>900437</v>
      </c>
      <c r="AS569" s="1">
        <v>0</v>
      </c>
      <c r="AT569" s="1">
        <f t="shared" si="55"/>
        <v>38029178</v>
      </c>
    </row>
    <row r="570" spans="1:46" x14ac:dyDescent="0.2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 t="shared" si="60"/>
        <v>قراردادي کارگري</v>
      </c>
      <c r="E570" s="1" t="str">
        <f t="shared" si="61"/>
        <v>پروژه تعميرات نيروگاه بوشهر</v>
      </c>
      <c r="F570" s="1">
        <v>7735013</v>
      </c>
      <c r="G570" s="1">
        <v>15134495</v>
      </c>
      <c r="H570" s="1">
        <v>0</v>
      </c>
      <c r="I570" s="1">
        <v>5723910</v>
      </c>
      <c r="J570" s="1">
        <v>0</v>
      </c>
      <c r="K570" s="1">
        <v>0</v>
      </c>
      <c r="L570" s="1">
        <v>3500010</v>
      </c>
      <c r="M570" s="1">
        <v>400000</v>
      </c>
      <c r="N570" s="1">
        <v>4098020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7202225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2222538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47116211</v>
      </c>
      <c r="AO570" s="1">
        <v>8745063</v>
      </c>
      <c r="AP570" s="1">
        <v>38371148</v>
      </c>
      <c r="AQ570" s="1">
        <v>8978735</v>
      </c>
      <c r="AR570" s="1">
        <v>1346810</v>
      </c>
      <c r="AS570" s="1">
        <v>0</v>
      </c>
      <c r="AT570" s="1">
        <f t="shared" si="55"/>
        <v>57441756</v>
      </c>
    </row>
    <row r="571" spans="1:46" x14ac:dyDescent="0.2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 t="shared" si="60"/>
        <v>قراردادي کارگري</v>
      </c>
      <c r="E571" s="1" t="str">
        <f t="shared" si="61"/>
        <v>پروژه تعميرات نيروگاه بوشهر</v>
      </c>
      <c r="F571" s="1">
        <v>7043961</v>
      </c>
      <c r="G571" s="1">
        <v>11402694</v>
      </c>
      <c r="H571" s="1">
        <v>0</v>
      </c>
      <c r="I571" s="1">
        <v>5142092</v>
      </c>
      <c r="J571" s="1">
        <v>0</v>
      </c>
      <c r="K571" s="1">
        <v>0</v>
      </c>
      <c r="L571" s="1">
        <v>3500010</v>
      </c>
      <c r="M571" s="1">
        <v>400000</v>
      </c>
      <c r="N571" s="1">
        <v>3707347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6669891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3333807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42299802</v>
      </c>
      <c r="AO571" s="1">
        <v>5819668</v>
      </c>
      <c r="AP571" s="1">
        <v>36480134</v>
      </c>
      <c r="AQ571" s="1">
        <v>7793199</v>
      </c>
      <c r="AR571" s="1">
        <v>1168980</v>
      </c>
      <c r="AS571" s="1">
        <v>0</v>
      </c>
      <c r="AT571" s="1">
        <f t="shared" si="55"/>
        <v>51261981</v>
      </c>
    </row>
    <row r="572" spans="1:46" x14ac:dyDescent="0.2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 t="shared" si="60"/>
        <v>قراردادي کارگري</v>
      </c>
      <c r="E572" s="1" t="str">
        <f t="shared" si="61"/>
        <v>پروژه تعميرات نيروگاه بوشهر</v>
      </c>
      <c r="F572" s="1">
        <v>6238973</v>
      </c>
      <c r="G572" s="1">
        <v>0</v>
      </c>
      <c r="H572" s="1">
        <v>0</v>
      </c>
      <c r="I572" s="1">
        <v>3743384</v>
      </c>
      <c r="J572" s="1">
        <v>0</v>
      </c>
      <c r="K572" s="1">
        <v>0</v>
      </c>
      <c r="L572" s="1">
        <v>1992706</v>
      </c>
      <c r="M572" s="1">
        <v>400000</v>
      </c>
      <c r="N572" s="1">
        <v>3327452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1675252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20700305</v>
      </c>
      <c r="AO572" s="1">
        <v>1333444</v>
      </c>
      <c r="AP572" s="1">
        <v>19366861</v>
      </c>
      <c r="AQ572" s="1">
        <v>3695553</v>
      </c>
      <c r="AR572" s="1">
        <v>554333</v>
      </c>
      <c r="AS572" s="1">
        <v>0</v>
      </c>
      <c r="AT572" s="1">
        <f t="shared" si="55"/>
        <v>24950191</v>
      </c>
    </row>
    <row r="573" spans="1:46" x14ac:dyDescent="0.2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 t="shared" si="60"/>
        <v>قراردادي کارگري</v>
      </c>
      <c r="E573" s="1" t="str">
        <f t="shared" si="61"/>
        <v>پروژه تعميرات نيروگاه بوشهر</v>
      </c>
      <c r="F573" s="1">
        <v>7683855</v>
      </c>
      <c r="G573" s="1">
        <v>8683783</v>
      </c>
      <c r="H573" s="1">
        <v>0</v>
      </c>
      <c r="I573" s="1">
        <v>6223923</v>
      </c>
      <c r="J573" s="1">
        <v>0</v>
      </c>
      <c r="K573" s="1">
        <v>0</v>
      </c>
      <c r="L573" s="1">
        <v>3500010</v>
      </c>
      <c r="M573" s="1">
        <v>400000</v>
      </c>
      <c r="N573" s="1">
        <v>4044134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7328615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1111269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40075589</v>
      </c>
      <c r="AO573" s="1">
        <v>4287132</v>
      </c>
      <c r="AP573" s="1">
        <v>35788457</v>
      </c>
      <c r="AQ573" s="1">
        <v>7792864</v>
      </c>
      <c r="AR573" s="1">
        <v>1168930</v>
      </c>
      <c r="AS573" s="1">
        <v>0</v>
      </c>
      <c r="AT573" s="1">
        <f t="shared" si="55"/>
        <v>49037383</v>
      </c>
    </row>
    <row r="574" spans="1:46" x14ac:dyDescent="0.2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 t="shared" si="60"/>
        <v>قراردادي کارگري</v>
      </c>
      <c r="E574" s="1" t="str">
        <f t="shared" si="61"/>
        <v>پروژه تعميرات نيروگاه بوشهر</v>
      </c>
      <c r="F574" s="1">
        <v>5682265</v>
      </c>
      <c r="G574" s="1">
        <v>2136018</v>
      </c>
      <c r="H574" s="1">
        <v>0</v>
      </c>
      <c r="I574" s="1">
        <v>3977585</v>
      </c>
      <c r="J574" s="1">
        <v>0</v>
      </c>
      <c r="K574" s="1">
        <v>0</v>
      </c>
      <c r="L574" s="1">
        <v>3500010</v>
      </c>
      <c r="M574" s="1">
        <v>400000</v>
      </c>
      <c r="N574" s="1">
        <v>2990666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5632168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2422579</v>
      </c>
      <c r="AE574" s="1">
        <v>0</v>
      </c>
      <c r="AF574" s="1">
        <v>1111269</v>
      </c>
      <c r="AG574" s="1">
        <v>0</v>
      </c>
      <c r="AH574" s="1">
        <v>0</v>
      </c>
      <c r="AI574" s="1">
        <v>0</v>
      </c>
      <c r="AJ574" s="1">
        <v>2103157</v>
      </c>
      <c r="AK574" s="1">
        <v>0</v>
      </c>
      <c r="AL574" s="1">
        <v>0</v>
      </c>
      <c r="AM574" s="1">
        <v>0</v>
      </c>
      <c r="AN574" s="1">
        <v>31055717</v>
      </c>
      <c r="AO574" s="1">
        <v>2771794</v>
      </c>
      <c r="AP574" s="1">
        <v>28283923</v>
      </c>
      <c r="AQ574" s="1">
        <v>5988890</v>
      </c>
      <c r="AR574" s="1">
        <v>898333</v>
      </c>
      <c r="AS574" s="1">
        <v>0</v>
      </c>
      <c r="AT574" s="1">
        <f t="shared" si="55"/>
        <v>37942940</v>
      </c>
    </row>
    <row r="575" spans="1:46" x14ac:dyDescent="0.2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14622335</v>
      </c>
      <c r="G575" s="1">
        <v>4859934</v>
      </c>
      <c r="H575" s="1">
        <v>0</v>
      </c>
      <c r="I575" s="1">
        <v>10912744</v>
      </c>
      <c r="J575" s="1">
        <v>0</v>
      </c>
      <c r="K575" s="1">
        <v>4125000</v>
      </c>
      <c r="L575" s="1">
        <v>0</v>
      </c>
      <c r="M575" s="1">
        <v>400000</v>
      </c>
      <c r="N575" s="1">
        <v>2401050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7529793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1715037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3087065</v>
      </c>
      <c r="AM575" s="1">
        <v>0</v>
      </c>
      <c r="AN575" s="1">
        <v>50752958</v>
      </c>
      <c r="AO575" s="1">
        <v>6726498</v>
      </c>
      <c r="AP575" s="1">
        <v>44026460</v>
      </c>
      <c r="AQ575" s="1">
        <v>10150592</v>
      </c>
      <c r="AR575" s="1">
        <v>1522589</v>
      </c>
      <c r="AS575" s="1">
        <v>0</v>
      </c>
      <c r="AT575" s="1">
        <f t="shared" si="55"/>
        <v>62426139</v>
      </c>
    </row>
    <row r="576" spans="1:46" x14ac:dyDescent="0.2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8871256</v>
      </c>
      <c r="G576" s="1">
        <v>4316356</v>
      </c>
      <c r="H576" s="1">
        <v>0</v>
      </c>
      <c r="I576" s="1">
        <v>8338980</v>
      </c>
      <c r="J576" s="1">
        <v>0</v>
      </c>
      <c r="K576" s="1">
        <v>0</v>
      </c>
      <c r="L576" s="1">
        <v>3345440</v>
      </c>
      <c r="M576" s="1">
        <v>400000</v>
      </c>
      <c r="N576" s="1">
        <v>5322754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2732843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2222538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36650167</v>
      </c>
      <c r="AO576" s="1">
        <v>3636096</v>
      </c>
      <c r="AP576" s="1">
        <v>33014071</v>
      </c>
      <c r="AQ576" s="1">
        <v>6885526</v>
      </c>
      <c r="AR576" s="1">
        <v>1032829</v>
      </c>
      <c r="AS576" s="1">
        <v>0</v>
      </c>
      <c r="AT576" s="1">
        <f t="shared" si="55"/>
        <v>44568522</v>
      </c>
    </row>
    <row r="577" spans="1:46" x14ac:dyDescent="0.2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8579202</v>
      </c>
      <c r="G577" s="1">
        <v>16911406</v>
      </c>
      <c r="H577" s="1">
        <v>0</v>
      </c>
      <c r="I577" s="1">
        <v>6177026</v>
      </c>
      <c r="J577" s="1">
        <v>0</v>
      </c>
      <c r="K577" s="1">
        <v>0</v>
      </c>
      <c r="L577" s="1">
        <v>3500010</v>
      </c>
      <c r="M577" s="1">
        <v>400000</v>
      </c>
      <c r="N577" s="1">
        <v>4545272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5577847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49013301</v>
      </c>
      <c r="AO577" s="1">
        <v>6445362</v>
      </c>
      <c r="AP577" s="1">
        <v>42567939</v>
      </c>
      <c r="AQ577" s="1">
        <v>9358153</v>
      </c>
      <c r="AR577" s="1">
        <v>1403723</v>
      </c>
      <c r="AS577" s="1">
        <v>0</v>
      </c>
      <c r="AT577" s="1">
        <f t="shared" si="55"/>
        <v>59775177</v>
      </c>
    </row>
    <row r="578" spans="1:46" x14ac:dyDescent="0.2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10190179</v>
      </c>
      <c r="G578" s="1">
        <v>1198481</v>
      </c>
      <c r="H578" s="1">
        <v>0</v>
      </c>
      <c r="I578" s="1">
        <v>7006039</v>
      </c>
      <c r="J578" s="1">
        <v>0</v>
      </c>
      <c r="K578" s="1">
        <v>0</v>
      </c>
      <c r="L578" s="1">
        <v>0</v>
      </c>
      <c r="M578" s="1">
        <v>400000</v>
      </c>
      <c r="N578" s="1">
        <v>1684708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4134123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1203363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2262322</v>
      </c>
      <c r="AM578" s="1">
        <v>0</v>
      </c>
      <c r="AN578" s="1">
        <v>29179215</v>
      </c>
      <c r="AO578" s="1">
        <v>14180247</v>
      </c>
      <c r="AP578" s="1">
        <v>14998968</v>
      </c>
      <c r="AQ578" s="1">
        <v>5835843</v>
      </c>
      <c r="AR578" s="1">
        <v>875376</v>
      </c>
      <c r="AS578" s="1">
        <v>0</v>
      </c>
      <c r="AT578" s="1">
        <f t="shared" si="55"/>
        <v>35890434</v>
      </c>
    </row>
    <row r="579" spans="1:46" x14ac:dyDescent="0.2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15210951</v>
      </c>
      <c r="G579" s="1">
        <v>6198056</v>
      </c>
      <c r="H579" s="1">
        <v>0</v>
      </c>
      <c r="I579" s="1">
        <v>12181929</v>
      </c>
      <c r="J579" s="1">
        <v>0</v>
      </c>
      <c r="K579" s="1">
        <v>4125000</v>
      </c>
      <c r="L579" s="1">
        <v>0</v>
      </c>
      <c r="M579" s="1">
        <v>400000</v>
      </c>
      <c r="N579" s="1">
        <v>2612393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6413998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1865994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2798991</v>
      </c>
      <c r="AM579" s="1">
        <v>0</v>
      </c>
      <c r="AN579" s="1">
        <v>52907312</v>
      </c>
      <c r="AO579" s="1">
        <v>7636960</v>
      </c>
      <c r="AP579" s="1">
        <v>45270352</v>
      </c>
      <c r="AQ579" s="1">
        <v>10581462</v>
      </c>
      <c r="AR579" s="1">
        <v>1587219</v>
      </c>
      <c r="AS579" s="1">
        <v>0</v>
      </c>
      <c r="AT579" s="1">
        <f t="shared" ref="AT579:AT642" si="62">AS579+AR579+AQ579+AN579</f>
        <v>65075993</v>
      </c>
    </row>
    <row r="580" spans="1:46" x14ac:dyDescent="0.2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8599063</v>
      </c>
      <c r="G580" s="1">
        <v>0</v>
      </c>
      <c r="H580" s="1">
        <v>0</v>
      </c>
      <c r="I580" s="1">
        <v>6965240</v>
      </c>
      <c r="J580" s="1">
        <v>0</v>
      </c>
      <c r="K580" s="1">
        <v>0</v>
      </c>
      <c r="L580" s="1">
        <v>3345440</v>
      </c>
      <c r="M580" s="1">
        <v>400000</v>
      </c>
      <c r="N580" s="1">
        <v>4586166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5488100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1111269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31595278</v>
      </c>
      <c r="AO580" s="1">
        <v>3591088</v>
      </c>
      <c r="AP580" s="1">
        <v>28004190</v>
      </c>
      <c r="AQ580" s="1">
        <v>6096802</v>
      </c>
      <c r="AR580" s="1">
        <v>914520</v>
      </c>
      <c r="AS580" s="1">
        <v>0</v>
      </c>
      <c r="AT580" s="1">
        <f t="shared" si="62"/>
        <v>38606600</v>
      </c>
    </row>
    <row r="581" spans="1:46" x14ac:dyDescent="0.2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10168871</v>
      </c>
      <c r="G581" s="1">
        <v>11103874</v>
      </c>
      <c r="H581" s="1">
        <v>0</v>
      </c>
      <c r="I581" s="1">
        <v>10404896</v>
      </c>
      <c r="J581" s="1">
        <v>0</v>
      </c>
      <c r="K581" s="1">
        <v>4620000</v>
      </c>
      <c r="L581" s="1">
        <v>0</v>
      </c>
      <c r="M581" s="1">
        <v>400000</v>
      </c>
      <c r="N581" s="1">
        <v>1703169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6542473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1216549</v>
      </c>
      <c r="AF581" s="1">
        <v>3333807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2676408</v>
      </c>
      <c r="AM581" s="1">
        <v>0</v>
      </c>
      <c r="AN581" s="1">
        <v>53270047</v>
      </c>
      <c r="AO581" s="1">
        <v>22401055</v>
      </c>
      <c r="AP581" s="1">
        <v>30868992</v>
      </c>
      <c r="AQ581" s="1">
        <v>9987248</v>
      </c>
      <c r="AR581" s="1">
        <v>1498087</v>
      </c>
      <c r="AS581" s="1">
        <v>0</v>
      </c>
      <c r="AT581" s="1">
        <f t="shared" si="62"/>
        <v>64755382</v>
      </c>
    </row>
    <row r="582" spans="1:46" x14ac:dyDescent="0.2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11396181</v>
      </c>
      <c r="G582" s="1">
        <v>7969323</v>
      </c>
      <c r="H582" s="1">
        <v>0</v>
      </c>
      <c r="I582" s="1">
        <v>9297357</v>
      </c>
      <c r="J582" s="1">
        <v>0</v>
      </c>
      <c r="K582" s="1">
        <v>4620000</v>
      </c>
      <c r="L582" s="1">
        <v>0</v>
      </c>
      <c r="M582" s="1">
        <v>400000</v>
      </c>
      <c r="N582" s="1">
        <v>2116421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6372831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1511729</v>
      </c>
      <c r="AF582" s="1">
        <v>1111269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3386273</v>
      </c>
      <c r="AM582" s="1">
        <v>0</v>
      </c>
      <c r="AN582" s="1">
        <v>49281384</v>
      </c>
      <c r="AO582" s="1">
        <v>7620848</v>
      </c>
      <c r="AP582" s="1">
        <v>41660536</v>
      </c>
      <c r="AQ582" s="1">
        <v>9634023</v>
      </c>
      <c r="AR582" s="1">
        <v>1445103</v>
      </c>
      <c r="AS582" s="1">
        <v>0</v>
      </c>
      <c r="AT582" s="1">
        <f t="shared" si="62"/>
        <v>60360510</v>
      </c>
    </row>
    <row r="583" spans="1:46" x14ac:dyDescent="0.2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11177500</v>
      </c>
      <c r="G583" s="1">
        <v>5985705</v>
      </c>
      <c r="H583" s="1">
        <v>0</v>
      </c>
      <c r="I583" s="1">
        <v>9169032</v>
      </c>
      <c r="J583" s="1">
        <v>0</v>
      </c>
      <c r="K583" s="1">
        <v>4620000</v>
      </c>
      <c r="L583" s="1">
        <v>0</v>
      </c>
      <c r="M583" s="1">
        <v>400000</v>
      </c>
      <c r="N583" s="1">
        <v>2035542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1342000</v>
      </c>
      <c r="U583" s="1">
        <v>0</v>
      </c>
      <c r="V583" s="1">
        <v>5738361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1453959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3489499</v>
      </c>
      <c r="AM583" s="1">
        <v>0</v>
      </c>
      <c r="AN583" s="1">
        <v>46511598</v>
      </c>
      <c r="AO583" s="1">
        <v>6888493</v>
      </c>
      <c r="AP583" s="1">
        <v>39623105</v>
      </c>
      <c r="AQ583" s="1">
        <v>9033920</v>
      </c>
      <c r="AR583" s="1">
        <v>1355088</v>
      </c>
      <c r="AS583" s="1">
        <v>0</v>
      </c>
      <c r="AT583" s="1">
        <f t="shared" si="62"/>
        <v>56900606</v>
      </c>
    </row>
    <row r="584" spans="1:46" x14ac:dyDescent="0.2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12428973</v>
      </c>
      <c r="G584" s="1">
        <v>3121374</v>
      </c>
      <c r="H584" s="1">
        <v>0</v>
      </c>
      <c r="I584" s="1">
        <v>7898101</v>
      </c>
      <c r="J584" s="1">
        <v>0</v>
      </c>
      <c r="K584" s="1">
        <v>4125000</v>
      </c>
      <c r="L584" s="1">
        <v>0</v>
      </c>
      <c r="M584" s="1">
        <v>400000</v>
      </c>
      <c r="N584" s="1">
        <v>1697149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1342000</v>
      </c>
      <c r="U584" s="1">
        <v>0</v>
      </c>
      <c r="V584" s="1">
        <v>2507909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1212248</v>
      </c>
      <c r="AF584" s="1">
        <v>1111269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1842618</v>
      </c>
      <c r="AM584" s="1">
        <v>0</v>
      </c>
      <c r="AN584" s="1">
        <v>38786641</v>
      </c>
      <c r="AO584" s="1">
        <v>4577730</v>
      </c>
      <c r="AP584" s="1">
        <v>34208911</v>
      </c>
      <c r="AQ584" s="1">
        <v>7266674</v>
      </c>
      <c r="AR584" s="1">
        <v>1090001</v>
      </c>
      <c r="AS584" s="1">
        <v>0</v>
      </c>
      <c r="AT584" s="1">
        <f t="shared" si="62"/>
        <v>47143316</v>
      </c>
    </row>
    <row r="585" spans="1:46" x14ac:dyDescent="0.2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"قراردادي کارگري"</f>
        <v>قراردادي کارگري</v>
      </c>
      <c r="E585" s="1" t="str">
        <f t="shared" ref="E585:E596" si="63">"پروژه تعميرات نيروگاه بوشهر"</f>
        <v>پروژه تعميرات نيروگاه بوشهر</v>
      </c>
      <c r="F585" s="1">
        <v>8563947</v>
      </c>
      <c r="G585" s="1">
        <v>9413451</v>
      </c>
      <c r="H585" s="1">
        <v>0</v>
      </c>
      <c r="I585" s="1">
        <v>6337320</v>
      </c>
      <c r="J585" s="1">
        <v>0</v>
      </c>
      <c r="K585" s="1">
        <v>0</v>
      </c>
      <c r="L585" s="1">
        <v>3500010</v>
      </c>
      <c r="M585" s="1">
        <v>400000</v>
      </c>
      <c r="N585" s="1">
        <v>4537190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7499453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1111269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42462640</v>
      </c>
      <c r="AO585" s="1">
        <v>6198157</v>
      </c>
      <c r="AP585" s="1">
        <v>36264483</v>
      </c>
      <c r="AQ585" s="1">
        <v>8270274</v>
      </c>
      <c r="AR585" s="1">
        <v>1240541</v>
      </c>
      <c r="AS585" s="1">
        <v>0</v>
      </c>
      <c r="AT585" s="1">
        <f t="shared" si="62"/>
        <v>51973455</v>
      </c>
    </row>
    <row r="586" spans="1:46" x14ac:dyDescent="0.2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"قراردادي کارگري"</f>
        <v>قراردادي کارگري</v>
      </c>
      <c r="E586" s="1" t="str">
        <f t="shared" si="63"/>
        <v>پروژه تعميرات نيروگاه بوشهر</v>
      </c>
      <c r="F586" s="1">
        <v>7493628</v>
      </c>
      <c r="G586" s="1">
        <v>10002948</v>
      </c>
      <c r="H586" s="1">
        <v>0</v>
      </c>
      <c r="I586" s="1">
        <v>5770093</v>
      </c>
      <c r="J586" s="1">
        <v>0</v>
      </c>
      <c r="K586" s="1">
        <v>0</v>
      </c>
      <c r="L586" s="1">
        <v>3345440</v>
      </c>
      <c r="M586" s="1">
        <v>400000</v>
      </c>
      <c r="N586" s="1">
        <v>3996602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7609238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2222538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41940487</v>
      </c>
      <c r="AO586" s="1">
        <v>5306051</v>
      </c>
      <c r="AP586" s="1">
        <v>36634436</v>
      </c>
      <c r="AQ586" s="1">
        <v>7943590</v>
      </c>
      <c r="AR586" s="1">
        <v>1191538</v>
      </c>
      <c r="AS586" s="1">
        <v>0</v>
      </c>
      <c r="AT586" s="1">
        <f t="shared" si="62"/>
        <v>51075615</v>
      </c>
    </row>
    <row r="587" spans="1:46" x14ac:dyDescent="0.2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"قراردادي کارگري"</f>
        <v>قراردادي کارگري</v>
      </c>
      <c r="E587" s="1" t="str">
        <f t="shared" si="63"/>
        <v>پروژه تعميرات نيروگاه بوشهر</v>
      </c>
      <c r="F587" s="1">
        <v>5247136</v>
      </c>
      <c r="G587" s="1">
        <v>6133756</v>
      </c>
      <c r="H587" s="1">
        <v>0</v>
      </c>
      <c r="I587" s="1">
        <v>3935352</v>
      </c>
      <c r="J587" s="1">
        <v>0</v>
      </c>
      <c r="K587" s="1">
        <v>0</v>
      </c>
      <c r="L587" s="1">
        <v>3500010</v>
      </c>
      <c r="M587" s="1">
        <v>400000</v>
      </c>
      <c r="N587" s="1">
        <v>2761651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5406128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2396506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3019695</v>
      </c>
      <c r="AK587" s="1">
        <v>0</v>
      </c>
      <c r="AL587" s="1">
        <v>0</v>
      </c>
      <c r="AM587" s="1">
        <v>0</v>
      </c>
      <c r="AN587" s="1">
        <v>36122772</v>
      </c>
      <c r="AO587" s="1">
        <v>4098524</v>
      </c>
      <c r="AP587" s="1">
        <v>32024248</v>
      </c>
      <c r="AQ587" s="1">
        <v>6780047</v>
      </c>
      <c r="AR587" s="1">
        <v>1017007</v>
      </c>
      <c r="AS587" s="1">
        <v>0</v>
      </c>
      <c r="AT587" s="1">
        <f t="shared" si="62"/>
        <v>43919826</v>
      </c>
    </row>
    <row r="588" spans="1:46" x14ac:dyDescent="0.2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"قراردادي بهره بردار"</f>
        <v>قراردادي بهره بردار</v>
      </c>
      <c r="E588" s="1" t="str">
        <f t="shared" si="63"/>
        <v>پروژه تعميرات نيروگاه بوشهر</v>
      </c>
      <c r="F588" s="1">
        <v>7360151</v>
      </c>
      <c r="G588" s="1">
        <v>2256855</v>
      </c>
      <c r="H588" s="1">
        <v>0</v>
      </c>
      <c r="I588" s="1">
        <v>3678718</v>
      </c>
      <c r="J588" s="1">
        <v>0</v>
      </c>
      <c r="K588" s="1">
        <v>4620000</v>
      </c>
      <c r="L588" s="1">
        <v>0</v>
      </c>
      <c r="M588" s="1">
        <v>400000</v>
      </c>
      <c r="N588" s="1">
        <v>943482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1359975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673916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943482</v>
      </c>
      <c r="AM588" s="1">
        <v>0</v>
      </c>
      <c r="AN588" s="1">
        <v>24447848</v>
      </c>
      <c r="AO588" s="1">
        <v>9265564</v>
      </c>
      <c r="AP588" s="1">
        <v>15182284</v>
      </c>
      <c r="AQ588" s="1">
        <v>4667316</v>
      </c>
      <c r="AR588" s="1">
        <v>700097</v>
      </c>
      <c r="AS588" s="1">
        <v>0</v>
      </c>
      <c r="AT588" s="1">
        <f t="shared" si="62"/>
        <v>29815261</v>
      </c>
    </row>
    <row r="589" spans="1:46" x14ac:dyDescent="0.2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"قراردادي کارگري"</f>
        <v>قراردادي کارگري</v>
      </c>
      <c r="E589" s="1" t="str">
        <f t="shared" si="63"/>
        <v>پروژه تعميرات نيروگاه بوشهر</v>
      </c>
      <c r="F589" s="1">
        <v>6294543</v>
      </c>
      <c r="G589" s="1">
        <v>5277521</v>
      </c>
      <c r="H589" s="1">
        <v>0</v>
      </c>
      <c r="I589" s="1">
        <v>4469125</v>
      </c>
      <c r="J589" s="1">
        <v>0</v>
      </c>
      <c r="K589" s="1">
        <v>0</v>
      </c>
      <c r="L589" s="1">
        <v>3500010</v>
      </c>
      <c r="M589" s="1">
        <v>400000</v>
      </c>
      <c r="N589" s="1">
        <v>3357089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4243246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2734257</v>
      </c>
      <c r="AE589" s="1">
        <v>0</v>
      </c>
      <c r="AF589" s="1">
        <v>1111269</v>
      </c>
      <c r="AG589" s="1">
        <v>0</v>
      </c>
      <c r="AH589" s="1">
        <v>0</v>
      </c>
      <c r="AI589" s="1">
        <v>0</v>
      </c>
      <c r="AJ589" s="1">
        <v>2111008</v>
      </c>
      <c r="AK589" s="1">
        <v>0</v>
      </c>
      <c r="AL589" s="1">
        <v>0</v>
      </c>
      <c r="AM589" s="1">
        <v>0</v>
      </c>
      <c r="AN589" s="1">
        <v>34598068</v>
      </c>
      <c r="AO589" s="1">
        <v>3366909</v>
      </c>
      <c r="AP589" s="1">
        <v>31231159</v>
      </c>
      <c r="AQ589" s="1">
        <v>6697360</v>
      </c>
      <c r="AR589" s="1">
        <v>1004604</v>
      </c>
      <c r="AS589" s="1">
        <v>0</v>
      </c>
      <c r="AT589" s="1">
        <f t="shared" si="62"/>
        <v>42300032</v>
      </c>
    </row>
    <row r="590" spans="1:46" x14ac:dyDescent="0.2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11220731</v>
      </c>
      <c r="G590" s="1">
        <v>0</v>
      </c>
      <c r="H590" s="1">
        <v>0</v>
      </c>
      <c r="I590" s="1">
        <v>9528197</v>
      </c>
      <c r="J590" s="1">
        <v>0</v>
      </c>
      <c r="K590" s="1">
        <v>3465000</v>
      </c>
      <c r="L590" s="1">
        <v>0</v>
      </c>
      <c r="M590" s="1">
        <v>400000</v>
      </c>
      <c r="N590" s="1">
        <v>2076537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8770084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1483241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5932964</v>
      </c>
      <c r="AM590" s="1">
        <v>0</v>
      </c>
      <c r="AN590" s="1">
        <v>43976754</v>
      </c>
      <c r="AO590" s="1">
        <v>5018095</v>
      </c>
      <c r="AP590" s="1">
        <v>38958659</v>
      </c>
      <c r="AQ590" s="1">
        <v>8795351</v>
      </c>
      <c r="AR590" s="1">
        <v>1319303</v>
      </c>
      <c r="AS590" s="1">
        <v>0</v>
      </c>
      <c r="AT590" s="1">
        <f t="shared" si="62"/>
        <v>54091408</v>
      </c>
    </row>
    <row r="591" spans="1:46" x14ac:dyDescent="0.2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 t="shared" ref="D591:D596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7145266</v>
      </c>
      <c r="G591" s="1">
        <v>6297685</v>
      </c>
      <c r="H591" s="1">
        <v>0</v>
      </c>
      <c r="I591" s="1">
        <v>4358612</v>
      </c>
      <c r="J591" s="1">
        <v>0</v>
      </c>
      <c r="K591" s="1">
        <v>0</v>
      </c>
      <c r="L591" s="1">
        <v>4702616</v>
      </c>
      <c r="M591" s="1">
        <v>400000</v>
      </c>
      <c r="N591" s="1">
        <v>3572633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4776553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3069175</v>
      </c>
      <c r="AE591" s="1">
        <v>0</v>
      </c>
      <c r="AF591" s="1">
        <v>2222538</v>
      </c>
      <c r="AG591" s="1">
        <v>0</v>
      </c>
      <c r="AH591" s="1">
        <v>0</v>
      </c>
      <c r="AI591" s="1">
        <v>0</v>
      </c>
      <c r="AJ591" s="1">
        <v>2370893</v>
      </c>
      <c r="AK591" s="1">
        <v>0</v>
      </c>
      <c r="AL591" s="1">
        <v>0</v>
      </c>
      <c r="AM591" s="1">
        <v>0</v>
      </c>
      <c r="AN591" s="1">
        <v>40015971</v>
      </c>
      <c r="AO591" s="1">
        <v>4818197</v>
      </c>
      <c r="AP591" s="1">
        <v>35197774</v>
      </c>
      <c r="AQ591" s="1">
        <v>7558687</v>
      </c>
      <c r="AR591" s="1">
        <v>1133803</v>
      </c>
      <c r="AS591" s="1">
        <v>0</v>
      </c>
      <c r="AT591" s="1">
        <f t="shared" si="62"/>
        <v>48708461</v>
      </c>
    </row>
    <row r="592" spans="1:46" x14ac:dyDescent="0.2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5272732</v>
      </c>
      <c r="G592" s="1">
        <v>7577084</v>
      </c>
      <c r="H592" s="1">
        <v>0</v>
      </c>
      <c r="I592" s="1">
        <v>3954549</v>
      </c>
      <c r="J592" s="1">
        <v>0</v>
      </c>
      <c r="K592" s="1">
        <v>0</v>
      </c>
      <c r="L592" s="1">
        <v>3500010</v>
      </c>
      <c r="M592" s="1">
        <v>400000</v>
      </c>
      <c r="N592" s="1">
        <v>2775122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5424772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30004269</v>
      </c>
      <c r="AO592" s="1">
        <v>2670718</v>
      </c>
      <c r="AP592" s="1">
        <v>27333551</v>
      </c>
      <c r="AQ592" s="1">
        <v>6000854</v>
      </c>
      <c r="AR592" s="1">
        <v>900128</v>
      </c>
      <c r="AS592" s="1">
        <v>0</v>
      </c>
      <c r="AT592" s="1">
        <f t="shared" si="62"/>
        <v>36905251</v>
      </c>
    </row>
    <row r="593" spans="1:46" x14ac:dyDescent="0.2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5180587</v>
      </c>
      <c r="G593" s="1">
        <v>3894186</v>
      </c>
      <c r="H593" s="1">
        <v>0</v>
      </c>
      <c r="I593" s="1">
        <v>3885440</v>
      </c>
      <c r="J593" s="1">
        <v>0</v>
      </c>
      <c r="K593" s="1">
        <v>0</v>
      </c>
      <c r="L593" s="1">
        <v>3500010</v>
      </c>
      <c r="M593" s="1">
        <v>400000</v>
      </c>
      <c r="N593" s="1">
        <v>2726624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5357652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1111269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27155768</v>
      </c>
      <c r="AO593" s="1">
        <v>2116604</v>
      </c>
      <c r="AP593" s="1">
        <v>25039164</v>
      </c>
      <c r="AQ593" s="1">
        <v>5208900</v>
      </c>
      <c r="AR593" s="1">
        <v>781335</v>
      </c>
      <c r="AS593" s="1">
        <v>0</v>
      </c>
      <c r="AT593" s="1">
        <f t="shared" si="62"/>
        <v>33146003</v>
      </c>
    </row>
    <row r="594" spans="1:46" x14ac:dyDescent="0.2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5114038</v>
      </c>
      <c r="G594" s="1">
        <v>3702219</v>
      </c>
      <c r="H594" s="1">
        <v>0</v>
      </c>
      <c r="I594" s="1">
        <v>3835528</v>
      </c>
      <c r="J594" s="1">
        <v>0</v>
      </c>
      <c r="K594" s="1">
        <v>0</v>
      </c>
      <c r="L594" s="1">
        <v>3500010</v>
      </c>
      <c r="M594" s="1">
        <v>400000</v>
      </c>
      <c r="N594" s="1">
        <v>2691599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5309176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2349493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1974517</v>
      </c>
      <c r="AK594" s="1">
        <v>0</v>
      </c>
      <c r="AL594" s="1">
        <v>0</v>
      </c>
      <c r="AM594" s="1">
        <v>0</v>
      </c>
      <c r="AN594" s="1">
        <v>29976580</v>
      </c>
      <c r="AO594" s="1">
        <v>3205198</v>
      </c>
      <c r="AP594" s="1">
        <v>26771382</v>
      </c>
      <c r="AQ594" s="1">
        <v>5995316</v>
      </c>
      <c r="AR594" s="1">
        <v>899297</v>
      </c>
      <c r="AS594" s="1">
        <v>0</v>
      </c>
      <c r="AT594" s="1">
        <f t="shared" si="62"/>
        <v>36871193</v>
      </c>
    </row>
    <row r="595" spans="1:46" x14ac:dyDescent="0.2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7224843</v>
      </c>
      <c r="G595" s="1">
        <v>0</v>
      </c>
      <c r="H595" s="1">
        <v>0</v>
      </c>
      <c r="I595" s="1">
        <v>5924370</v>
      </c>
      <c r="J595" s="1">
        <v>0</v>
      </c>
      <c r="K595" s="1">
        <v>0</v>
      </c>
      <c r="L595" s="1">
        <v>3345440</v>
      </c>
      <c r="M595" s="1">
        <v>400000</v>
      </c>
      <c r="N595" s="1">
        <v>3827731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6967163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28789547</v>
      </c>
      <c r="AO595" s="1">
        <v>3200713</v>
      </c>
      <c r="AP595" s="1">
        <v>25588834</v>
      </c>
      <c r="AQ595" s="1">
        <v>5757909</v>
      </c>
      <c r="AR595" s="1">
        <v>863686</v>
      </c>
      <c r="AS595" s="1">
        <v>0</v>
      </c>
      <c r="AT595" s="1">
        <f t="shared" si="62"/>
        <v>35411142</v>
      </c>
    </row>
    <row r="596" spans="1:46" x14ac:dyDescent="0.2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5482617</v>
      </c>
      <c r="G596" s="1">
        <v>5657544</v>
      </c>
      <c r="H596" s="1">
        <v>0</v>
      </c>
      <c r="I596" s="1">
        <v>3563702</v>
      </c>
      <c r="J596" s="1">
        <v>0</v>
      </c>
      <c r="K596" s="1">
        <v>0</v>
      </c>
      <c r="L596" s="1">
        <v>3500010</v>
      </c>
      <c r="M596" s="1">
        <v>400000</v>
      </c>
      <c r="N596" s="1">
        <v>2885588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5402214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2394608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2011571</v>
      </c>
      <c r="AK596" s="1">
        <v>0</v>
      </c>
      <c r="AL596" s="1">
        <v>0</v>
      </c>
      <c r="AM596" s="1">
        <v>0</v>
      </c>
      <c r="AN596" s="1">
        <v>32397854</v>
      </c>
      <c r="AO596" s="1">
        <v>5125850</v>
      </c>
      <c r="AP596" s="1">
        <v>27272004</v>
      </c>
      <c r="AQ596" s="1">
        <v>6479571</v>
      </c>
      <c r="AR596" s="1">
        <v>971936</v>
      </c>
      <c r="AS596" s="1">
        <v>0</v>
      </c>
      <c r="AT596" s="1">
        <f t="shared" si="62"/>
        <v>39849361</v>
      </c>
    </row>
    <row r="597" spans="1:46" x14ac:dyDescent="0.2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"قراردادي بهره بردار"</f>
        <v>قراردادي بهره بردار</v>
      </c>
      <c r="E597" s="1" t="str">
        <f>"پروژه بهره برداري نيروگاه بوشهر"</f>
        <v>پروژه بهره برداري نيروگاه بوشهر</v>
      </c>
      <c r="F597" s="1">
        <v>8221565</v>
      </c>
      <c r="G597" s="1">
        <v>2040154</v>
      </c>
      <c r="H597" s="1">
        <v>0</v>
      </c>
      <c r="I597" s="1">
        <v>4015252</v>
      </c>
      <c r="J597" s="1">
        <v>0</v>
      </c>
      <c r="K597" s="1">
        <v>4620000</v>
      </c>
      <c r="L597" s="1">
        <v>0</v>
      </c>
      <c r="M597" s="1">
        <v>400000</v>
      </c>
      <c r="N597" s="1">
        <v>1153371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1536739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823836</v>
      </c>
      <c r="AF597" s="1">
        <v>1111269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1153371</v>
      </c>
      <c r="AM597" s="1">
        <v>0</v>
      </c>
      <c r="AN597" s="1">
        <v>26175557</v>
      </c>
      <c r="AO597" s="1">
        <v>3659240</v>
      </c>
      <c r="AP597" s="1">
        <v>22516317</v>
      </c>
      <c r="AQ597" s="1">
        <v>5012858</v>
      </c>
      <c r="AR597" s="1">
        <v>751929</v>
      </c>
      <c r="AS597" s="1">
        <v>0</v>
      </c>
      <c r="AT597" s="1">
        <f t="shared" si="62"/>
        <v>31940344</v>
      </c>
    </row>
    <row r="598" spans="1:46" x14ac:dyDescent="0.2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 t="shared" ref="D598:D611" si="65">"قراردادي کارگري"</f>
        <v>قراردادي کارگري</v>
      </c>
      <c r="E598" s="1" t="str">
        <f t="shared" ref="E598:E611" si="66">"پروژه تعميرات نيروگاه بوشهر"</f>
        <v>پروژه تعميرات نيروگاه بوشهر</v>
      </c>
      <c r="F598" s="1">
        <v>6270968</v>
      </c>
      <c r="G598" s="1">
        <v>1761102</v>
      </c>
      <c r="H598" s="1">
        <v>0</v>
      </c>
      <c r="I598" s="1">
        <v>4264258</v>
      </c>
      <c r="J598" s="1">
        <v>0</v>
      </c>
      <c r="K598" s="1">
        <v>0</v>
      </c>
      <c r="L598" s="1">
        <v>3500010</v>
      </c>
      <c r="M598" s="1">
        <v>400000</v>
      </c>
      <c r="N598" s="1">
        <v>3300509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6011438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27719554</v>
      </c>
      <c r="AO598" s="1">
        <v>4198699</v>
      </c>
      <c r="AP598" s="1">
        <v>23520855</v>
      </c>
      <c r="AQ598" s="1">
        <v>5321657</v>
      </c>
      <c r="AR598" s="1">
        <v>798249</v>
      </c>
      <c r="AS598" s="1">
        <v>0</v>
      </c>
      <c r="AT598" s="1">
        <f t="shared" si="62"/>
        <v>33839460</v>
      </c>
    </row>
    <row r="599" spans="1:46" x14ac:dyDescent="0.2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 t="shared" si="65"/>
        <v>قراردادي کارگري</v>
      </c>
      <c r="E599" s="1" t="str">
        <f t="shared" si="66"/>
        <v>پروژه تعميرات نيروگاه بوشهر</v>
      </c>
      <c r="F599" s="1">
        <v>6760375</v>
      </c>
      <c r="G599" s="1">
        <v>317552</v>
      </c>
      <c r="H599" s="1">
        <v>0</v>
      </c>
      <c r="I599" s="1">
        <v>5137885</v>
      </c>
      <c r="J599" s="1">
        <v>0</v>
      </c>
      <c r="K599" s="1">
        <v>0</v>
      </c>
      <c r="L599" s="1">
        <v>3500010</v>
      </c>
      <c r="M599" s="1">
        <v>400000</v>
      </c>
      <c r="N599" s="1">
        <v>3605533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2045380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1111269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23978004</v>
      </c>
      <c r="AO599" s="1">
        <v>1640671</v>
      </c>
      <c r="AP599" s="1">
        <v>22337333</v>
      </c>
      <c r="AQ599" s="1">
        <v>4573347</v>
      </c>
      <c r="AR599" s="1">
        <v>686002</v>
      </c>
      <c r="AS599" s="1">
        <v>0</v>
      </c>
      <c r="AT599" s="1">
        <f t="shared" si="62"/>
        <v>29237353</v>
      </c>
    </row>
    <row r="600" spans="1:46" x14ac:dyDescent="0.2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 t="shared" si="65"/>
        <v>قراردادي کارگري</v>
      </c>
      <c r="E600" s="1" t="str">
        <f t="shared" si="66"/>
        <v>پروژه تعميرات نيروگاه بوشهر</v>
      </c>
      <c r="F600" s="1">
        <v>8304650</v>
      </c>
      <c r="G600" s="1">
        <v>10657631</v>
      </c>
      <c r="H600" s="1">
        <v>0</v>
      </c>
      <c r="I600" s="1">
        <v>6892860</v>
      </c>
      <c r="J600" s="1">
        <v>0</v>
      </c>
      <c r="K600" s="1">
        <v>0</v>
      </c>
      <c r="L600" s="1">
        <v>3345440</v>
      </c>
      <c r="M600" s="1">
        <v>400000</v>
      </c>
      <c r="N600" s="1">
        <v>4429146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8425623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1111269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44666619</v>
      </c>
      <c r="AO600" s="1">
        <v>5058427</v>
      </c>
      <c r="AP600" s="1">
        <v>39608192</v>
      </c>
      <c r="AQ600" s="1">
        <v>8711070</v>
      </c>
      <c r="AR600" s="1">
        <v>1306661</v>
      </c>
      <c r="AS600" s="1">
        <v>0</v>
      </c>
      <c r="AT600" s="1">
        <f t="shared" si="62"/>
        <v>54684350</v>
      </c>
    </row>
    <row r="601" spans="1:46" x14ac:dyDescent="0.2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 t="shared" si="65"/>
        <v>قراردادي کارگري</v>
      </c>
      <c r="E601" s="1" t="str">
        <f t="shared" si="66"/>
        <v>پروژه تعميرات نيروگاه بوشهر</v>
      </c>
      <c r="F601" s="1">
        <v>6809826</v>
      </c>
      <c r="G601" s="1">
        <v>3472027</v>
      </c>
      <c r="H601" s="1">
        <v>0</v>
      </c>
      <c r="I601" s="1">
        <v>4698780</v>
      </c>
      <c r="J601" s="1">
        <v>0</v>
      </c>
      <c r="K601" s="1">
        <v>0</v>
      </c>
      <c r="L601" s="1">
        <v>3500010</v>
      </c>
      <c r="M601" s="1">
        <v>400000</v>
      </c>
      <c r="N601" s="1">
        <v>3631908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6931231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2222538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32766320</v>
      </c>
      <c r="AO601" s="1">
        <v>3694353</v>
      </c>
      <c r="AP601" s="1">
        <v>29071967</v>
      </c>
      <c r="AQ601" s="1">
        <v>6108756</v>
      </c>
      <c r="AR601" s="1">
        <v>916313</v>
      </c>
      <c r="AS601" s="1">
        <v>0</v>
      </c>
      <c r="AT601" s="1">
        <f t="shared" si="62"/>
        <v>39791389</v>
      </c>
    </row>
    <row r="602" spans="1:46" x14ac:dyDescent="0.2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 t="shared" si="65"/>
        <v>قراردادي کارگري</v>
      </c>
      <c r="E602" s="1" t="str">
        <f t="shared" si="66"/>
        <v>پروژه تعميرات نيروگاه بوشهر</v>
      </c>
      <c r="F602" s="1">
        <v>7023046</v>
      </c>
      <c r="G602" s="1">
        <v>1272396</v>
      </c>
      <c r="H602" s="1">
        <v>0</v>
      </c>
      <c r="I602" s="1">
        <v>5056593</v>
      </c>
      <c r="J602" s="1">
        <v>0</v>
      </c>
      <c r="K602" s="1">
        <v>0</v>
      </c>
      <c r="L602" s="1">
        <v>3519973</v>
      </c>
      <c r="M602" s="1">
        <v>400000</v>
      </c>
      <c r="N602" s="1">
        <v>3720819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4777199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29092564</v>
      </c>
      <c r="AO602" s="1">
        <v>2976776</v>
      </c>
      <c r="AP602" s="1">
        <v>26115788</v>
      </c>
      <c r="AQ602" s="1">
        <v>5374005</v>
      </c>
      <c r="AR602" s="1">
        <v>806101</v>
      </c>
      <c r="AS602" s="1">
        <v>0</v>
      </c>
      <c r="AT602" s="1">
        <f t="shared" si="62"/>
        <v>35272670</v>
      </c>
    </row>
    <row r="603" spans="1:46" x14ac:dyDescent="0.2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 t="shared" si="65"/>
        <v>قراردادي کارگري</v>
      </c>
      <c r="E603" s="1" t="str">
        <f t="shared" si="66"/>
        <v>پروژه تعميرات نيروگاه بوشهر</v>
      </c>
      <c r="F603" s="1">
        <v>5083323</v>
      </c>
      <c r="G603" s="1">
        <v>6040925</v>
      </c>
      <c r="H603" s="1">
        <v>0</v>
      </c>
      <c r="I603" s="1">
        <v>3609159</v>
      </c>
      <c r="J603" s="1">
        <v>0</v>
      </c>
      <c r="K603" s="1">
        <v>0</v>
      </c>
      <c r="L603" s="1">
        <v>3527600</v>
      </c>
      <c r="M603" s="1">
        <v>400000</v>
      </c>
      <c r="N603" s="1">
        <v>2675434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5639203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2234327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1982662</v>
      </c>
      <c r="AK603" s="1">
        <v>0</v>
      </c>
      <c r="AL603" s="1">
        <v>0</v>
      </c>
      <c r="AM603" s="1">
        <v>0</v>
      </c>
      <c r="AN603" s="1">
        <v>34515171</v>
      </c>
      <c r="AO603" s="1">
        <v>3277415</v>
      </c>
      <c r="AP603" s="1">
        <v>31237756</v>
      </c>
      <c r="AQ603" s="1">
        <v>6458527</v>
      </c>
      <c r="AR603" s="1">
        <v>968779</v>
      </c>
      <c r="AS603" s="1">
        <v>0</v>
      </c>
      <c r="AT603" s="1">
        <f t="shared" si="62"/>
        <v>41942477</v>
      </c>
    </row>
    <row r="604" spans="1:46" x14ac:dyDescent="0.2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 t="shared" si="65"/>
        <v>قراردادي کارگري</v>
      </c>
      <c r="E604" s="1" t="str">
        <f t="shared" si="66"/>
        <v>پروژه تعميرات نيروگاه بوشهر</v>
      </c>
      <c r="F604" s="1">
        <v>5996487</v>
      </c>
      <c r="G604" s="1">
        <v>2309468</v>
      </c>
      <c r="H604" s="1">
        <v>0</v>
      </c>
      <c r="I604" s="1">
        <v>3777787</v>
      </c>
      <c r="J604" s="1">
        <v>0</v>
      </c>
      <c r="K604" s="1">
        <v>0</v>
      </c>
      <c r="L604" s="1">
        <v>4718010</v>
      </c>
      <c r="M604" s="1">
        <v>400000</v>
      </c>
      <c r="N604" s="1">
        <v>2998243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6060968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3333807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30694770</v>
      </c>
      <c r="AO604" s="1">
        <v>2560023</v>
      </c>
      <c r="AP604" s="1">
        <v>28134747</v>
      </c>
      <c r="AQ604" s="1">
        <v>5472193</v>
      </c>
      <c r="AR604" s="1">
        <v>820829</v>
      </c>
      <c r="AS604" s="1">
        <v>0</v>
      </c>
      <c r="AT604" s="1">
        <f t="shared" si="62"/>
        <v>36987792</v>
      </c>
    </row>
    <row r="605" spans="1:46" x14ac:dyDescent="0.2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 t="shared" si="65"/>
        <v>قراردادي کارگري</v>
      </c>
      <c r="E605" s="1" t="str">
        <f t="shared" si="66"/>
        <v>پروژه تعميرات نيروگاه بوشهر</v>
      </c>
      <c r="F605" s="1">
        <v>5293209</v>
      </c>
      <c r="G605" s="1">
        <v>1382190</v>
      </c>
      <c r="H605" s="1">
        <v>0</v>
      </c>
      <c r="I605" s="1">
        <v>3493518</v>
      </c>
      <c r="J605" s="1">
        <v>0</v>
      </c>
      <c r="K605" s="1">
        <v>0</v>
      </c>
      <c r="L605" s="1">
        <v>3500010</v>
      </c>
      <c r="M605" s="1">
        <v>400000</v>
      </c>
      <c r="N605" s="1">
        <v>2785900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5287243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23242070</v>
      </c>
      <c r="AO605" s="1">
        <v>1666945</v>
      </c>
      <c r="AP605" s="1">
        <v>21575125</v>
      </c>
      <c r="AQ605" s="1">
        <v>4648414</v>
      </c>
      <c r="AR605" s="1">
        <v>697262</v>
      </c>
      <c r="AS605" s="1">
        <v>0</v>
      </c>
      <c r="AT605" s="1">
        <f t="shared" si="62"/>
        <v>28587746</v>
      </c>
    </row>
    <row r="606" spans="1:46" x14ac:dyDescent="0.2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 t="shared" si="65"/>
        <v>قراردادي کارگري</v>
      </c>
      <c r="E606" s="1" t="str">
        <f t="shared" si="66"/>
        <v>پروژه تعميرات نيروگاه بوشهر</v>
      </c>
      <c r="F606" s="1">
        <v>6537164</v>
      </c>
      <c r="G606" s="1">
        <v>3911766</v>
      </c>
      <c r="H606" s="1">
        <v>0</v>
      </c>
      <c r="I606" s="1">
        <v>4510644</v>
      </c>
      <c r="J606" s="1">
        <v>0</v>
      </c>
      <c r="K606" s="1">
        <v>0</v>
      </c>
      <c r="L606" s="1">
        <v>3500010</v>
      </c>
      <c r="M606" s="1">
        <v>400000</v>
      </c>
      <c r="N606" s="1">
        <v>3440612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6706258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2222538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32328992</v>
      </c>
      <c r="AO606" s="1">
        <v>2910137</v>
      </c>
      <c r="AP606" s="1">
        <v>29418855</v>
      </c>
      <c r="AQ606" s="1">
        <v>6021291</v>
      </c>
      <c r="AR606" s="1">
        <v>903194</v>
      </c>
      <c r="AS606" s="1">
        <v>0</v>
      </c>
      <c r="AT606" s="1">
        <f t="shared" si="62"/>
        <v>39253477</v>
      </c>
    </row>
    <row r="607" spans="1:46" x14ac:dyDescent="0.2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 t="shared" si="65"/>
        <v>قراردادي کارگري</v>
      </c>
      <c r="E607" s="1" t="str">
        <f t="shared" si="66"/>
        <v>پروژه تعميرات نيروگاه بوشهر</v>
      </c>
      <c r="F607" s="1">
        <v>7504737</v>
      </c>
      <c r="G607" s="1">
        <v>6267990</v>
      </c>
      <c r="H607" s="1">
        <v>0</v>
      </c>
      <c r="I607" s="1">
        <v>6078837</v>
      </c>
      <c r="J607" s="1">
        <v>0</v>
      </c>
      <c r="K607" s="1">
        <v>0</v>
      </c>
      <c r="L607" s="1">
        <v>3345440</v>
      </c>
      <c r="M607" s="1">
        <v>400000</v>
      </c>
      <c r="N607" s="1">
        <v>4002526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5035847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3247998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2507196</v>
      </c>
      <c r="AK607" s="1">
        <v>0</v>
      </c>
      <c r="AL607" s="1">
        <v>0</v>
      </c>
      <c r="AM607" s="1">
        <v>0</v>
      </c>
      <c r="AN607" s="1">
        <v>41713109</v>
      </c>
      <c r="AO607" s="1">
        <v>6437404</v>
      </c>
      <c r="AP607" s="1">
        <v>35275705</v>
      </c>
      <c r="AQ607" s="1">
        <v>7898114</v>
      </c>
      <c r="AR607" s="1">
        <v>1184717</v>
      </c>
      <c r="AS607" s="1">
        <v>0</v>
      </c>
      <c r="AT607" s="1">
        <f t="shared" si="62"/>
        <v>50795940</v>
      </c>
    </row>
    <row r="608" spans="1:46" x14ac:dyDescent="0.2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 t="shared" si="65"/>
        <v>قراردادي کارگري</v>
      </c>
      <c r="E608" s="1" t="str">
        <f t="shared" si="66"/>
        <v>پروژه تعميرات نيروگاه بوشهر</v>
      </c>
      <c r="F608" s="1">
        <v>5794886</v>
      </c>
      <c r="G608" s="1">
        <v>3769651</v>
      </c>
      <c r="H608" s="1">
        <v>0</v>
      </c>
      <c r="I608" s="1">
        <v>4172318</v>
      </c>
      <c r="J608" s="1">
        <v>0</v>
      </c>
      <c r="K608" s="1">
        <v>0</v>
      </c>
      <c r="L608" s="1">
        <v>3500010</v>
      </c>
      <c r="M608" s="1">
        <v>400000</v>
      </c>
      <c r="N608" s="1">
        <v>3049940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6198668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30208011</v>
      </c>
      <c r="AO608" s="1">
        <v>2553813</v>
      </c>
      <c r="AP608" s="1">
        <v>27654198</v>
      </c>
      <c r="AQ608" s="1">
        <v>5597095</v>
      </c>
      <c r="AR608" s="1">
        <v>839564</v>
      </c>
      <c r="AS608" s="1">
        <v>0</v>
      </c>
      <c r="AT608" s="1">
        <f t="shared" si="62"/>
        <v>36644670</v>
      </c>
    </row>
    <row r="609" spans="1:46" x14ac:dyDescent="0.2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 t="shared" si="65"/>
        <v>قراردادي کارگري</v>
      </c>
      <c r="E609" s="1" t="str">
        <f t="shared" si="66"/>
        <v>پروژه تعميرات نيروگاه بوشهر</v>
      </c>
      <c r="F609" s="1">
        <v>7288094</v>
      </c>
      <c r="G609" s="1">
        <v>6109732</v>
      </c>
      <c r="H609" s="1">
        <v>0</v>
      </c>
      <c r="I609" s="1">
        <v>5830475</v>
      </c>
      <c r="J609" s="1">
        <v>0</v>
      </c>
      <c r="K609" s="1">
        <v>0</v>
      </c>
      <c r="L609" s="1">
        <v>3345440</v>
      </c>
      <c r="M609" s="1">
        <v>400000</v>
      </c>
      <c r="N609" s="1">
        <v>3886984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5777263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34849257</v>
      </c>
      <c r="AO609" s="1">
        <v>3409109</v>
      </c>
      <c r="AP609" s="1">
        <v>31440148</v>
      </c>
      <c r="AQ609" s="1">
        <v>6747598</v>
      </c>
      <c r="AR609" s="1">
        <v>1012140</v>
      </c>
      <c r="AS609" s="1">
        <v>0</v>
      </c>
      <c r="AT609" s="1">
        <f t="shared" si="62"/>
        <v>42608995</v>
      </c>
    </row>
    <row r="610" spans="1:46" x14ac:dyDescent="0.2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 t="shared" si="65"/>
        <v>قراردادي کارگري</v>
      </c>
      <c r="E610" s="1" t="str">
        <f t="shared" si="66"/>
        <v>پروژه تعميرات نيروگاه بوشهر</v>
      </c>
      <c r="F610" s="1">
        <v>7182551</v>
      </c>
      <c r="G610" s="1">
        <v>3583545</v>
      </c>
      <c r="H610" s="1">
        <v>0</v>
      </c>
      <c r="I610" s="1">
        <v>5817866</v>
      </c>
      <c r="J610" s="1">
        <v>0</v>
      </c>
      <c r="K610" s="1">
        <v>0</v>
      </c>
      <c r="L610" s="1">
        <v>3345440</v>
      </c>
      <c r="M610" s="1">
        <v>400000</v>
      </c>
      <c r="N610" s="1">
        <v>3830693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9515682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3130844</v>
      </c>
      <c r="AE610" s="1">
        <v>0</v>
      </c>
      <c r="AF610" s="1">
        <v>2222538</v>
      </c>
      <c r="AG610" s="1">
        <v>0</v>
      </c>
      <c r="AH610" s="1">
        <v>0</v>
      </c>
      <c r="AI610" s="1">
        <v>0</v>
      </c>
      <c r="AJ610" s="1">
        <v>2866836</v>
      </c>
      <c r="AK610" s="1">
        <v>0</v>
      </c>
      <c r="AL610" s="1">
        <v>0</v>
      </c>
      <c r="AM610" s="1">
        <v>0</v>
      </c>
      <c r="AN610" s="1">
        <v>42995995</v>
      </c>
      <c r="AO610" s="1">
        <v>4702195</v>
      </c>
      <c r="AP610" s="1">
        <v>38293800</v>
      </c>
      <c r="AQ610" s="1">
        <v>8154691</v>
      </c>
      <c r="AR610" s="1">
        <v>1223204</v>
      </c>
      <c r="AS610" s="1">
        <v>0</v>
      </c>
      <c r="AT610" s="1">
        <f t="shared" si="62"/>
        <v>52373890</v>
      </c>
    </row>
    <row r="611" spans="1:46" x14ac:dyDescent="0.2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 t="shared" si="65"/>
        <v>قراردادي کارگري</v>
      </c>
      <c r="E611" s="1" t="str">
        <f t="shared" si="66"/>
        <v>پروژه تعميرات نيروگاه بوشهر</v>
      </c>
      <c r="F611" s="1">
        <v>7970124</v>
      </c>
      <c r="G611" s="1">
        <v>6868624</v>
      </c>
      <c r="H611" s="1">
        <v>0</v>
      </c>
      <c r="I611" s="1">
        <v>5738489</v>
      </c>
      <c r="J611" s="1">
        <v>0</v>
      </c>
      <c r="K611" s="1">
        <v>0</v>
      </c>
      <c r="L611" s="1">
        <v>3500010</v>
      </c>
      <c r="M611" s="1">
        <v>400000</v>
      </c>
      <c r="N611" s="1">
        <v>4087243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7709764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1347147</v>
      </c>
      <c r="AD611" s="1">
        <v>0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40943939</v>
      </c>
      <c r="AO611" s="1">
        <v>7408296</v>
      </c>
      <c r="AP611" s="1">
        <v>33535643</v>
      </c>
      <c r="AQ611" s="1">
        <v>7744280</v>
      </c>
      <c r="AR611" s="1">
        <v>1161642</v>
      </c>
      <c r="AS611" s="1">
        <v>0</v>
      </c>
      <c r="AT611" s="1">
        <f t="shared" si="62"/>
        <v>49849861</v>
      </c>
    </row>
    <row r="612" spans="1:46" x14ac:dyDescent="0.2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"قراردادي بهره بردار"</f>
        <v>قراردادي بهره بردار</v>
      </c>
      <c r="E612" s="1" t="str">
        <f>"پروژه بهره برداري نيروگاه بوشهر"</f>
        <v>پروژه بهره برداري نيروگاه بوشهر</v>
      </c>
      <c r="F612" s="1">
        <v>8432863</v>
      </c>
      <c r="G612" s="1">
        <v>1399043</v>
      </c>
      <c r="H612" s="1">
        <v>0</v>
      </c>
      <c r="I612" s="1">
        <v>4404902</v>
      </c>
      <c r="J612" s="1">
        <v>0</v>
      </c>
      <c r="K612" s="1">
        <v>4620000</v>
      </c>
      <c r="L612" s="1">
        <v>0</v>
      </c>
      <c r="M612" s="1">
        <v>400000</v>
      </c>
      <c r="N612" s="1">
        <v>1240486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1342000</v>
      </c>
      <c r="U612" s="1">
        <v>0</v>
      </c>
      <c r="V612" s="1">
        <v>1873466</v>
      </c>
      <c r="W612" s="1">
        <v>1100000</v>
      </c>
      <c r="X612" s="1">
        <v>1308548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886061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3770344</v>
      </c>
      <c r="AM612" s="1">
        <v>0</v>
      </c>
      <c r="AN612" s="1">
        <v>30777713</v>
      </c>
      <c r="AO612" s="1">
        <v>4370368</v>
      </c>
      <c r="AP612" s="1">
        <v>26407345</v>
      </c>
      <c r="AQ612" s="1">
        <v>5887143</v>
      </c>
      <c r="AR612" s="1">
        <v>883071</v>
      </c>
      <c r="AS612" s="1">
        <v>0</v>
      </c>
      <c r="AT612" s="1">
        <f t="shared" si="62"/>
        <v>37547927</v>
      </c>
    </row>
    <row r="613" spans="1:46" x14ac:dyDescent="0.2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"قراردادي کارگري"</f>
        <v>قراردادي کارگري</v>
      </c>
      <c r="E613" s="1" t="str">
        <f t="shared" ref="E613:E622" si="67">"پروژه تعميرات نيروگاه بوشهر"</f>
        <v>پروژه تعميرات نيروگاه بوشهر</v>
      </c>
      <c r="F613" s="1">
        <v>5185707</v>
      </c>
      <c r="G613" s="1">
        <v>3865590</v>
      </c>
      <c r="H613" s="1">
        <v>0</v>
      </c>
      <c r="I613" s="1">
        <v>3163281</v>
      </c>
      <c r="J613" s="1">
        <v>0</v>
      </c>
      <c r="K613" s="1">
        <v>0</v>
      </c>
      <c r="L613" s="1">
        <v>3502195</v>
      </c>
      <c r="M613" s="1">
        <v>400000</v>
      </c>
      <c r="N613" s="1">
        <v>2729320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5129761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2262492</v>
      </c>
      <c r="AE613" s="1">
        <v>0</v>
      </c>
      <c r="AF613" s="1">
        <v>1111269</v>
      </c>
      <c r="AG613" s="1">
        <v>0</v>
      </c>
      <c r="AH613" s="1">
        <v>0</v>
      </c>
      <c r="AI613" s="1">
        <v>0</v>
      </c>
      <c r="AJ613" s="1">
        <v>2854590</v>
      </c>
      <c r="AK613" s="1">
        <v>0</v>
      </c>
      <c r="AL613" s="1">
        <v>0</v>
      </c>
      <c r="AM613" s="1">
        <v>0</v>
      </c>
      <c r="AN613" s="1">
        <v>31304205</v>
      </c>
      <c r="AO613" s="1">
        <v>3347100</v>
      </c>
      <c r="AP613" s="1">
        <v>27957105</v>
      </c>
      <c r="AQ613" s="1">
        <v>6038587</v>
      </c>
      <c r="AR613" s="1">
        <v>905788</v>
      </c>
      <c r="AS613" s="1">
        <v>0</v>
      </c>
      <c r="AT613" s="1">
        <f t="shared" si="62"/>
        <v>38248580</v>
      </c>
    </row>
    <row r="614" spans="1:46" x14ac:dyDescent="0.2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7"/>
        <v>پروژه تعميرات نيروگاه بوشهر</v>
      </c>
      <c r="F614" s="1">
        <v>7426969</v>
      </c>
      <c r="G614" s="1">
        <v>5394761</v>
      </c>
      <c r="H614" s="1">
        <v>0</v>
      </c>
      <c r="I614" s="1">
        <v>5941574</v>
      </c>
      <c r="J614" s="1">
        <v>0</v>
      </c>
      <c r="K614" s="1">
        <v>0</v>
      </c>
      <c r="L614" s="1">
        <v>3345440</v>
      </c>
      <c r="M614" s="1">
        <v>400000</v>
      </c>
      <c r="N614" s="1">
        <v>3961050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4867507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32437301</v>
      </c>
      <c r="AO614" s="1">
        <v>3715388</v>
      </c>
      <c r="AP614" s="1">
        <v>28721913</v>
      </c>
      <c r="AQ614" s="1">
        <v>6487460</v>
      </c>
      <c r="AR614" s="1">
        <v>973119</v>
      </c>
      <c r="AS614" s="1">
        <v>0</v>
      </c>
      <c r="AT614" s="1">
        <f t="shared" si="62"/>
        <v>39897880</v>
      </c>
    </row>
    <row r="615" spans="1:46" x14ac:dyDescent="0.2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7"/>
        <v>پروژه تعميرات نيروگاه بوشهر</v>
      </c>
      <c r="F615" s="1">
        <v>5041696</v>
      </c>
      <c r="G615" s="1">
        <v>7317598</v>
      </c>
      <c r="H615" s="1">
        <v>0</v>
      </c>
      <c r="I615" s="1">
        <v>3226686</v>
      </c>
      <c r="J615" s="1">
        <v>0</v>
      </c>
      <c r="K615" s="1">
        <v>0</v>
      </c>
      <c r="L615" s="1">
        <v>5189558</v>
      </c>
      <c r="M615" s="1">
        <v>400000</v>
      </c>
      <c r="N615" s="1">
        <v>2688905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5411030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3333807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33709280</v>
      </c>
      <c r="AO615" s="1">
        <v>3607118</v>
      </c>
      <c r="AP615" s="1">
        <v>30102162</v>
      </c>
      <c r="AQ615" s="1">
        <v>6075095</v>
      </c>
      <c r="AR615" s="1">
        <v>911264</v>
      </c>
      <c r="AS615" s="1">
        <v>0</v>
      </c>
      <c r="AT615" s="1">
        <f t="shared" si="62"/>
        <v>40695639</v>
      </c>
    </row>
    <row r="616" spans="1:46" x14ac:dyDescent="0.2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"قراردادي بهره بردار"</f>
        <v>قراردادي بهره بردار</v>
      </c>
      <c r="E616" s="1" t="str">
        <f t="shared" si="67"/>
        <v>پروژه تعميرات نيروگاه بوشهر</v>
      </c>
      <c r="F616" s="1">
        <v>10840661</v>
      </c>
      <c r="G616" s="1">
        <v>250881</v>
      </c>
      <c r="H616" s="1">
        <v>0</v>
      </c>
      <c r="I616" s="1">
        <v>8199008</v>
      </c>
      <c r="J616" s="1">
        <v>0</v>
      </c>
      <c r="K616" s="1">
        <v>3465000</v>
      </c>
      <c r="L616" s="1">
        <v>0</v>
      </c>
      <c r="M616" s="1">
        <v>400000</v>
      </c>
      <c r="N616" s="1">
        <v>1918552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5997648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1370395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4933419</v>
      </c>
      <c r="AM616" s="1">
        <v>0</v>
      </c>
      <c r="AN616" s="1">
        <v>38475564</v>
      </c>
      <c r="AO616" s="1">
        <v>5024842</v>
      </c>
      <c r="AP616" s="1">
        <v>33450722</v>
      </c>
      <c r="AQ616" s="1">
        <v>7695113</v>
      </c>
      <c r="AR616" s="1">
        <v>1154267</v>
      </c>
      <c r="AS616" s="1">
        <v>0</v>
      </c>
      <c r="AT616" s="1">
        <f t="shared" si="62"/>
        <v>47324944</v>
      </c>
    </row>
    <row r="617" spans="1:46" x14ac:dyDescent="0.2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 t="shared" ref="D617:D622" si="68">"قراردادي کارگري"</f>
        <v>قراردادي کارگري</v>
      </c>
      <c r="E617" s="1" t="str">
        <f t="shared" si="67"/>
        <v>پروژه تعميرات نيروگاه بوشهر</v>
      </c>
      <c r="F617" s="1">
        <v>5718099</v>
      </c>
      <c r="G617" s="1">
        <v>0</v>
      </c>
      <c r="H617" s="1">
        <v>0</v>
      </c>
      <c r="I617" s="1">
        <v>4059850</v>
      </c>
      <c r="J617" s="1">
        <v>0</v>
      </c>
      <c r="K617" s="1">
        <v>0</v>
      </c>
      <c r="L617" s="1">
        <v>3500010</v>
      </c>
      <c r="M617" s="1">
        <v>400000</v>
      </c>
      <c r="N617" s="1">
        <v>3009525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3990934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1111269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22889687</v>
      </c>
      <c r="AO617" s="1">
        <v>1564489</v>
      </c>
      <c r="AP617" s="1">
        <v>21325198</v>
      </c>
      <c r="AQ617" s="1">
        <v>4355684</v>
      </c>
      <c r="AR617" s="1">
        <v>653353</v>
      </c>
      <c r="AS617" s="1">
        <v>0</v>
      </c>
      <c r="AT617" s="1">
        <f t="shared" si="62"/>
        <v>27898724</v>
      </c>
    </row>
    <row r="618" spans="1:46" x14ac:dyDescent="0.2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 t="shared" si="68"/>
        <v>قراردادي کارگري</v>
      </c>
      <c r="E618" s="1" t="str">
        <f t="shared" si="67"/>
        <v>پروژه تعميرات نيروگاه بوشهر</v>
      </c>
      <c r="F618" s="1">
        <v>5784647</v>
      </c>
      <c r="G618" s="1">
        <v>2354521</v>
      </c>
      <c r="H618" s="1">
        <v>0</v>
      </c>
      <c r="I618" s="1">
        <v>3875714</v>
      </c>
      <c r="J618" s="1">
        <v>0</v>
      </c>
      <c r="K618" s="1">
        <v>0</v>
      </c>
      <c r="L618" s="1">
        <v>3500010</v>
      </c>
      <c r="M618" s="1">
        <v>400000</v>
      </c>
      <c r="N618" s="1">
        <v>3044551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6090948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26150391</v>
      </c>
      <c r="AO618" s="1">
        <v>2023266</v>
      </c>
      <c r="AP618" s="1">
        <v>24127125</v>
      </c>
      <c r="AQ618" s="1">
        <v>5230078</v>
      </c>
      <c r="AR618" s="1">
        <v>784512</v>
      </c>
      <c r="AS618" s="1">
        <v>0</v>
      </c>
      <c r="AT618" s="1">
        <f t="shared" si="62"/>
        <v>32164981</v>
      </c>
    </row>
    <row r="619" spans="1:46" x14ac:dyDescent="0.2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 t="shared" si="68"/>
        <v>قراردادي کارگري</v>
      </c>
      <c r="E619" s="1" t="str">
        <f t="shared" si="67"/>
        <v>پروژه تعميرات نيروگاه بوشهر</v>
      </c>
      <c r="F619" s="1">
        <v>5656668</v>
      </c>
      <c r="G619" s="1">
        <v>493963</v>
      </c>
      <c r="H619" s="1">
        <v>0</v>
      </c>
      <c r="I619" s="1">
        <v>4185935</v>
      </c>
      <c r="J619" s="1">
        <v>0</v>
      </c>
      <c r="K619" s="1">
        <v>0</v>
      </c>
      <c r="L619" s="1">
        <v>3500010</v>
      </c>
      <c r="M619" s="1">
        <v>400000</v>
      </c>
      <c r="N619" s="1">
        <v>2977194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5508641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2222538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26044949</v>
      </c>
      <c r="AO619" s="1">
        <v>1854419</v>
      </c>
      <c r="AP619" s="1">
        <v>24190530</v>
      </c>
      <c r="AQ619" s="1">
        <v>4764482</v>
      </c>
      <c r="AR619" s="1">
        <v>714672</v>
      </c>
      <c r="AS619" s="1">
        <v>0</v>
      </c>
      <c r="AT619" s="1">
        <f t="shared" si="62"/>
        <v>31524103</v>
      </c>
    </row>
    <row r="620" spans="1:46" x14ac:dyDescent="0.2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 t="shared" si="68"/>
        <v>قراردادي کارگري</v>
      </c>
      <c r="E620" s="1" t="str">
        <f t="shared" si="67"/>
        <v>پروژه تعميرات نيروگاه بوشهر</v>
      </c>
      <c r="F620" s="1">
        <v>7008125</v>
      </c>
      <c r="G620" s="1">
        <v>3659856</v>
      </c>
      <c r="H620" s="1">
        <v>0</v>
      </c>
      <c r="I620" s="1">
        <v>6026988</v>
      </c>
      <c r="J620" s="1">
        <v>0</v>
      </c>
      <c r="K620" s="1">
        <v>0</v>
      </c>
      <c r="L620" s="1">
        <v>3345440</v>
      </c>
      <c r="M620" s="1">
        <v>400000</v>
      </c>
      <c r="N620" s="1">
        <v>3688488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6886093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33226259</v>
      </c>
      <c r="AO620" s="1">
        <v>4646445</v>
      </c>
      <c r="AP620" s="1">
        <v>28579814</v>
      </c>
      <c r="AQ620" s="1">
        <v>6422998</v>
      </c>
      <c r="AR620" s="1">
        <v>963450</v>
      </c>
      <c r="AS620" s="1">
        <v>0</v>
      </c>
      <c r="AT620" s="1">
        <f t="shared" si="62"/>
        <v>40612707</v>
      </c>
    </row>
    <row r="621" spans="1:46" x14ac:dyDescent="0.2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 t="shared" si="68"/>
        <v>قراردادي کارگري</v>
      </c>
      <c r="E621" s="1" t="str">
        <f t="shared" si="67"/>
        <v>پروژه تعميرات نيروگاه بوشهر</v>
      </c>
      <c r="F621" s="1">
        <v>6967106</v>
      </c>
      <c r="G621" s="1">
        <v>1772058</v>
      </c>
      <c r="H621" s="1">
        <v>0</v>
      </c>
      <c r="I621" s="1">
        <v>4876974</v>
      </c>
      <c r="J621" s="1">
        <v>0</v>
      </c>
      <c r="K621" s="1">
        <v>0</v>
      </c>
      <c r="L621" s="1">
        <v>3500010</v>
      </c>
      <c r="M621" s="1">
        <v>400000</v>
      </c>
      <c r="N621" s="1">
        <v>3691182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7067419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2222538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31597287</v>
      </c>
      <c r="AO621" s="1">
        <v>2787212</v>
      </c>
      <c r="AP621" s="1">
        <v>28810075</v>
      </c>
      <c r="AQ621" s="1">
        <v>5874950</v>
      </c>
      <c r="AR621" s="1">
        <v>881242</v>
      </c>
      <c r="AS621" s="1">
        <v>0</v>
      </c>
      <c r="AT621" s="1">
        <f t="shared" si="62"/>
        <v>38353479</v>
      </c>
    </row>
    <row r="622" spans="1:46" x14ac:dyDescent="0.2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 t="shared" si="68"/>
        <v>قراردادي کارگري</v>
      </c>
      <c r="E622" s="1" t="str">
        <f t="shared" si="67"/>
        <v>پروژه تعميرات نيروگاه بوشهر</v>
      </c>
      <c r="F622" s="1">
        <v>5262494</v>
      </c>
      <c r="G622" s="1">
        <v>2677810</v>
      </c>
      <c r="H622" s="1">
        <v>0</v>
      </c>
      <c r="I622" s="1">
        <v>3683745</v>
      </c>
      <c r="J622" s="1">
        <v>0</v>
      </c>
      <c r="K622" s="1">
        <v>0</v>
      </c>
      <c r="L622" s="1">
        <v>3500010</v>
      </c>
      <c r="M622" s="1">
        <v>400000</v>
      </c>
      <c r="N622" s="1">
        <v>2769734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5666434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25060227</v>
      </c>
      <c r="AO622" s="1">
        <v>1794216</v>
      </c>
      <c r="AP622" s="1">
        <v>23266011</v>
      </c>
      <c r="AQ622" s="1">
        <v>5012045</v>
      </c>
      <c r="AR622" s="1">
        <v>751807</v>
      </c>
      <c r="AS622" s="1">
        <v>0</v>
      </c>
      <c r="AT622" s="1">
        <f t="shared" si="62"/>
        <v>30824079</v>
      </c>
    </row>
    <row r="623" spans="1:46" x14ac:dyDescent="0.2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"قراردادي بهره بردار"</f>
        <v>قراردادي بهره بردار</v>
      </c>
      <c r="E623" s="1" t="str">
        <f>"پروژه بهره برداري نيروگاه بوشهر"</f>
        <v>پروژه بهره برداري نيروگاه بوشهر</v>
      </c>
      <c r="F623" s="1">
        <v>14420435</v>
      </c>
      <c r="G623" s="1">
        <v>5754029</v>
      </c>
      <c r="H623" s="1">
        <v>0</v>
      </c>
      <c r="I623" s="1">
        <v>9976700</v>
      </c>
      <c r="J623" s="1">
        <v>0</v>
      </c>
      <c r="K623" s="1">
        <v>5500000</v>
      </c>
      <c r="L623" s="1">
        <v>0</v>
      </c>
      <c r="M623" s="1">
        <v>400000</v>
      </c>
      <c r="N623" s="1">
        <v>2305087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1342000</v>
      </c>
      <c r="U623" s="1">
        <v>0</v>
      </c>
      <c r="V623" s="1">
        <v>5670953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1646490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2305087</v>
      </c>
      <c r="AM623" s="1">
        <v>0</v>
      </c>
      <c r="AN623" s="1">
        <v>50420781</v>
      </c>
      <c r="AO623" s="1">
        <v>8226528</v>
      </c>
      <c r="AP623" s="1">
        <v>42194253</v>
      </c>
      <c r="AQ623" s="1">
        <v>9815756</v>
      </c>
      <c r="AR623" s="1">
        <v>1472363</v>
      </c>
      <c r="AS623" s="1">
        <v>0</v>
      </c>
      <c r="AT623" s="1">
        <f t="shared" si="62"/>
        <v>61708900</v>
      </c>
    </row>
    <row r="624" spans="1:46" x14ac:dyDescent="0.2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5912626</v>
      </c>
      <c r="G624" s="1">
        <v>941901</v>
      </c>
      <c r="H624" s="1">
        <v>0</v>
      </c>
      <c r="I624" s="1">
        <v>4375344</v>
      </c>
      <c r="J624" s="1">
        <v>0</v>
      </c>
      <c r="K624" s="1">
        <v>0</v>
      </c>
      <c r="L624" s="1">
        <v>3500010</v>
      </c>
      <c r="M624" s="1">
        <v>400000</v>
      </c>
      <c r="N624" s="1">
        <v>3111909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8073951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3333807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30749548</v>
      </c>
      <c r="AO624" s="1">
        <v>2569225</v>
      </c>
      <c r="AP624" s="1">
        <v>28180323</v>
      </c>
      <c r="AQ624" s="1">
        <v>5483148</v>
      </c>
      <c r="AR624" s="1">
        <v>822472</v>
      </c>
      <c r="AS624" s="1">
        <v>0</v>
      </c>
      <c r="AT624" s="1">
        <f t="shared" si="62"/>
        <v>37055168</v>
      </c>
    </row>
    <row r="625" spans="1:46" x14ac:dyDescent="0.2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6128002</v>
      </c>
      <c r="G625" s="1">
        <v>1151257</v>
      </c>
      <c r="H625" s="1">
        <v>0</v>
      </c>
      <c r="I625" s="1">
        <v>4412162</v>
      </c>
      <c r="J625" s="1">
        <v>0</v>
      </c>
      <c r="K625" s="1">
        <v>0</v>
      </c>
      <c r="L625" s="1">
        <v>3500010</v>
      </c>
      <c r="M625" s="1">
        <v>400000</v>
      </c>
      <c r="N625" s="1">
        <v>3246623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8150506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2222538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30311098</v>
      </c>
      <c r="AO625" s="1">
        <v>2571132</v>
      </c>
      <c r="AP625" s="1">
        <v>27739966</v>
      </c>
      <c r="AQ625" s="1">
        <v>5617712</v>
      </c>
      <c r="AR625" s="1">
        <v>842657</v>
      </c>
      <c r="AS625" s="1">
        <v>0</v>
      </c>
      <c r="AT625" s="1">
        <f t="shared" si="62"/>
        <v>36771467</v>
      </c>
    </row>
    <row r="626" spans="1:46" x14ac:dyDescent="0.2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7531594</v>
      </c>
      <c r="G626" s="1">
        <v>1142597</v>
      </c>
      <c r="H626" s="1">
        <v>0</v>
      </c>
      <c r="I626" s="1">
        <v>5573380</v>
      </c>
      <c r="J626" s="1">
        <v>0</v>
      </c>
      <c r="K626" s="1">
        <v>0</v>
      </c>
      <c r="L626" s="1">
        <v>3500010</v>
      </c>
      <c r="M626" s="1">
        <v>400000</v>
      </c>
      <c r="N626" s="1">
        <v>3990248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9699902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32937731</v>
      </c>
      <c r="AO626" s="1">
        <v>3163538</v>
      </c>
      <c r="AP626" s="1">
        <v>29774193</v>
      </c>
      <c r="AQ626" s="1">
        <v>6587546</v>
      </c>
      <c r="AR626" s="1">
        <v>988132</v>
      </c>
      <c r="AS626" s="1">
        <v>0</v>
      </c>
      <c r="AT626" s="1">
        <f t="shared" si="62"/>
        <v>40513409</v>
      </c>
    </row>
    <row r="627" spans="1:46" x14ac:dyDescent="0.2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9568321</v>
      </c>
      <c r="G627" s="1">
        <v>173490</v>
      </c>
      <c r="H627" s="1">
        <v>0</v>
      </c>
      <c r="I627" s="1">
        <v>6636634</v>
      </c>
      <c r="J627" s="1">
        <v>0</v>
      </c>
      <c r="K627" s="1">
        <v>3465000</v>
      </c>
      <c r="L627" s="1">
        <v>0</v>
      </c>
      <c r="M627" s="1">
        <v>400000</v>
      </c>
      <c r="N627" s="1">
        <v>1646403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2090896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1176002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1881603</v>
      </c>
      <c r="AM627" s="1">
        <v>0</v>
      </c>
      <c r="AN627" s="1">
        <v>28138349</v>
      </c>
      <c r="AO627" s="1">
        <v>3828360</v>
      </c>
      <c r="AP627" s="1">
        <v>24309989</v>
      </c>
      <c r="AQ627" s="1">
        <v>5627670</v>
      </c>
      <c r="AR627" s="1">
        <v>844150</v>
      </c>
      <c r="AS627" s="1">
        <v>0</v>
      </c>
      <c r="AT627" s="1">
        <f t="shared" si="62"/>
        <v>34610169</v>
      </c>
    </row>
    <row r="628" spans="1:46" x14ac:dyDescent="0.2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 t="shared" ref="D628:D642" si="69">"قراردادي کارگري"</f>
        <v>قراردادي کارگري</v>
      </c>
      <c r="E628" s="1" t="str">
        <f t="shared" ref="E628:E652" si="70">"پروژه تعميرات نيروگاه بوشهر"</f>
        <v>پروژه تعميرات نيروگاه بوشهر</v>
      </c>
      <c r="F628" s="1">
        <v>10326652</v>
      </c>
      <c r="G628" s="1">
        <v>3825476</v>
      </c>
      <c r="H628" s="1">
        <v>0</v>
      </c>
      <c r="I628" s="1">
        <v>8571121</v>
      </c>
      <c r="J628" s="1">
        <v>0</v>
      </c>
      <c r="K628" s="1">
        <v>0</v>
      </c>
      <c r="L628" s="1">
        <v>3345440</v>
      </c>
      <c r="M628" s="1">
        <v>400000</v>
      </c>
      <c r="N628" s="1">
        <v>5507547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6059158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2222538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41357932</v>
      </c>
      <c r="AO628" s="1">
        <v>5274542</v>
      </c>
      <c r="AP628" s="1">
        <v>36083390</v>
      </c>
      <c r="AQ628" s="1">
        <v>7827079</v>
      </c>
      <c r="AR628" s="1">
        <v>1174062</v>
      </c>
      <c r="AS628" s="1">
        <v>0</v>
      </c>
      <c r="AT628" s="1">
        <f t="shared" si="62"/>
        <v>50359073</v>
      </c>
    </row>
    <row r="629" spans="1:46" x14ac:dyDescent="0.2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 t="shared" si="69"/>
        <v>قراردادي کارگري</v>
      </c>
      <c r="E629" s="1" t="str">
        <f t="shared" si="70"/>
        <v>پروژه تعميرات نيروگاه بوشهر</v>
      </c>
      <c r="F629" s="1">
        <v>6644667</v>
      </c>
      <c r="G629" s="1">
        <v>1844616</v>
      </c>
      <c r="H629" s="1">
        <v>0</v>
      </c>
      <c r="I629" s="1">
        <v>4784160</v>
      </c>
      <c r="J629" s="1">
        <v>0</v>
      </c>
      <c r="K629" s="1">
        <v>0</v>
      </c>
      <c r="L629" s="1">
        <v>3500010</v>
      </c>
      <c r="M629" s="1">
        <v>400000</v>
      </c>
      <c r="N629" s="1">
        <v>3497193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8745453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2763904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2623453</v>
      </c>
      <c r="AK629" s="1">
        <v>0</v>
      </c>
      <c r="AL629" s="1">
        <v>0</v>
      </c>
      <c r="AM629" s="1">
        <v>0</v>
      </c>
      <c r="AN629" s="1">
        <v>38125994</v>
      </c>
      <c r="AO629" s="1">
        <v>3884035</v>
      </c>
      <c r="AP629" s="1">
        <v>34241959</v>
      </c>
      <c r="AQ629" s="1">
        <v>7180691</v>
      </c>
      <c r="AR629" s="1">
        <v>1077104</v>
      </c>
      <c r="AS629" s="1">
        <v>0</v>
      </c>
      <c r="AT629" s="1">
        <f t="shared" si="62"/>
        <v>46383789</v>
      </c>
    </row>
    <row r="630" spans="1:46" x14ac:dyDescent="0.2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 t="shared" si="69"/>
        <v>قراردادي کارگري</v>
      </c>
      <c r="E630" s="1" t="str">
        <f t="shared" si="70"/>
        <v>پروژه تعميرات نيروگاه بوشهر</v>
      </c>
      <c r="F630" s="1">
        <v>4986127</v>
      </c>
      <c r="G630" s="1">
        <v>1401495</v>
      </c>
      <c r="H630" s="1">
        <v>0</v>
      </c>
      <c r="I630" s="1">
        <v>3041537</v>
      </c>
      <c r="J630" s="1">
        <v>0</v>
      </c>
      <c r="K630" s="1">
        <v>0</v>
      </c>
      <c r="L630" s="1">
        <v>5164531</v>
      </c>
      <c r="M630" s="1">
        <v>400000</v>
      </c>
      <c r="N630" s="1">
        <v>2493063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7539514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2352789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3363588</v>
      </c>
      <c r="AK630" s="1">
        <v>0</v>
      </c>
      <c r="AL630" s="1">
        <v>0</v>
      </c>
      <c r="AM630" s="1">
        <v>0</v>
      </c>
      <c r="AN630" s="1">
        <v>34065182</v>
      </c>
      <c r="AO630" s="1">
        <v>3201819</v>
      </c>
      <c r="AP630" s="1">
        <v>30863363</v>
      </c>
      <c r="AQ630" s="1">
        <v>6368529</v>
      </c>
      <c r="AR630" s="1">
        <v>955279</v>
      </c>
      <c r="AS630" s="1">
        <v>0</v>
      </c>
      <c r="AT630" s="1">
        <f t="shared" si="62"/>
        <v>41388990</v>
      </c>
    </row>
    <row r="631" spans="1:46" x14ac:dyDescent="0.2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 t="shared" si="69"/>
        <v>قراردادي کارگري</v>
      </c>
      <c r="E631" s="1" t="str">
        <f t="shared" si="70"/>
        <v>پروژه تعميرات نيروگاه بوشهر</v>
      </c>
      <c r="F631" s="1">
        <v>5513332</v>
      </c>
      <c r="G631" s="1">
        <v>1266264</v>
      </c>
      <c r="H631" s="1">
        <v>0</v>
      </c>
      <c r="I631" s="1">
        <v>4024733</v>
      </c>
      <c r="J631" s="1">
        <v>0</v>
      </c>
      <c r="K631" s="1">
        <v>0</v>
      </c>
      <c r="L631" s="1">
        <v>3770942</v>
      </c>
      <c r="M631" s="1">
        <v>400000</v>
      </c>
      <c r="N631" s="1">
        <v>2901754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7770735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2431614</v>
      </c>
      <c r="AE631" s="1">
        <v>0</v>
      </c>
      <c r="AF631" s="1">
        <v>3333807</v>
      </c>
      <c r="AG631" s="1">
        <v>0</v>
      </c>
      <c r="AH631" s="1">
        <v>0</v>
      </c>
      <c r="AI631" s="1">
        <v>0</v>
      </c>
      <c r="AJ631" s="1">
        <v>3473182</v>
      </c>
      <c r="AK631" s="1">
        <v>0</v>
      </c>
      <c r="AL631" s="1">
        <v>0</v>
      </c>
      <c r="AM631" s="1">
        <v>0</v>
      </c>
      <c r="AN631" s="1">
        <v>35986363</v>
      </c>
      <c r="AO631" s="1">
        <v>3449011</v>
      </c>
      <c r="AP631" s="1">
        <v>32537352</v>
      </c>
      <c r="AQ631" s="1">
        <v>6530511</v>
      </c>
      <c r="AR631" s="1">
        <v>979577</v>
      </c>
      <c r="AS631" s="1">
        <v>0</v>
      </c>
      <c r="AT631" s="1">
        <f t="shared" si="62"/>
        <v>43496451</v>
      </c>
    </row>
    <row r="632" spans="1:46" x14ac:dyDescent="0.2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 t="shared" si="69"/>
        <v>قراردادي کارگري</v>
      </c>
      <c r="E632" s="1" t="str">
        <f t="shared" si="70"/>
        <v>پروژه تعميرات نيروگاه بوشهر</v>
      </c>
      <c r="F632" s="1">
        <v>7348517</v>
      </c>
      <c r="G632" s="1">
        <v>1772888</v>
      </c>
      <c r="H632" s="1">
        <v>0</v>
      </c>
      <c r="I632" s="1">
        <v>5217447</v>
      </c>
      <c r="J632" s="1">
        <v>0</v>
      </c>
      <c r="K632" s="1">
        <v>0</v>
      </c>
      <c r="L632" s="1">
        <v>3500010</v>
      </c>
      <c r="M632" s="1">
        <v>400000</v>
      </c>
      <c r="N632" s="1">
        <v>3893254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9420060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2993884</v>
      </c>
      <c r="AE632" s="1">
        <v>0</v>
      </c>
      <c r="AF632" s="1">
        <v>2222538</v>
      </c>
      <c r="AG632" s="1">
        <v>0</v>
      </c>
      <c r="AH632" s="1">
        <v>0</v>
      </c>
      <c r="AI632" s="1">
        <v>0</v>
      </c>
      <c r="AJ632" s="1">
        <v>4254931</v>
      </c>
      <c r="AK632" s="1">
        <v>0</v>
      </c>
      <c r="AL632" s="1">
        <v>0</v>
      </c>
      <c r="AM632" s="1">
        <v>0</v>
      </c>
      <c r="AN632" s="1">
        <v>42123529</v>
      </c>
      <c r="AO632" s="1">
        <v>4555621</v>
      </c>
      <c r="AP632" s="1">
        <v>37567908</v>
      </c>
      <c r="AQ632" s="1">
        <v>7980198</v>
      </c>
      <c r="AR632" s="1">
        <v>1197030</v>
      </c>
      <c r="AS632" s="1">
        <v>0</v>
      </c>
      <c r="AT632" s="1">
        <f t="shared" si="62"/>
        <v>51300757</v>
      </c>
    </row>
    <row r="633" spans="1:46" x14ac:dyDescent="0.2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 t="shared" si="69"/>
        <v>قراردادي کارگري</v>
      </c>
      <c r="E633" s="1" t="str">
        <f t="shared" si="70"/>
        <v>پروژه تعميرات نيروگاه بوشهر</v>
      </c>
      <c r="F633" s="1">
        <v>5198302</v>
      </c>
      <c r="G633" s="1">
        <v>1361831</v>
      </c>
      <c r="H633" s="1">
        <v>0</v>
      </c>
      <c r="I633" s="1">
        <v>3742778</v>
      </c>
      <c r="J633" s="1">
        <v>0</v>
      </c>
      <c r="K633" s="1">
        <v>0</v>
      </c>
      <c r="L633" s="1">
        <v>3515305</v>
      </c>
      <c r="M633" s="1">
        <v>400000</v>
      </c>
      <c r="N633" s="1">
        <v>2772428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7338677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2284322</v>
      </c>
      <c r="AE633" s="1">
        <v>0</v>
      </c>
      <c r="AF633" s="1">
        <v>1111269</v>
      </c>
      <c r="AG633" s="1">
        <v>0</v>
      </c>
      <c r="AH633" s="1">
        <v>0</v>
      </c>
      <c r="AI633" s="1">
        <v>0</v>
      </c>
      <c r="AJ633" s="1">
        <v>2178930</v>
      </c>
      <c r="AK633" s="1">
        <v>0</v>
      </c>
      <c r="AL633" s="1">
        <v>0</v>
      </c>
      <c r="AM633" s="1">
        <v>0</v>
      </c>
      <c r="AN633" s="1">
        <v>31003842</v>
      </c>
      <c r="AO633" s="1">
        <v>2763080</v>
      </c>
      <c r="AP633" s="1">
        <v>28240762</v>
      </c>
      <c r="AQ633" s="1">
        <v>5978515</v>
      </c>
      <c r="AR633" s="1">
        <v>896777</v>
      </c>
      <c r="AS633" s="1">
        <v>0</v>
      </c>
      <c r="AT633" s="1">
        <f t="shared" si="62"/>
        <v>37879134</v>
      </c>
    </row>
    <row r="634" spans="1:46" x14ac:dyDescent="0.2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 t="shared" si="69"/>
        <v>قراردادي کارگري</v>
      </c>
      <c r="E634" s="1" t="str">
        <f t="shared" si="70"/>
        <v>پروژه تعميرات نيروگاه بوشهر</v>
      </c>
      <c r="F634" s="1">
        <v>8441894</v>
      </c>
      <c r="G634" s="1">
        <v>1978358</v>
      </c>
      <c r="H634" s="1">
        <v>0</v>
      </c>
      <c r="I634" s="1">
        <v>5909326</v>
      </c>
      <c r="J634" s="1">
        <v>0</v>
      </c>
      <c r="K634" s="1">
        <v>0</v>
      </c>
      <c r="L634" s="1">
        <v>3500010</v>
      </c>
      <c r="M634" s="1">
        <v>400000</v>
      </c>
      <c r="N634" s="1">
        <v>4472527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10460454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3348564</v>
      </c>
      <c r="AE634" s="1">
        <v>0</v>
      </c>
      <c r="AF634" s="1">
        <v>2222538</v>
      </c>
      <c r="AG634" s="1">
        <v>0</v>
      </c>
      <c r="AH634" s="1">
        <v>0</v>
      </c>
      <c r="AI634" s="1">
        <v>0</v>
      </c>
      <c r="AJ634" s="1">
        <v>3165372</v>
      </c>
      <c r="AK634" s="1">
        <v>0</v>
      </c>
      <c r="AL634" s="1">
        <v>0</v>
      </c>
      <c r="AM634" s="1">
        <v>0</v>
      </c>
      <c r="AN634" s="1">
        <v>44999043</v>
      </c>
      <c r="AO634" s="1">
        <v>8278497</v>
      </c>
      <c r="AP634" s="1">
        <v>36720546</v>
      </c>
      <c r="AQ634" s="1">
        <v>8555301</v>
      </c>
      <c r="AR634" s="1">
        <v>1283295</v>
      </c>
      <c r="AS634" s="1">
        <v>0</v>
      </c>
      <c r="AT634" s="1">
        <f t="shared" si="62"/>
        <v>54837639</v>
      </c>
    </row>
    <row r="635" spans="1:46" x14ac:dyDescent="0.2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 t="shared" si="69"/>
        <v>قراردادي کارگري</v>
      </c>
      <c r="E635" s="1" t="str">
        <f t="shared" si="70"/>
        <v>پروژه تعميرات نيروگاه بوشهر</v>
      </c>
      <c r="F635" s="1">
        <v>6433131</v>
      </c>
      <c r="G635" s="1">
        <v>1600316</v>
      </c>
      <c r="H635" s="1">
        <v>0</v>
      </c>
      <c r="I635" s="1">
        <v>4631854</v>
      </c>
      <c r="J635" s="1">
        <v>0</v>
      </c>
      <c r="K635" s="1">
        <v>0</v>
      </c>
      <c r="L635" s="1">
        <v>3500010</v>
      </c>
      <c r="M635" s="1">
        <v>400000</v>
      </c>
      <c r="N635" s="1">
        <v>3408281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8546241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2695991</v>
      </c>
      <c r="AE635" s="1">
        <v>0</v>
      </c>
      <c r="AF635" s="1">
        <v>3333807</v>
      </c>
      <c r="AG635" s="1">
        <v>0</v>
      </c>
      <c r="AH635" s="1">
        <v>0</v>
      </c>
      <c r="AI635" s="1">
        <v>0</v>
      </c>
      <c r="AJ635" s="1">
        <v>3840758</v>
      </c>
      <c r="AK635" s="1">
        <v>0</v>
      </c>
      <c r="AL635" s="1">
        <v>0</v>
      </c>
      <c r="AM635" s="1">
        <v>0</v>
      </c>
      <c r="AN635" s="1">
        <v>39490389</v>
      </c>
      <c r="AO635" s="1">
        <v>4037686</v>
      </c>
      <c r="AP635" s="1">
        <v>35452703</v>
      </c>
      <c r="AQ635" s="1">
        <v>7231316</v>
      </c>
      <c r="AR635" s="1">
        <v>1084697</v>
      </c>
      <c r="AS635" s="1">
        <v>0</v>
      </c>
      <c r="AT635" s="1">
        <f t="shared" si="62"/>
        <v>47806402</v>
      </c>
    </row>
    <row r="636" spans="1:46" x14ac:dyDescent="0.2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 t="shared" si="69"/>
        <v>قراردادي کارگري</v>
      </c>
      <c r="E636" s="1" t="str">
        <f t="shared" si="70"/>
        <v>پروژه تعميرات نيروگاه بوشهر</v>
      </c>
      <c r="F636" s="1">
        <v>6910862</v>
      </c>
      <c r="G636" s="1">
        <v>11669615</v>
      </c>
      <c r="H636" s="1">
        <v>0</v>
      </c>
      <c r="I636" s="1">
        <v>4975821</v>
      </c>
      <c r="J636" s="1">
        <v>0</v>
      </c>
      <c r="K636" s="1">
        <v>0</v>
      </c>
      <c r="L636" s="1">
        <v>3949510</v>
      </c>
      <c r="M636" s="1">
        <v>400000</v>
      </c>
      <c r="N636" s="1">
        <v>3637296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6747825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1111269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40502198</v>
      </c>
      <c r="AO636" s="1">
        <v>4358804</v>
      </c>
      <c r="AP636" s="1">
        <v>36143394</v>
      </c>
      <c r="AQ636" s="1">
        <v>7878186</v>
      </c>
      <c r="AR636" s="1">
        <v>1181728</v>
      </c>
      <c r="AS636" s="1">
        <v>0</v>
      </c>
      <c r="AT636" s="1">
        <f t="shared" si="62"/>
        <v>49562112</v>
      </c>
    </row>
    <row r="637" spans="1:46" x14ac:dyDescent="0.2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 t="shared" si="69"/>
        <v>قراردادي کارگري</v>
      </c>
      <c r="E637" s="1" t="str">
        <f t="shared" si="70"/>
        <v>پروژه تعميرات نيروگاه بوشهر</v>
      </c>
      <c r="F637" s="1">
        <v>7241721</v>
      </c>
      <c r="G637" s="1">
        <v>4416259</v>
      </c>
      <c r="H637" s="1">
        <v>0</v>
      </c>
      <c r="I637" s="1">
        <v>5069205</v>
      </c>
      <c r="J637" s="1">
        <v>0</v>
      </c>
      <c r="K637" s="1">
        <v>0</v>
      </c>
      <c r="L637" s="1">
        <v>3500010</v>
      </c>
      <c r="M637" s="1">
        <v>400000</v>
      </c>
      <c r="N637" s="1">
        <v>3836674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4746963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3048767</v>
      </c>
      <c r="AE637" s="1">
        <v>0</v>
      </c>
      <c r="AF637" s="1">
        <v>2222538</v>
      </c>
      <c r="AG637" s="1">
        <v>0</v>
      </c>
      <c r="AH637" s="1">
        <v>0</v>
      </c>
      <c r="AI637" s="1">
        <v>0</v>
      </c>
      <c r="AJ637" s="1">
        <v>2355338</v>
      </c>
      <c r="AK637" s="1">
        <v>0</v>
      </c>
      <c r="AL637" s="1">
        <v>0</v>
      </c>
      <c r="AM637" s="1">
        <v>0</v>
      </c>
      <c r="AN637" s="1">
        <v>37937475</v>
      </c>
      <c r="AO637" s="1">
        <v>7168577</v>
      </c>
      <c r="AP637" s="1">
        <v>30768898</v>
      </c>
      <c r="AQ637" s="1">
        <v>7142987</v>
      </c>
      <c r="AR637" s="1">
        <v>1071448</v>
      </c>
      <c r="AS637" s="1">
        <v>0</v>
      </c>
      <c r="AT637" s="1">
        <f t="shared" si="62"/>
        <v>46151910</v>
      </c>
    </row>
    <row r="638" spans="1:46" x14ac:dyDescent="0.2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 t="shared" si="69"/>
        <v>قراردادي کارگري</v>
      </c>
      <c r="E638" s="1" t="str">
        <f t="shared" si="70"/>
        <v>پروژه تعميرات نيروگاه بوشهر</v>
      </c>
      <c r="F638" s="1">
        <v>5585001</v>
      </c>
      <c r="G638" s="1">
        <v>6422305</v>
      </c>
      <c r="H638" s="1">
        <v>0</v>
      </c>
      <c r="I638" s="1">
        <v>4244600</v>
      </c>
      <c r="J638" s="1">
        <v>0</v>
      </c>
      <c r="K638" s="1">
        <v>0</v>
      </c>
      <c r="L638" s="1">
        <v>3967684</v>
      </c>
      <c r="M638" s="1">
        <v>400000</v>
      </c>
      <c r="N638" s="1">
        <v>2939474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6274432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4445076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35378572</v>
      </c>
      <c r="AO638" s="1">
        <v>4752810</v>
      </c>
      <c r="AP638" s="1">
        <v>30625762</v>
      </c>
      <c r="AQ638" s="1">
        <v>6186699</v>
      </c>
      <c r="AR638" s="1">
        <v>928005</v>
      </c>
      <c r="AS638" s="1">
        <v>0</v>
      </c>
      <c r="AT638" s="1">
        <f t="shared" si="62"/>
        <v>42493276</v>
      </c>
    </row>
    <row r="639" spans="1:46" x14ac:dyDescent="0.2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 t="shared" si="69"/>
        <v>قراردادي کارگري</v>
      </c>
      <c r="E639" s="1" t="str">
        <f t="shared" si="70"/>
        <v>پروژه تعميرات نيروگاه بوشهر</v>
      </c>
      <c r="F639" s="1">
        <v>5175468</v>
      </c>
      <c r="G639" s="1">
        <v>4074362</v>
      </c>
      <c r="H639" s="1">
        <v>0</v>
      </c>
      <c r="I639" s="1">
        <v>3674582</v>
      </c>
      <c r="J639" s="1">
        <v>0</v>
      </c>
      <c r="K639" s="1">
        <v>0</v>
      </c>
      <c r="L639" s="1">
        <v>3500010</v>
      </c>
      <c r="M639" s="1">
        <v>400000</v>
      </c>
      <c r="N639" s="1">
        <v>2723930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5700777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1403440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27752569</v>
      </c>
      <c r="AO639" s="1">
        <v>2845244</v>
      </c>
      <c r="AP639" s="1">
        <v>24907325</v>
      </c>
      <c r="AQ639" s="1">
        <v>5550514</v>
      </c>
      <c r="AR639" s="1">
        <v>832577</v>
      </c>
      <c r="AS639" s="1">
        <v>0</v>
      </c>
      <c r="AT639" s="1">
        <f t="shared" si="62"/>
        <v>34135660</v>
      </c>
    </row>
    <row r="640" spans="1:46" x14ac:dyDescent="0.2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 t="shared" si="69"/>
        <v>قراردادي کارگري</v>
      </c>
      <c r="E640" s="1" t="str">
        <f t="shared" si="70"/>
        <v>پروژه تعميرات نيروگاه بوشهر</v>
      </c>
      <c r="F640" s="1">
        <v>5533809</v>
      </c>
      <c r="G640" s="1">
        <v>821375</v>
      </c>
      <c r="H640" s="1">
        <v>0</v>
      </c>
      <c r="I640" s="1">
        <v>3873666</v>
      </c>
      <c r="J640" s="1">
        <v>0</v>
      </c>
      <c r="K640" s="1">
        <v>0</v>
      </c>
      <c r="L640" s="1">
        <v>3500010</v>
      </c>
      <c r="M640" s="1">
        <v>400000</v>
      </c>
      <c r="N640" s="1">
        <v>2912531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5958155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1472898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25572444</v>
      </c>
      <c r="AO640" s="1">
        <v>1830071</v>
      </c>
      <c r="AP640" s="1">
        <v>23742373</v>
      </c>
      <c r="AQ640" s="1">
        <v>5114489</v>
      </c>
      <c r="AR640" s="1">
        <v>767173</v>
      </c>
      <c r="AS640" s="1">
        <v>0</v>
      </c>
      <c r="AT640" s="1">
        <f t="shared" si="62"/>
        <v>31454106</v>
      </c>
    </row>
    <row r="641" spans="1:46" x14ac:dyDescent="0.2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 t="shared" si="69"/>
        <v>قراردادي کارگري</v>
      </c>
      <c r="E641" s="1" t="str">
        <f t="shared" si="70"/>
        <v>پروژه تعميرات نيروگاه بوشهر</v>
      </c>
      <c r="F641" s="1">
        <v>7145097</v>
      </c>
      <c r="G641" s="1">
        <v>5242817</v>
      </c>
      <c r="H641" s="1">
        <v>0</v>
      </c>
      <c r="I641" s="1">
        <v>5073019</v>
      </c>
      <c r="J641" s="1">
        <v>0</v>
      </c>
      <c r="K641" s="1">
        <v>0</v>
      </c>
      <c r="L641" s="1">
        <v>3500010</v>
      </c>
      <c r="M641" s="1">
        <v>400000</v>
      </c>
      <c r="N641" s="1">
        <v>3785482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7228995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2925541</v>
      </c>
      <c r="AE641" s="1">
        <v>0</v>
      </c>
      <c r="AF641" s="1">
        <v>2222538</v>
      </c>
      <c r="AG641" s="1">
        <v>0</v>
      </c>
      <c r="AH641" s="1">
        <v>0</v>
      </c>
      <c r="AI641" s="1">
        <v>0</v>
      </c>
      <c r="AJ641" s="1">
        <v>2581079</v>
      </c>
      <c r="AK641" s="1">
        <v>0</v>
      </c>
      <c r="AL641" s="1">
        <v>0</v>
      </c>
      <c r="AM641" s="1">
        <v>0</v>
      </c>
      <c r="AN641" s="1">
        <v>41204578</v>
      </c>
      <c r="AO641" s="1">
        <v>4401237</v>
      </c>
      <c r="AP641" s="1">
        <v>36803341</v>
      </c>
      <c r="AQ641" s="1">
        <v>7796408</v>
      </c>
      <c r="AR641" s="1">
        <v>1169461</v>
      </c>
      <c r="AS641" s="1">
        <v>0</v>
      </c>
      <c r="AT641" s="1">
        <f t="shared" si="62"/>
        <v>50170447</v>
      </c>
    </row>
    <row r="642" spans="1:46" x14ac:dyDescent="0.2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 t="shared" si="69"/>
        <v>قراردادي کارگري</v>
      </c>
      <c r="E642" s="1" t="str">
        <f t="shared" si="70"/>
        <v>پروژه تعميرات نيروگاه بوشهر</v>
      </c>
      <c r="F642" s="1">
        <v>5861436</v>
      </c>
      <c r="G642" s="1">
        <v>2403452</v>
      </c>
      <c r="H642" s="1">
        <v>0</v>
      </c>
      <c r="I642" s="1">
        <v>4103005</v>
      </c>
      <c r="J642" s="1">
        <v>0</v>
      </c>
      <c r="K642" s="1">
        <v>0</v>
      </c>
      <c r="L642" s="1">
        <v>3500010</v>
      </c>
      <c r="M642" s="1">
        <v>400000</v>
      </c>
      <c r="N642" s="1">
        <v>3084966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6209798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1540808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28203475</v>
      </c>
      <c r="AO642" s="1">
        <v>2368183</v>
      </c>
      <c r="AP642" s="1">
        <v>25835292</v>
      </c>
      <c r="AQ642" s="1">
        <v>5640695</v>
      </c>
      <c r="AR642" s="1">
        <v>846104</v>
      </c>
      <c r="AS642" s="1">
        <v>0</v>
      </c>
      <c r="AT642" s="1">
        <f t="shared" si="62"/>
        <v>34690274</v>
      </c>
    </row>
    <row r="643" spans="1:46" x14ac:dyDescent="0.2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"قراردادي بهره بردار"</f>
        <v>قراردادي بهره بردار</v>
      </c>
      <c r="E643" s="1" t="str">
        <f t="shared" si="70"/>
        <v>پروژه تعميرات نيروگاه بوشهر</v>
      </c>
      <c r="F643" s="1">
        <v>11139233</v>
      </c>
      <c r="G643" s="1">
        <v>3975455</v>
      </c>
      <c r="H643" s="1">
        <v>0</v>
      </c>
      <c r="I643" s="1">
        <v>8606203</v>
      </c>
      <c r="J643" s="1">
        <v>0</v>
      </c>
      <c r="K643" s="1">
        <v>4620000</v>
      </c>
      <c r="L643" s="1">
        <v>0</v>
      </c>
      <c r="M643" s="1">
        <v>400000</v>
      </c>
      <c r="N643" s="1">
        <v>2042044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9964885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1458603</v>
      </c>
      <c r="AF643" s="1">
        <v>1111269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4434153</v>
      </c>
      <c r="AM643" s="1">
        <v>0</v>
      </c>
      <c r="AN643" s="1">
        <v>48851845</v>
      </c>
      <c r="AO643" s="1">
        <v>6853136</v>
      </c>
      <c r="AP643" s="1">
        <v>41998709</v>
      </c>
      <c r="AQ643" s="1">
        <v>9548115</v>
      </c>
      <c r="AR643" s="1">
        <v>1432217</v>
      </c>
      <c r="AS643" s="1">
        <v>0</v>
      </c>
      <c r="AT643" s="1">
        <f t="shared" ref="AT643:AT706" si="71">AS643+AR643+AQ643+AN643</f>
        <v>59832177</v>
      </c>
    </row>
    <row r="644" spans="1:46" x14ac:dyDescent="0.2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 t="shared" ref="D644:D652" si="72">"قراردادي کارگري"</f>
        <v>قراردادي کارگري</v>
      </c>
      <c r="E644" s="1" t="str">
        <f t="shared" si="70"/>
        <v>پروژه تعميرات نيروگاه بوشهر</v>
      </c>
      <c r="F644" s="1">
        <v>5446784</v>
      </c>
      <c r="G644" s="1">
        <v>6492374</v>
      </c>
      <c r="H644" s="1">
        <v>0</v>
      </c>
      <c r="I644" s="1">
        <v>3812748</v>
      </c>
      <c r="J644" s="1">
        <v>0</v>
      </c>
      <c r="K644" s="1">
        <v>0</v>
      </c>
      <c r="L644" s="1">
        <v>3500010</v>
      </c>
      <c r="M644" s="1">
        <v>400000</v>
      </c>
      <c r="N644" s="1">
        <v>2866728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5891313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2343941</v>
      </c>
      <c r="AE644" s="1">
        <v>0</v>
      </c>
      <c r="AF644" s="1">
        <v>1111269</v>
      </c>
      <c r="AG644" s="1">
        <v>0</v>
      </c>
      <c r="AH644" s="1">
        <v>0</v>
      </c>
      <c r="AI644" s="1">
        <v>0</v>
      </c>
      <c r="AJ644" s="1">
        <v>2077560</v>
      </c>
      <c r="AK644" s="1">
        <v>0</v>
      </c>
      <c r="AL644" s="1">
        <v>0</v>
      </c>
      <c r="AM644" s="1">
        <v>0</v>
      </c>
      <c r="AN644" s="1">
        <v>35042727</v>
      </c>
      <c r="AO644" s="1">
        <v>4028064</v>
      </c>
      <c r="AP644" s="1">
        <v>31014663</v>
      </c>
      <c r="AQ644" s="1">
        <v>6786292</v>
      </c>
      <c r="AR644" s="1">
        <v>1017944</v>
      </c>
      <c r="AS644" s="1">
        <v>0</v>
      </c>
      <c r="AT644" s="1">
        <f t="shared" si="71"/>
        <v>42846963</v>
      </c>
    </row>
    <row r="645" spans="1:46" x14ac:dyDescent="0.2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 t="shared" si="72"/>
        <v>قراردادي کارگري</v>
      </c>
      <c r="E645" s="1" t="str">
        <f t="shared" si="70"/>
        <v>پروژه تعميرات نيروگاه بوشهر</v>
      </c>
      <c r="F645" s="1">
        <v>5743695</v>
      </c>
      <c r="G645" s="1">
        <v>0</v>
      </c>
      <c r="H645" s="1">
        <v>0</v>
      </c>
      <c r="I645" s="1">
        <v>4020586</v>
      </c>
      <c r="J645" s="1">
        <v>0</v>
      </c>
      <c r="K645" s="1">
        <v>0</v>
      </c>
      <c r="L645" s="1">
        <v>3500010</v>
      </c>
      <c r="M645" s="1">
        <v>400000</v>
      </c>
      <c r="N645" s="1">
        <v>3022997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6119364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1516403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25423055</v>
      </c>
      <c r="AO645" s="1">
        <v>1819614</v>
      </c>
      <c r="AP645" s="1">
        <v>23603441</v>
      </c>
      <c r="AQ645" s="1">
        <v>5084611</v>
      </c>
      <c r="AR645" s="1">
        <v>762692</v>
      </c>
      <c r="AS645" s="1">
        <v>0</v>
      </c>
      <c r="AT645" s="1">
        <f t="shared" si="71"/>
        <v>31270358</v>
      </c>
    </row>
    <row r="646" spans="1:46" x14ac:dyDescent="0.2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 t="shared" si="72"/>
        <v>قراردادي کارگري</v>
      </c>
      <c r="E646" s="1" t="str">
        <f t="shared" si="70"/>
        <v>پروژه تعميرات نيروگاه بوشهر</v>
      </c>
      <c r="F646" s="1">
        <v>8176886</v>
      </c>
      <c r="G646" s="1">
        <v>1618989</v>
      </c>
      <c r="H646" s="1">
        <v>0</v>
      </c>
      <c r="I646" s="1">
        <v>6541509</v>
      </c>
      <c r="J646" s="1">
        <v>0</v>
      </c>
      <c r="K646" s="1">
        <v>0</v>
      </c>
      <c r="L646" s="1">
        <v>3345440</v>
      </c>
      <c r="M646" s="1">
        <v>400000</v>
      </c>
      <c r="N646" s="1">
        <v>4361006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8236821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2087830</v>
      </c>
      <c r="AE646" s="1">
        <v>0</v>
      </c>
      <c r="AF646" s="1">
        <v>1111269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36979750</v>
      </c>
      <c r="AO646" s="1">
        <v>4117033</v>
      </c>
      <c r="AP646" s="1">
        <v>32862717</v>
      </c>
      <c r="AQ646" s="1">
        <v>7173696</v>
      </c>
      <c r="AR646" s="1">
        <v>1076054</v>
      </c>
      <c r="AS646" s="1">
        <v>0</v>
      </c>
      <c r="AT646" s="1">
        <f t="shared" si="71"/>
        <v>45229500</v>
      </c>
    </row>
    <row r="647" spans="1:46" x14ac:dyDescent="0.2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 t="shared" si="72"/>
        <v>قراردادي کارگري</v>
      </c>
      <c r="E647" s="1" t="str">
        <f t="shared" si="70"/>
        <v>پروژه تعميرات نيروگاه بوشهر</v>
      </c>
      <c r="F647" s="1">
        <v>8380869</v>
      </c>
      <c r="G647" s="1">
        <v>16686851</v>
      </c>
      <c r="H647" s="1">
        <v>0</v>
      </c>
      <c r="I647" s="1">
        <v>6201843</v>
      </c>
      <c r="J647" s="1">
        <v>0</v>
      </c>
      <c r="K647" s="1">
        <v>0</v>
      </c>
      <c r="L647" s="1">
        <v>3500010</v>
      </c>
      <c r="M647" s="1">
        <v>400000</v>
      </c>
      <c r="N647" s="1">
        <v>4440196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7371672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3333807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51415248</v>
      </c>
      <c r="AO647" s="1">
        <v>6855849</v>
      </c>
      <c r="AP647" s="1">
        <v>44559399</v>
      </c>
      <c r="AQ647" s="1">
        <v>9616288</v>
      </c>
      <c r="AR647" s="1">
        <v>1442443</v>
      </c>
      <c r="AS647" s="1">
        <v>0</v>
      </c>
      <c r="AT647" s="1">
        <f t="shared" si="71"/>
        <v>62473979</v>
      </c>
    </row>
    <row r="648" spans="1:46" x14ac:dyDescent="0.2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 t="shared" si="72"/>
        <v>قراردادي کارگري</v>
      </c>
      <c r="E648" s="1" t="str">
        <f t="shared" si="70"/>
        <v>پروژه تعميرات نيروگاه بوشهر</v>
      </c>
      <c r="F648" s="1">
        <v>5431291</v>
      </c>
      <c r="G648" s="1">
        <v>1450609</v>
      </c>
      <c r="H648" s="1">
        <v>0</v>
      </c>
      <c r="I648" s="1">
        <v>3964842</v>
      </c>
      <c r="J648" s="1">
        <v>0</v>
      </c>
      <c r="K648" s="1">
        <v>0</v>
      </c>
      <c r="L648" s="1">
        <v>3976821</v>
      </c>
      <c r="M648" s="1">
        <v>400000</v>
      </c>
      <c r="N648" s="1">
        <v>2877506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7788202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2437569</v>
      </c>
      <c r="AE648" s="1">
        <v>0</v>
      </c>
      <c r="AF648" s="1">
        <v>2222538</v>
      </c>
      <c r="AG648" s="1">
        <v>0</v>
      </c>
      <c r="AH648" s="1">
        <v>0</v>
      </c>
      <c r="AI648" s="1">
        <v>0</v>
      </c>
      <c r="AJ648" s="1">
        <v>3481461</v>
      </c>
      <c r="AK648" s="1">
        <v>0</v>
      </c>
      <c r="AL648" s="1">
        <v>0</v>
      </c>
      <c r="AM648" s="1">
        <v>0</v>
      </c>
      <c r="AN648" s="1">
        <v>35130839</v>
      </c>
      <c r="AO648" s="1">
        <v>3380848</v>
      </c>
      <c r="AP648" s="1">
        <v>31749991</v>
      </c>
      <c r="AQ648" s="1">
        <v>6581660</v>
      </c>
      <c r="AR648" s="1">
        <v>987249</v>
      </c>
      <c r="AS648" s="1">
        <v>0</v>
      </c>
      <c r="AT648" s="1">
        <f t="shared" si="71"/>
        <v>42699748</v>
      </c>
    </row>
    <row r="649" spans="1:46" x14ac:dyDescent="0.2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 t="shared" si="72"/>
        <v>قراردادي کارگري</v>
      </c>
      <c r="E649" s="1" t="str">
        <f t="shared" si="70"/>
        <v>پروژه تعميرات نيروگاه بوشهر</v>
      </c>
      <c r="F649" s="1">
        <v>5718099</v>
      </c>
      <c r="G649" s="1">
        <v>5430622</v>
      </c>
      <c r="H649" s="1">
        <v>0</v>
      </c>
      <c r="I649" s="1">
        <v>4117031</v>
      </c>
      <c r="J649" s="1">
        <v>0</v>
      </c>
      <c r="K649" s="1">
        <v>0</v>
      </c>
      <c r="L649" s="1">
        <v>3500010</v>
      </c>
      <c r="M649" s="1">
        <v>400000</v>
      </c>
      <c r="N649" s="1">
        <v>3009525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5471859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30969684</v>
      </c>
      <c r="AO649" s="1">
        <v>2681773</v>
      </c>
      <c r="AP649" s="1">
        <v>28287911</v>
      </c>
      <c r="AQ649" s="1">
        <v>5749429</v>
      </c>
      <c r="AR649" s="1">
        <v>862414</v>
      </c>
      <c r="AS649" s="1">
        <v>0</v>
      </c>
      <c r="AT649" s="1">
        <f t="shared" si="71"/>
        <v>37581527</v>
      </c>
    </row>
    <row r="650" spans="1:46" x14ac:dyDescent="0.2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 t="shared" si="72"/>
        <v>قراردادي کارگري</v>
      </c>
      <c r="E650" s="1" t="str">
        <f t="shared" si="70"/>
        <v>پروژه تعميرات نيروگاه بوشهر</v>
      </c>
      <c r="F650" s="1">
        <v>5958700</v>
      </c>
      <c r="G650" s="1">
        <v>3852358</v>
      </c>
      <c r="H650" s="1">
        <v>0</v>
      </c>
      <c r="I650" s="1">
        <v>4469025</v>
      </c>
      <c r="J650" s="1">
        <v>0</v>
      </c>
      <c r="K650" s="1">
        <v>0</v>
      </c>
      <c r="L650" s="1">
        <v>3500010</v>
      </c>
      <c r="M650" s="1">
        <v>400000</v>
      </c>
      <c r="N650" s="1">
        <v>3136158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1851389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24267640</v>
      </c>
      <c r="AO650" s="1">
        <v>2142705</v>
      </c>
      <c r="AP650" s="1">
        <v>22124935</v>
      </c>
      <c r="AQ650" s="1">
        <v>4853528</v>
      </c>
      <c r="AR650" s="1">
        <v>728029</v>
      </c>
      <c r="AS650" s="1">
        <v>0</v>
      </c>
      <c r="AT650" s="1">
        <f t="shared" si="71"/>
        <v>29849197</v>
      </c>
    </row>
    <row r="651" spans="1:46" x14ac:dyDescent="0.2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 t="shared" si="72"/>
        <v>قراردادي کارگري</v>
      </c>
      <c r="E651" s="1" t="str">
        <f t="shared" si="70"/>
        <v>پروژه تعميرات نيروگاه بوشهر</v>
      </c>
      <c r="F651" s="1">
        <v>5221541</v>
      </c>
      <c r="G651" s="1">
        <v>0</v>
      </c>
      <c r="H651" s="1">
        <v>0</v>
      </c>
      <c r="I651" s="1">
        <v>3968371</v>
      </c>
      <c r="J651" s="1">
        <v>0</v>
      </c>
      <c r="K651" s="1">
        <v>0</v>
      </c>
      <c r="L651" s="1">
        <v>3500010</v>
      </c>
      <c r="M651" s="1">
        <v>400000</v>
      </c>
      <c r="N651" s="1">
        <v>2748179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1688810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18626911</v>
      </c>
      <c r="AO651" s="1">
        <v>1701316</v>
      </c>
      <c r="AP651" s="1">
        <v>16925595</v>
      </c>
      <c r="AQ651" s="1">
        <v>3725382</v>
      </c>
      <c r="AR651" s="1">
        <v>558807</v>
      </c>
      <c r="AS651" s="1">
        <v>0</v>
      </c>
      <c r="AT651" s="1">
        <f t="shared" si="71"/>
        <v>22911100</v>
      </c>
    </row>
    <row r="652" spans="1:46" x14ac:dyDescent="0.2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 t="shared" si="72"/>
        <v>قراردادي کارگري</v>
      </c>
      <c r="E652" s="1" t="str">
        <f t="shared" si="70"/>
        <v>پروژه تعميرات نيروگاه بوشهر</v>
      </c>
      <c r="F652" s="1">
        <v>5769290</v>
      </c>
      <c r="G652" s="1">
        <v>2274953</v>
      </c>
      <c r="H652" s="1">
        <v>0</v>
      </c>
      <c r="I652" s="1">
        <v>4096196</v>
      </c>
      <c r="J652" s="1">
        <v>0</v>
      </c>
      <c r="K652" s="1">
        <v>0</v>
      </c>
      <c r="L652" s="1">
        <v>3500010</v>
      </c>
      <c r="M652" s="1">
        <v>400000</v>
      </c>
      <c r="N652" s="1">
        <v>3036468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3704283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23881200</v>
      </c>
      <c r="AO652" s="1">
        <v>1711684</v>
      </c>
      <c r="AP652" s="1">
        <v>22169516</v>
      </c>
      <c r="AQ652" s="1">
        <v>4776240</v>
      </c>
      <c r="AR652" s="1">
        <v>716436</v>
      </c>
      <c r="AS652" s="1">
        <v>0</v>
      </c>
      <c r="AT652" s="1">
        <f t="shared" si="71"/>
        <v>29373876</v>
      </c>
    </row>
    <row r="653" spans="1:46" x14ac:dyDescent="0.2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"قراردادي بهره بردار"</f>
        <v>قراردادي بهره بردار</v>
      </c>
      <c r="E653" s="1" t="str">
        <f>"پروژه بهره برداري نيروگاه بوشهر"</f>
        <v>پروژه بهره برداري نيروگاه بوشهر</v>
      </c>
      <c r="F653" s="1">
        <v>10932540</v>
      </c>
      <c r="G653" s="1">
        <v>4958569</v>
      </c>
      <c r="H653" s="1">
        <v>0</v>
      </c>
      <c r="I653" s="1">
        <v>7738182</v>
      </c>
      <c r="J653" s="1">
        <v>0</v>
      </c>
      <c r="K653" s="1">
        <v>4620000</v>
      </c>
      <c r="L653" s="1">
        <v>0</v>
      </c>
      <c r="M653" s="1">
        <v>400000</v>
      </c>
      <c r="N653" s="1">
        <v>1767710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1342000</v>
      </c>
      <c r="U653" s="1">
        <v>0</v>
      </c>
      <c r="V653" s="1">
        <v>9367648</v>
      </c>
      <c r="W653" s="1">
        <v>1100000</v>
      </c>
      <c r="X653" s="1">
        <v>1696429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1262650</v>
      </c>
      <c r="AF653" s="1">
        <v>2222538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5451521</v>
      </c>
      <c r="AM653" s="1">
        <v>0</v>
      </c>
      <c r="AN653" s="1">
        <v>52859787</v>
      </c>
      <c r="AO653" s="1">
        <v>8733865</v>
      </c>
      <c r="AP653" s="1">
        <v>44125922</v>
      </c>
      <c r="AQ653" s="1">
        <v>9859050</v>
      </c>
      <c r="AR653" s="1">
        <v>1478857</v>
      </c>
      <c r="AS653" s="1">
        <v>0</v>
      </c>
      <c r="AT653" s="1">
        <f t="shared" si="71"/>
        <v>64197694</v>
      </c>
    </row>
    <row r="654" spans="1:46" x14ac:dyDescent="0.2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"قراردادي بهره بردار"</f>
        <v>قراردادي بهره بردار</v>
      </c>
      <c r="E654" s="1" t="str">
        <f>"پروژه تعميرات نيروگاه بوشهر"</f>
        <v>پروژه تعميرات نيروگاه بوشهر</v>
      </c>
      <c r="F654" s="1">
        <v>14479612</v>
      </c>
      <c r="G654" s="1">
        <v>6628227</v>
      </c>
      <c r="H654" s="1">
        <v>0</v>
      </c>
      <c r="I654" s="1">
        <v>11243935</v>
      </c>
      <c r="J654" s="1">
        <v>0</v>
      </c>
      <c r="K654" s="1">
        <v>5500000</v>
      </c>
      <c r="L654" s="1">
        <v>0</v>
      </c>
      <c r="M654" s="1">
        <v>400000</v>
      </c>
      <c r="N654" s="1">
        <v>2375331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10203870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1696665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3936263</v>
      </c>
      <c r="AM654" s="1">
        <v>0</v>
      </c>
      <c r="AN654" s="1">
        <v>57563903</v>
      </c>
      <c r="AO654" s="1">
        <v>8577467</v>
      </c>
      <c r="AP654" s="1">
        <v>48986436</v>
      </c>
      <c r="AQ654" s="1">
        <v>11512781</v>
      </c>
      <c r="AR654" s="1">
        <v>1726917</v>
      </c>
      <c r="AS654" s="1">
        <v>0</v>
      </c>
      <c r="AT654" s="1">
        <f t="shared" si="71"/>
        <v>70803601</v>
      </c>
    </row>
    <row r="655" spans="1:46" x14ac:dyDescent="0.2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7272234</v>
      </c>
      <c r="G655" s="1">
        <v>1764361</v>
      </c>
      <c r="H655" s="1">
        <v>0</v>
      </c>
      <c r="I655" s="1">
        <v>5236009</v>
      </c>
      <c r="J655" s="1">
        <v>0</v>
      </c>
      <c r="K655" s="1">
        <v>0</v>
      </c>
      <c r="L655" s="1">
        <v>3500010</v>
      </c>
      <c r="M655" s="1">
        <v>400000</v>
      </c>
      <c r="N655" s="1">
        <v>3852839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9376881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2979164</v>
      </c>
      <c r="AE655" s="1">
        <v>0</v>
      </c>
      <c r="AF655" s="1">
        <v>4445076</v>
      </c>
      <c r="AG655" s="1">
        <v>0</v>
      </c>
      <c r="AH655" s="1">
        <v>0</v>
      </c>
      <c r="AI655" s="1">
        <v>0</v>
      </c>
      <c r="AJ655" s="1">
        <v>4234465</v>
      </c>
      <c r="AK655" s="1">
        <v>0</v>
      </c>
      <c r="AL655" s="1">
        <v>0</v>
      </c>
      <c r="AM655" s="1">
        <v>0</v>
      </c>
      <c r="AN655" s="1">
        <v>44161039</v>
      </c>
      <c r="AO655" s="1">
        <v>4746789</v>
      </c>
      <c r="AP655" s="1">
        <v>39414250</v>
      </c>
      <c r="AQ655" s="1">
        <v>7943193</v>
      </c>
      <c r="AR655" s="1">
        <v>1191479</v>
      </c>
      <c r="AS655" s="1">
        <v>0</v>
      </c>
      <c r="AT655" s="1">
        <f t="shared" si="71"/>
        <v>53295711</v>
      </c>
    </row>
    <row r="656" spans="1:46" x14ac:dyDescent="0.2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6832589</v>
      </c>
      <c r="G656" s="1">
        <v>559666</v>
      </c>
      <c r="H656" s="1">
        <v>0</v>
      </c>
      <c r="I656" s="1">
        <v>5466071</v>
      </c>
      <c r="J656" s="1">
        <v>0</v>
      </c>
      <c r="K656" s="1">
        <v>0</v>
      </c>
      <c r="L656" s="1">
        <v>3345440</v>
      </c>
      <c r="M656" s="1">
        <v>400000</v>
      </c>
      <c r="N656" s="1">
        <v>3644046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5443763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1111269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27902844</v>
      </c>
      <c r="AO656" s="1">
        <v>2877096</v>
      </c>
      <c r="AP656" s="1">
        <v>25025748</v>
      </c>
      <c r="AQ656" s="1">
        <v>5358315</v>
      </c>
      <c r="AR656" s="1">
        <v>803747</v>
      </c>
      <c r="AS656" s="1">
        <v>0</v>
      </c>
      <c r="AT656" s="1">
        <f t="shared" si="71"/>
        <v>34064906</v>
      </c>
    </row>
    <row r="657" spans="1:46" x14ac:dyDescent="0.2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7566216</v>
      </c>
      <c r="G657" s="1">
        <v>1850694</v>
      </c>
      <c r="H657" s="1">
        <v>0</v>
      </c>
      <c r="I657" s="1">
        <v>3614150</v>
      </c>
      <c r="J657" s="1">
        <v>0</v>
      </c>
      <c r="K657" s="1">
        <v>4620000</v>
      </c>
      <c r="L657" s="1">
        <v>0</v>
      </c>
      <c r="M657" s="1">
        <v>400000</v>
      </c>
      <c r="N657" s="1">
        <v>1016815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1394029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726297</v>
      </c>
      <c r="AF657" s="1">
        <v>2222538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1016815</v>
      </c>
      <c r="AM657" s="1">
        <v>0</v>
      </c>
      <c r="AN657" s="1">
        <v>25527554</v>
      </c>
      <c r="AO657" s="1">
        <v>2134812</v>
      </c>
      <c r="AP657" s="1">
        <v>23392742</v>
      </c>
      <c r="AQ657" s="1">
        <v>4661003</v>
      </c>
      <c r="AR657" s="1">
        <v>699150</v>
      </c>
      <c r="AS657" s="1">
        <v>0</v>
      </c>
      <c r="AT657" s="1">
        <f t="shared" si="71"/>
        <v>30887707</v>
      </c>
    </row>
    <row r="658" spans="1:46" x14ac:dyDescent="0.2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 t="shared" ref="D658:D666" si="73">"قراردادي کارگري"</f>
        <v>قراردادي کارگري</v>
      </c>
      <c r="E658" s="1" t="str">
        <f t="shared" ref="E658:E666" si="74">"پروژه تعميرات نيروگاه بوشهر"</f>
        <v>پروژه تعميرات نيروگاه بوشهر</v>
      </c>
      <c r="F658" s="1">
        <v>5098680</v>
      </c>
      <c r="G658" s="1">
        <v>7505965</v>
      </c>
      <c r="H658" s="1">
        <v>0</v>
      </c>
      <c r="I658" s="1">
        <v>3671050</v>
      </c>
      <c r="J658" s="1">
        <v>0</v>
      </c>
      <c r="K658" s="1">
        <v>0</v>
      </c>
      <c r="L658" s="1">
        <v>3500010</v>
      </c>
      <c r="M658" s="1">
        <v>400000</v>
      </c>
      <c r="N658" s="1">
        <v>2683516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4182830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1111269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29253320</v>
      </c>
      <c r="AO658" s="1">
        <v>2304473</v>
      </c>
      <c r="AP658" s="1">
        <v>26948847</v>
      </c>
      <c r="AQ658" s="1">
        <v>5628410</v>
      </c>
      <c r="AR658" s="1">
        <v>844262</v>
      </c>
      <c r="AS658" s="1">
        <v>0</v>
      </c>
      <c r="AT658" s="1">
        <f t="shared" si="71"/>
        <v>35725992</v>
      </c>
    </row>
    <row r="659" spans="1:46" x14ac:dyDescent="0.2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 t="shared" si="73"/>
        <v>قراردادي کارگري</v>
      </c>
      <c r="E659" s="1" t="str">
        <f t="shared" si="74"/>
        <v>پروژه تعميرات نيروگاه بوشهر</v>
      </c>
      <c r="F659" s="1">
        <v>7654721</v>
      </c>
      <c r="G659" s="1">
        <v>202410</v>
      </c>
      <c r="H659" s="1">
        <v>0</v>
      </c>
      <c r="I659" s="1">
        <v>6276871</v>
      </c>
      <c r="J659" s="1">
        <v>0</v>
      </c>
      <c r="K659" s="1">
        <v>0</v>
      </c>
      <c r="L659" s="1">
        <v>3345440</v>
      </c>
      <c r="M659" s="1">
        <v>400000</v>
      </c>
      <c r="N659" s="1">
        <v>4082519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5474292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28536253</v>
      </c>
      <c r="AO659" s="1">
        <v>2437710</v>
      </c>
      <c r="AP659" s="1">
        <v>26098543</v>
      </c>
      <c r="AQ659" s="1">
        <v>5707251</v>
      </c>
      <c r="AR659" s="1">
        <v>856088</v>
      </c>
      <c r="AS659" s="1">
        <v>0</v>
      </c>
      <c r="AT659" s="1">
        <f t="shared" si="71"/>
        <v>35099592</v>
      </c>
    </row>
    <row r="660" spans="1:46" x14ac:dyDescent="0.2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 t="shared" si="73"/>
        <v>قراردادي کارگري</v>
      </c>
      <c r="E660" s="1" t="str">
        <f t="shared" si="74"/>
        <v>پروژه تعميرات نيروگاه بوشهر</v>
      </c>
      <c r="F660" s="1">
        <v>8121337</v>
      </c>
      <c r="G660" s="1">
        <v>4738504</v>
      </c>
      <c r="H660" s="1">
        <v>0</v>
      </c>
      <c r="I660" s="1">
        <v>6659496</v>
      </c>
      <c r="J660" s="1">
        <v>0</v>
      </c>
      <c r="K660" s="1">
        <v>0</v>
      </c>
      <c r="L660" s="1">
        <v>3345440</v>
      </c>
      <c r="M660" s="1">
        <v>400000</v>
      </c>
      <c r="N660" s="1">
        <v>4331378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6096452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2222538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37015145</v>
      </c>
      <c r="AO660" s="1">
        <v>3697411</v>
      </c>
      <c r="AP660" s="1">
        <v>33317734</v>
      </c>
      <c r="AQ660" s="1">
        <v>6958521</v>
      </c>
      <c r="AR660" s="1">
        <v>1043778</v>
      </c>
      <c r="AS660" s="1">
        <v>0</v>
      </c>
      <c r="AT660" s="1">
        <f t="shared" si="71"/>
        <v>45017444</v>
      </c>
    </row>
    <row r="661" spans="1:46" x14ac:dyDescent="0.2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 t="shared" si="73"/>
        <v>قراردادي کارگري</v>
      </c>
      <c r="E661" s="1" t="str">
        <f t="shared" si="74"/>
        <v>پروژه تعميرات نيروگاه بوشهر</v>
      </c>
      <c r="F661" s="1">
        <v>7482517</v>
      </c>
      <c r="G661" s="1">
        <v>7169658</v>
      </c>
      <c r="H661" s="1">
        <v>0</v>
      </c>
      <c r="I661" s="1">
        <v>6135664</v>
      </c>
      <c r="J661" s="1">
        <v>0</v>
      </c>
      <c r="K661" s="1">
        <v>0</v>
      </c>
      <c r="L661" s="1">
        <v>3345440</v>
      </c>
      <c r="M661" s="1">
        <v>400000</v>
      </c>
      <c r="N661" s="1">
        <v>3990676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7001343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38847836</v>
      </c>
      <c r="AO661" s="1">
        <v>4754468</v>
      </c>
      <c r="AP661" s="1">
        <v>34093368</v>
      </c>
      <c r="AQ661" s="1">
        <v>7325060</v>
      </c>
      <c r="AR661" s="1">
        <v>1098759</v>
      </c>
      <c r="AS661" s="1">
        <v>0</v>
      </c>
      <c r="AT661" s="1">
        <f t="shared" si="71"/>
        <v>47271655</v>
      </c>
    </row>
    <row r="662" spans="1:46" x14ac:dyDescent="0.2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 t="shared" si="73"/>
        <v>قراردادي کارگري</v>
      </c>
      <c r="E662" s="1" t="str">
        <f t="shared" si="74"/>
        <v>پروژه تعميرات نيروگاه بوشهر</v>
      </c>
      <c r="F662" s="1">
        <v>6854808</v>
      </c>
      <c r="G662" s="1">
        <v>16471028</v>
      </c>
      <c r="H662" s="1">
        <v>0</v>
      </c>
      <c r="I662" s="1">
        <v>5620942</v>
      </c>
      <c r="J662" s="1">
        <v>0</v>
      </c>
      <c r="K662" s="1">
        <v>0</v>
      </c>
      <c r="L662" s="1">
        <v>3345440</v>
      </c>
      <c r="M662" s="1">
        <v>400000</v>
      </c>
      <c r="N662" s="1">
        <v>3655899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5336408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1111269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43895794</v>
      </c>
      <c r="AO662" s="1">
        <v>4928927</v>
      </c>
      <c r="AP662" s="1">
        <v>38966867</v>
      </c>
      <c r="AQ662" s="1">
        <v>8556905</v>
      </c>
      <c r="AR662" s="1">
        <v>1283536</v>
      </c>
      <c r="AS662" s="1">
        <v>0</v>
      </c>
      <c r="AT662" s="1">
        <f t="shared" si="71"/>
        <v>53736235</v>
      </c>
    </row>
    <row r="663" spans="1:46" x14ac:dyDescent="0.2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 t="shared" si="73"/>
        <v>قراردادي کارگري</v>
      </c>
      <c r="E663" s="1" t="str">
        <f t="shared" si="74"/>
        <v>پروژه تعميرات نيروگاه بوشهر</v>
      </c>
      <c r="F663" s="1">
        <v>7015901</v>
      </c>
      <c r="G663" s="1">
        <v>7577252</v>
      </c>
      <c r="H663" s="1">
        <v>0</v>
      </c>
      <c r="I663" s="1">
        <v>5612722</v>
      </c>
      <c r="J663" s="1">
        <v>0</v>
      </c>
      <c r="K663" s="1">
        <v>0</v>
      </c>
      <c r="L663" s="1">
        <v>3345440</v>
      </c>
      <c r="M663" s="1">
        <v>400000</v>
      </c>
      <c r="N663" s="1">
        <v>3741814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5397299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34190428</v>
      </c>
      <c r="AO663" s="1">
        <v>3373992</v>
      </c>
      <c r="AP663" s="1">
        <v>30816436</v>
      </c>
      <c r="AQ663" s="1">
        <v>6838086</v>
      </c>
      <c r="AR663" s="1">
        <v>1025713</v>
      </c>
      <c r="AS663" s="1">
        <v>0</v>
      </c>
      <c r="AT663" s="1">
        <f t="shared" si="71"/>
        <v>42054227</v>
      </c>
    </row>
    <row r="664" spans="1:46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3"/>
        <v>قراردادي کارگري</v>
      </c>
      <c r="E664" s="1" t="str">
        <f t="shared" si="74"/>
        <v>پروژه تعميرات نيروگاه بوشهر</v>
      </c>
      <c r="F664" s="1">
        <v>7443633</v>
      </c>
      <c r="G664" s="1">
        <v>4705943</v>
      </c>
      <c r="H664" s="1">
        <v>0</v>
      </c>
      <c r="I664" s="1">
        <v>6103779</v>
      </c>
      <c r="J664" s="1">
        <v>0</v>
      </c>
      <c r="K664" s="1">
        <v>0</v>
      </c>
      <c r="L664" s="1">
        <v>3345440</v>
      </c>
      <c r="M664" s="1">
        <v>400000</v>
      </c>
      <c r="N664" s="1">
        <v>3969938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5131942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1111269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33311944</v>
      </c>
      <c r="AO664" s="1">
        <v>3350840</v>
      </c>
      <c r="AP664" s="1">
        <v>29961104</v>
      </c>
      <c r="AQ664" s="1">
        <v>6440135</v>
      </c>
      <c r="AR664" s="1">
        <v>966020</v>
      </c>
      <c r="AS664" s="1">
        <v>0</v>
      </c>
      <c r="AT664" s="1">
        <f t="shared" si="71"/>
        <v>40718099</v>
      </c>
    </row>
    <row r="665" spans="1:46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3"/>
        <v>قراردادي کارگري</v>
      </c>
      <c r="E665" s="1" t="str">
        <f t="shared" si="74"/>
        <v>پروژه تعميرات نيروگاه بوشهر</v>
      </c>
      <c r="F665" s="1">
        <v>6382063</v>
      </c>
      <c r="G665" s="1">
        <v>16375717</v>
      </c>
      <c r="H665" s="1">
        <v>0</v>
      </c>
      <c r="I665" s="1">
        <v>5105650</v>
      </c>
      <c r="J665" s="1">
        <v>0</v>
      </c>
      <c r="K665" s="1">
        <v>0</v>
      </c>
      <c r="L665" s="1">
        <v>3114720</v>
      </c>
      <c r="M665" s="1">
        <v>372414</v>
      </c>
      <c r="N665" s="1">
        <v>3403768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4451926</v>
      </c>
      <c r="W665" s="1">
        <v>1024138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40230396</v>
      </c>
      <c r="AO665" s="1">
        <v>5545123</v>
      </c>
      <c r="AP665" s="1">
        <v>34685273</v>
      </c>
      <c r="AQ665" s="1">
        <v>8046079</v>
      </c>
      <c r="AR665" s="1">
        <v>1206912</v>
      </c>
      <c r="AS665" s="1">
        <v>0</v>
      </c>
      <c r="AT665" s="1">
        <f t="shared" si="71"/>
        <v>49483387</v>
      </c>
    </row>
    <row r="666" spans="1:46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3"/>
        <v>قراردادي کارگري</v>
      </c>
      <c r="E666" s="1" t="str">
        <f t="shared" si="74"/>
        <v>پروژه تعميرات نيروگاه بوشهر</v>
      </c>
      <c r="F666" s="1">
        <v>6082233</v>
      </c>
      <c r="G666" s="1">
        <v>1542286</v>
      </c>
      <c r="H666" s="1">
        <v>0</v>
      </c>
      <c r="I666" s="1">
        <v>4500852</v>
      </c>
      <c r="J666" s="1">
        <v>0</v>
      </c>
      <c r="K666" s="1">
        <v>0</v>
      </c>
      <c r="L666" s="1">
        <v>3500010</v>
      </c>
      <c r="M666" s="1">
        <v>400000</v>
      </c>
      <c r="N666" s="1">
        <v>3222375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8252406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2595820</v>
      </c>
      <c r="AE666" s="1">
        <v>0</v>
      </c>
      <c r="AF666" s="1">
        <v>2222538</v>
      </c>
      <c r="AG666" s="1">
        <v>0</v>
      </c>
      <c r="AH666" s="1">
        <v>0</v>
      </c>
      <c r="AI666" s="1">
        <v>0</v>
      </c>
      <c r="AJ666" s="1">
        <v>2467657</v>
      </c>
      <c r="AK666" s="1">
        <v>0</v>
      </c>
      <c r="AL666" s="1">
        <v>0</v>
      </c>
      <c r="AM666" s="1">
        <v>0</v>
      </c>
      <c r="AN666" s="1">
        <v>35886177</v>
      </c>
      <c r="AO666" s="1">
        <v>3507745</v>
      </c>
      <c r="AP666" s="1">
        <v>32378432</v>
      </c>
      <c r="AQ666" s="1">
        <v>6732728</v>
      </c>
      <c r="AR666" s="1">
        <v>1009909</v>
      </c>
      <c r="AS666" s="1">
        <v>0</v>
      </c>
      <c r="AT666" s="1">
        <f t="shared" si="71"/>
        <v>43628814</v>
      </c>
    </row>
    <row r="667" spans="1:46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21123136</v>
      </c>
      <c r="G667" s="1">
        <v>12461670</v>
      </c>
      <c r="H667" s="1">
        <v>0</v>
      </c>
      <c r="I667" s="1">
        <v>16462316</v>
      </c>
      <c r="J667" s="1">
        <v>0</v>
      </c>
      <c r="K667" s="1">
        <v>5500000</v>
      </c>
      <c r="L667" s="1">
        <v>0</v>
      </c>
      <c r="M667" s="1">
        <v>400000</v>
      </c>
      <c r="N667" s="1">
        <v>3346350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8400312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2390250</v>
      </c>
      <c r="AF667" s="1">
        <v>3333807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3346350</v>
      </c>
      <c r="AM667" s="1">
        <v>0</v>
      </c>
      <c r="AN667" s="1">
        <v>77864191</v>
      </c>
      <c r="AO667" s="1">
        <v>29464494</v>
      </c>
      <c r="AP667" s="1">
        <v>48399697</v>
      </c>
      <c r="AQ667" s="1">
        <v>14906077</v>
      </c>
      <c r="AR667" s="1">
        <v>2235912</v>
      </c>
      <c r="AS667" s="1">
        <v>0</v>
      </c>
      <c r="AT667" s="1">
        <f t="shared" si="71"/>
        <v>95006180</v>
      </c>
    </row>
    <row r="668" spans="1:46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8621282</v>
      </c>
      <c r="G668" s="1">
        <v>6001734</v>
      </c>
      <c r="H668" s="1">
        <v>0</v>
      </c>
      <c r="I668" s="1">
        <v>7414302</v>
      </c>
      <c r="J668" s="1">
        <v>0</v>
      </c>
      <c r="K668" s="1">
        <v>0</v>
      </c>
      <c r="L668" s="1">
        <v>3345440</v>
      </c>
      <c r="M668" s="1">
        <v>400000</v>
      </c>
      <c r="N668" s="1">
        <v>4598018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2542905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1111269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35134950</v>
      </c>
      <c r="AO668" s="1">
        <v>4967106</v>
      </c>
      <c r="AP668" s="1">
        <v>30167844</v>
      </c>
      <c r="AQ668" s="1">
        <v>6804736</v>
      </c>
      <c r="AR668" s="1">
        <v>1020710</v>
      </c>
      <c r="AS668" s="1">
        <v>0</v>
      </c>
      <c r="AT668" s="1">
        <f t="shared" si="71"/>
        <v>42960396</v>
      </c>
    </row>
    <row r="669" spans="1:46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7143245</v>
      </c>
      <c r="G669" s="1">
        <v>5624050</v>
      </c>
      <c r="H669" s="1">
        <v>0</v>
      </c>
      <c r="I669" s="1">
        <v>4428812</v>
      </c>
      <c r="J669" s="1">
        <v>0</v>
      </c>
      <c r="K669" s="1">
        <v>0</v>
      </c>
      <c r="L669" s="1">
        <v>4718010</v>
      </c>
      <c r="M669" s="1">
        <v>400000</v>
      </c>
      <c r="N669" s="1">
        <v>3571624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6766462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2979254</v>
      </c>
      <c r="AE669" s="1">
        <v>0</v>
      </c>
      <c r="AF669" s="1">
        <v>3333807</v>
      </c>
      <c r="AG669" s="1">
        <v>0</v>
      </c>
      <c r="AH669" s="1">
        <v>0</v>
      </c>
      <c r="AI669" s="1">
        <v>0</v>
      </c>
      <c r="AJ669" s="1">
        <v>3856491</v>
      </c>
      <c r="AK669" s="1">
        <v>0</v>
      </c>
      <c r="AL669" s="1">
        <v>0</v>
      </c>
      <c r="AM669" s="1">
        <v>0</v>
      </c>
      <c r="AN669" s="1">
        <v>43921755</v>
      </c>
      <c r="AO669" s="1">
        <v>6369680</v>
      </c>
      <c r="AP669" s="1">
        <v>37552075</v>
      </c>
      <c r="AQ669" s="1">
        <v>8117590</v>
      </c>
      <c r="AR669" s="1">
        <v>1217638</v>
      </c>
      <c r="AS669" s="1">
        <v>0</v>
      </c>
      <c r="AT669" s="1">
        <f t="shared" si="71"/>
        <v>53256983</v>
      </c>
    </row>
    <row r="670" spans="1:46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14760492</v>
      </c>
      <c r="G670" s="1">
        <v>870531</v>
      </c>
      <c r="H670" s="1">
        <v>0</v>
      </c>
      <c r="I670" s="1">
        <v>11377122</v>
      </c>
      <c r="J670" s="1">
        <v>0</v>
      </c>
      <c r="K670" s="1">
        <v>4125000</v>
      </c>
      <c r="L670" s="1">
        <v>0</v>
      </c>
      <c r="M670" s="1">
        <v>400000</v>
      </c>
      <c r="N670" s="1">
        <v>2437955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1342000</v>
      </c>
      <c r="U670" s="1">
        <v>0</v>
      </c>
      <c r="V670" s="1">
        <v>5017721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1741396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3134513</v>
      </c>
      <c r="AM670" s="1">
        <v>0</v>
      </c>
      <c r="AN670" s="1">
        <v>46306730</v>
      </c>
      <c r="AO670" s="1">
        <v>5144074</v>
      </c>
      <c r="AP670" s="1">
        <v>41162656</v>
      </c>
      <c r="AQ670" s="1">
        <v>8992946</v>
      </c>
      <c r="AR670" s="1">
        <v>1348942</v>
      </c>
      <c r="AS670" s="1">
        <v>0</v>
      </c>
      <c r="AT670" s="1">
        <f t="shared" si="71"/>
        <v>56648618</v>
      </c>
    </row>
    <row r="671" spans="1:46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14506095</v>
      </c>
      <c r="G671" s="1">
        <v>6902286</v>
      </c>
      <c r="H671" s="1">
        <v>0</v>
      </c>
      <c r="I671" s="1">
        <v>11420555</v>
      </c>
      <c r="J671" s="1">
        <v>0</v>
      </c>
      <c r="K671" s="1">
        <v>5500000</v>
      </c>
      <c r="L671" s="1">
        <v>0</v>
      </c>
      <c r="M671" s="1">
        <v>400000</v>
      </c>
      <c r="N671" s="1">
        <v>2396583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1342000</v>
      </c>
      <c r="U671" s="1">
        <v>0</v>
      </c>
      <c r="V671" s="1">
        <v>11608791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1711845</v>
      </c>
      <c r="AF671" s="1">
        <v>2222538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4108428</v>
      </c>
      <c r="AM671" s="1">
        <v>0</v>
      </c>
      <c r="AN671" s="1">
        <v>63219121</v>
      </c>
      <c r="AO671" s="1">
        <v>26814232</v>
      </c>
      <c r="AP671" s="1">
        <v>36404889</v>
      </c>
      <c r="AQ671" s="1">
        <v>11930917</v>
      </c>
      <c r="AR671" s="1">
        <v>1789637</v>
      </c>
      <c r="AS671" s="1">
        <v>0</v>
      </c>
      <c r="AT671" s="1">
        <f t="shared" si="71"/>
        <v>76939675</v>
      </c>
    </row>
    <row r="672" spans="1:46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7501081</v>
      </c>
      <c r="G672" s="1">
        <v>8601861</v>
      </c>
      <c r="H672" s="1">
        <v>0</v>
      </c>
      <c r="I672" s="1">
        <v>5400778</v>
      </c>
      <c r="J672" s="1">
        <v>0</v>
      </c>
      <c r="K672" s="1">
        <v>0</v>
      </c>
      <c r="L672" s="1">
        <v>3500010</v>
      </c>
      <c r="M672" s="1">
        <v>400000</v>
      </c>
      <c r="N672" s="1">
        <v>3974083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4965404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2222538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37665755</v>
      </c>
      <c r="AO672" s="1">
        <v>4451531</v>
      </c>
      <c r="AP672" s="1">
        <v>33214224</v>
      </c>
      <c r="AQ672" s="1">
        <v>7088643</v>
      </c>
      <c r="AR672" s="1">
        <v>1063297</v>
      </c>
      <c r="AS672" s="1">
        <v>0</v>
      </c>
      <c r="AT672" s="1">
        <f t="shared" si="71"/>
        <v>45817695</v>
      </c>
    </row>
    <row r="673" spans="1:46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5">"قراردادي بهره بردار"</f>
        <v>قراردادي بهره بردار</v>
      </c>
      <c r="E673" s="1" t="str">
        <f t="shared" ref="E673:E684" si="76">"پروژه بهره برداري نيروگاه بوشهر"</f>
        <v>پروژه بهره برداري نيروگاه بوشهر</v>
      </c>
      <c r="F673" s="1">
        <v>11107940</v>
      </c>
      <c r="G673" s="1">
        <v>9987860</v>
      </c>
      <c r="H673" s="1">
        <v>0</v>
      </c>
      <c r="I673" s="1">
        <v>9185604</v>
      </c>
      <c r="J673" s="1">
        <v>0</v>
      </c>
      <c r="K673" s="1">
        <v>3465000</v>
      </c>
      <c r="L673" s="1">
        <v>0</v>
      </c>
      <c r="M673" s="1">
        <v>400000</v>
      </c>
      <c r="N673" s="1">
        <v>2053340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1342000</v>
      </c>
      <c r="U673" s="1">
        <v>0</v>
      </c>
      <c r="V673" s="1">
        <v>10169777</v>
      </c>
      <c r="W673" s="1">
        <v>1100000</v>
      </c>
      <c r="X673" s="1">
        <v>1723646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1466670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8729731</v>
      </c>
      <c r="AM673" s="1">
        <v>0</v>
      </c>
      <c r="AN673" s="1">
        <v>60731568</v>
      </c>
      <c r="AO673" s="1">
        <v>26647457</v>
      </c>
      <c r="AP673" s="1">
        <v>34084111</v>
      </c>
      <c r="AQ673" s="1">
        <v>11877914</v>
      </c>
      <c r="AR673" s="1">
        <v>1781687</v>
      </c>
      <c r="AS673" s="1">
        <v>0</v>
      </c>
      <c r="AT673" s="1">
        <f t="shared" si="71"/>
        <v>74391169</v>
      </c>
    </row>
    <row r="674" spans="1:46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5"/>
        <v>قراردادي بهره بردار</v>
      </c>
      <c r="E674" s="1" t="str">
        <f t="shared" si="76"/>
        <v>پروژه بهره برداري نيروگاه بوشهر</v>
      </c>
      <c r="F674" s="1">
        <v>10761915</v>
      </c>
      <c r="G674" s="1">
        <v>1848592</v>
      </c>
      <c r="H674" s="1">
        <v>0</v>
      </c>
      <c r="I674" s="1">
        <v>7971848</v>
      </c>
      <c r="J674" s="1">
        <v>0</v>
      </c>
      <c r="K674" s="1">
        <v>3465000</v>
      </c>
      <c r="L674" s="1">
        <v>0</v>
      </c>
      <c r="M674" s="1">
        <v>400000</v>
      </c>
      <c r="N674" s="1">
        <v>1898407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1342000</v>
      </c>
      <c r="U674" s="1">
        <v>0</v>
      </c>
      <c r="V674" s="1">
        <v>6430419</v>
      </c>
      <c r="W674" s="1">
        <v>1100000</v>
      </c>
      <c r="X674" s="1">
        <v>1669952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1356005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6591467</v>
      </c>
      <c r="AM674" s="1">
        <v>0</v>
      </c>
      <c r="AN674" s="1">
        <v>44835605</v>
      </c>
      <c r="AO674" s="1">
        <v>5226925</v>
      </c>
      <c r="AP674" s="1">
        <v>39608680</v>
      </c>
      <c r="AQ674" s="1">
        <v>8698721</v>
      </c>
      <c r="AR674" s="1">
        <v>1304808</v>
      </c>
      <c r="AS674" s="1">
        <v>0</v>
      </c>
      <c r="AT674" s="1">
        <f t="shared" si="71"/>
        <v>54839134</v>
      </c>
    </row>
    <row r="675" spans="1:46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5"/>
        <v>قراردادي بهره بردار</v>
      </c>
      <c r="E675" s="1" t="str">
        <f t="shared" si="76"/>
        <v>پروژه بهره برداري نيروگاه بوشهر</v>
      </c>
      <c r="F675" s="1">
        <v>10692415</v>
      </c>
      <c r="G675" s="1">
        <v>7330255</v>
      </c>
      <c r="H675" s="1">
        <v>0</v>
      </c>
      <c r="I675" s="1">
        <v>7640948</v>
      </c>
      <c r="J675" s="1">
        <v>0</v>
      </c>
      <c r="K675" s="1">
        <v>4620000</v>
      </c>
      <c r="L675" s="1">
        <v>0</v>
      </c>
      <c r="M675" s="1">
        <v>400000</v>
      </c>
      <c r="N675" s="1">
        <v>1898139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1342000</v>
      </c>
      <c r="U675" s="1">
        <v>0</v>
      </c>
      <c r="V675" s="1">
        <v>12225012</v>
      </c>
      <c r="W675" s="1">
        <v>1100000</v>
      </c>
      <c r="X675" s="1">
        <v>1659168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1355814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6678606</v>
      </c>
      <c r="AM675" s="1">
        <v>0</v>
      </c>
      <c r="AN675" s="1">
        <v>56942357</v>
      </c>
      <c r="AO675" s="1">
        <v>8116244</v>
      </c>
      <c r="AP675" s="1">
        <v>48826113</v>
      </c>
      <c r="AQ675" s="1">
        <v>11120071</v>
      </c>
      <c r="AR675" s="1">
        <v>1668011</v>
      </c>
      <c r="AS675" s="1">
        <v>0</v>
      </c>
      <c r="AT675" s="1">
        <f t="shared" si="71"/>
        <v>69730439</v>
      </c>
    </row>
    <row r="676" spans="1:46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5"/>
        <v>قراردادي بهره بردار</v>
      </c>
      <c r="E676" s="1" t="str">
        <f t="shared" si="76"/>
        <v>پروژه بهره برداري نيروگاه بوشهر</v>
      </c>
      <c r="F676" s="1">
        <v>15087607</v>
      </c>
      <c r="G676" s="1">
        <v>6717010</v>
      </c>
      <c r="H676" s="1">
        <v>0</v>
      </c>
      <c r="I676" s="1">
        <v>11854689</v>
      </c>
      <c r="J676" s="1">
        <v>0</v>
      </c>
      <c r="K676" s="1">
        <v>5500000</v>
      </c>
      <c r="L676" s="1">
        <v>0</v>
      </c>
      <c r="M676" s="1">
        <v>400000</v>
      </c>
      <c r="N676" s="1">
        <v>2578010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7359368</v>
      </c>
      <c r="W676" s="1">
        <v>1100000</v>
      </c>
      <c r="X676" s="1">
        <v>959573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1841435</v>
      </c>
      <c r="AF676" s="1">
        <v>1111269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3682871</v>
      </c>
      <c r="AM676" s="1">
        <v>0</v>
      </c>
      <c r="AN676" s="1">
        <v>58191832</v>
      </c>
      <c r="AO676" s="1">
        <v>7330662</v>
      </c>
      <c r="AP676" s="1">
        <v>50861170</v>
      </c>
      <c r="AQ676" s="1">
        <v>11416113</v>
      </c>
      <c r="AR676" s="1">
        <v>1712417</v>
      </c>
      <c r="AS676" s="1">
        <v>0</v>
      </c>
      <c r="AT676" s="1">
        <f t="shared" si="71"/>
        <v>71320362</v>
      </c>
    </row>
    <row r="677" spans="1:46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5"/>
        <v>قراردادي بهره بردار</v>
      </c>
      <c r="E677" s="1" t="str">
        <f t="shared" si="76"/>
        <v>پروژه بهره برداري نيروگاه بوشهر</v>
      </c>
      <c r="F677" s="1">
        <v>7302548</v>
      </c>
      <c r="G677" s="1">
        <v>0</v>
      </c>
      <c r="H677" s="1">
        <v>0</v>
      </c>
      <c r="I677" s="1">
        <v>3431753</v>
      </c>
      <c r="J677" s="1">
        <v>0</v>
      </c>
      <c r="K677" s="1">
        <v>3465000</v>
      </c>
      <c r="L677" s="1">
        <v>0</v>
      </c>
      <c r="M677" s="1">
        <v>400000</v>
      </c>
      <c r="N677" s="1">
        <v>921958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1323676</v>
      </c>
      <c r="W677" s="1">
        <v>1100000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658542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921958</v>
      </c>
      <c r="AM677" s="1">
        <v>0</v>
      </c>
      <c r="AN677" s="1">
        <v>19525435</v>
      </c>
      <c r="AO677" s="1">
        <v>1406780</v>
      </c>
      <c r="AP677" s="1">
        <v>18118655</v>
      </c>
      <c r="AQ677" s="1">
        <v>3905087</v>
      </c>
      <c r="AR677" s="1">
        <v>585763</v>
      </c>
      <c r="AS677" s="1">
        <v>0</v>
      </c>
      <c r="AT677" s="1">
        <f t="shared" si="71"/>
        <v>24016285</v>
      </c>
    </row>
    <row r="678" spans="1:46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5"/>
        <v>قراردادي بهره بردار</v>
      </c>
      <c r="E678" s="1" t="str">
        <f t="shared" si="76"/>
        <v>پروژه بهره برداري نيروگاه بوشهر</v>
      </c>
      <c r="F678" s="1">
        <v>11112597</v>
      </c>
      <c r="G678" s="1">
        <v>12323901</v>
      </c>
      <c r="H678" s="1">
        <v>0</v>
      </c>
      <c r="I678" s="1">
        <v>9444041</v>
      </c>
      <c r="J678" s="1">
        <v>0</v>
      </c>
      <c r="K678" s="1">
        <v>4620000</v>
      </c>
      <c r="L678" s="1">
        <v>0</v>
      </c>
      <c r="M678" s="1">
        <v>400000</v>
      </c>
      <c r="N678" s="1">
        <v>2056235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1342000</v>
      </c>
      <c r="U678" s="1">
        <v>0</v>
      </c>
      <c r="V678" s="1">
        <v>10174310</v>
      </c>
      <c r="W678" s="1">
        <v>1100000</v>
      </c>
      <c r="X678" s="1">
        <v>1724369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1468739</v>
      </c>
      <c r="AF678" s="1">
        <v>1111269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8738741</v>
      </c>
      <c r="AM678" s="1">
        <v>0</v>
      </c>
      <c r="AN678" s="1">
        <v>65616202</v>
      </c>
      <c r="AO678" s="1">
        <v>32681367</v>
      </c>
      <c r="AP678" s="1">
        <v>32934835</v>
      </c>
      <c r="AQ678" s="1">
        <v>12632587</v>
      </c>
      <c r="AR678" s="1">
        <v>1894888</v>
      </c>
      <c r="AS678" s="1">
        <v>0</v>
      </c>
      <c r="AT678" s="1">
        <f t="shared" si="71"/>
        <v>80143677</v>
      </c>
    </row>
    <row r="679" spans="1:46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11148005</v>
      </c>
      <c r="G679" s="1">
        <v>6404764</v>
      </c>
      <c r="H679" s="1">
        <v>0</v>
      </c>
      <c r="I679" s="1">
        <v>8942017</v>
      </c>
      <c r="J679" s="1">
        <v>0</v>
      </c>
      <c r="K679" s="1">
        <v>4620000</v>
      </c>
      <c r="L679" s="1">
        <v>0</v>
      </c>
      <c r="M679" s="1">
        <v>400000</v>
      </c>
      <c r="N679" s="1">
        <v>2066277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1342000</v>
      </c>
      <c r="U679" s="1">
        <v>0</v>
      </c>
      <c r="V679" s="1">
        <v>10046470</v>
      </c>
      <c r="W679" s="1">
        <v>1100000</v>
      </c>
      <c r="X679" s="1">
        <v>1729863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1475912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8775757</v>
      </c>
      <c r="AM679" s="1">
        <v>0</v>
      </c>
      <c r="AN679" s="1">
        <v>58051065</v>
      </c>
      <c r="AO679" s="1">
        <v>29363535</v>
      </c>
      <c r="AP679" s="1">
        <v>28687530</v>
      </c>
      <c r="AQ679" s="1">
        <v>11341813</v>
      </c>
      <c r="AR679" s="1">
        <v>1701272</v>
      </c>
      <c r="AS679" s="1">
        <v>0</v>
      </c>
      <c r="AT679" s="1">
        <f t="shared" si="71"/>
        <v>71094150</v>
      </c>
    </row>
    <row r="680" spans="1:46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11103545</v>
      </c>
      <c r="G680" s="1">
        <v>1604624</v>
      </c>
      <c r="H680" s="1">
        <v>0</v>
      </c>
      <c r="I680" s="1">
        <v>8729532</v>
      </c>
      <c r="J680" s="1">
        <v>0</v>
      </c>
      <c r="K680" s="1">
        <v>4620000</v>
      </c>
      <c r="L680" s="1">
        <v>0</v>
      </c>
      <c r="M680" s="1">
        <v>400000</v>
      </c>
      <c r="N680" s="1">
        <v>2019967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1342000</v>
      </c>
      <c r="U680" s="1">
        <v>0</v>
      </c>
      <c r="V680" s="1">
        <v>8234166</v>
      </c>
      <c r="W680" s="1">
        <v>1100000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1442833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3924507</v>
      </c>
      <c r="AM680" s="1">
        <v>0</v>
      </c>
      <c r="AN680" s="1">
        <v>44521174</v>
      </c>
      <c r="AO680" s="1">
        <v>4844101</v>
      </c>
      <c r="AP680" s="1">
        <v>39677073</v>
      </c>
      <c r="AQ680" s="1">
        <v>8635835</v>
      </c>
      <c r="AR680" s="1">
        <v>1295375</v>
      </c>
      <c r="AS680" s="1">
        <v>0</v>
      </c>
      <c r="AT680" s="1">
        <f t="shared" si="71"/>
        <v>54452384</v>
      </c>
    </row>
    <row r="681" spans="1:46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11145409</v>
      </c>
      <c r="G681" s="1">
        <v>5478996</v>
      </c>
      <c r="H681" s="1">
        <v>0</v>
      </c>
      <c r="I681" s="1">
        <v>9133399</v>
      </c>
      <c r="J681" s="1">
        <v>0</v>
      </c>
      <c r="K681" s="1">
        <v>4620000</v>
      </c>
      <c r="L681" s="1">
        <v>0</v>
      </c>
      <c r="M681" s="1">
        <v>400000</v>
      </c>
      <c r="N681" s="1">
        <v>2046738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1342000</v>
      </c>
      <c r="U681" s="1">
        <v>0</v>
      </c>
      <c r="V681" s="1">
        <v>9646667</v>
      </c>
      <c r="W681" s="1">
        <v>1100000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1461956</v>
      </c>
      <c r="AF681" s="1">
        <v>1111269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4795215</v>
      </c>
      <c r="AM681" s="1">
        <v>0</v>
      </c>
      <c r="AN681" s="1">
        <v>52281649</v>
      </c>
      <c r="AO681" s="1">
        <v>7147746</v>
      </c>
      <c r="AP681" s="1">
        <v>45133903</v>
      </c>
      <c r="AQ681" s="1">
        <v>9965676</v>
      </c>
      <c r="AR681" s="1">
        <v>1494851</v>
      </c>
      <c r="AS681" s="1">
        <v>0</v>
      </c>
      <c r="AT681" s="1">
        <f t="shared" si="71"/>
        <v>63742176</v>
      </c>
    </row>
    <row r="682" spans="1:46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9930108</v>
      </c>
      <c r="G682" s="1">
        <v>7207074</v>
      </c>
      <c r="H682" s="1">
        <v>0</v>
      </c>
      <c r="I682" s="1">
        <v>7022768</v>
      </c>
      <c r="J682" s="1">
        <v>0</v>
      </c>
      <c r="K682" s="1">
        <v>4620000</v>
      </c>
      <c r="L682" s="1">
        <v>0</v>
      </c>
      <c r="M682" s="1">
        <v>400000</v>
      </c>
      <c r="N682" s="1">
        <v>1614871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1342000</v>
      </c>
      <c r="U682" s="1">
        <v>0</v>
      </c>
      <c r="V682" s="1">
        <v>11094994</v>
      </c>
      <c r="W682" s="1">
        <v>1100000</v>
      </c>
      <c r="X682" s="1">
        <v>1540879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1153480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5931940</v>
      </c>
      <c r="AM682" s="1">
        <v>0</v>
      </c>
      <c r="AN682" s="1">
        <v>52958114</v>
      </c>
      <c r="AO682" s="1">
        <v>6261507</v>
      </c>
      <c r="AP682" s="1">
        <v>46696607</v>
      </c>
      <c r="AQ682" s="1">
        <v>10323223</v>
      </c>
      <c r="AR682" s="1">
        <v>1548483</v>
      </c>
      <c r="AS682" s="1">
        <v>0</v>
      </c>
      <c r="AT682" s="1">
        <f t="shared" si="71"/>
        <v>64829820</v>
      </c>
    </row>
    <row r="683" spans="1:46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12974820</v>
      </c>
      <c r="G683" s="1">
        <v>5042800</v>
      </c>
      <c r="H683" s="1">
        <v>0</v>
      </c>
      <c r="I683" s="1">
        <v>11106922</v>
      </c>
      <c r="J683" s="1">
        <v>0</v>
      </c>
      <c r="K683" s="1">
        <v>0</v>
      </c>
      <c r="L683" s="1">
        <v>0</v>
      </c>
      <c r="M683" s="1">
        <v>400000</v>
      </c>
      <c r="N683" s="1">
        <v>2507912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1342000</v>
      </c>
      <c r="U683" s="1">
        <v>0</v>
      </c>
      <c r="V683" s="1">
        <v>7813118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1791365</v>
      </c>
      <c r="AF683" s="1">
        <v>2222538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5589061</v>
      </c>
      <c r="AM683" s="1">
        <v>0</v>
      </c>
      <c r="AN683" s="1">
        <v>51890536</v>
      </c>
      <c r="AO683" s="1">
        <v>5931022</v>
      </c>
      <c r="AP683" s="1">
        <v>45959514</v>
      </c>
      <c r="AQ683" s="1">
        <v>9665200</v>
      </c>
      <c r="AR683" s="1">
        <v>1449780</v>
      </c>
      <c r="AS683" s="1">
        <v>0</v>
      </c>
      <c r="AT683" s="1">
        <f t="shared" si="71"/>
        <v>63005516</v>
      </c>
    </row>
    <row r="684" spans="1:46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10718199</v>
      </c>
      <c r="G684" s="1">
        <v>1581956</v>
      </c>
      <c r="H684" s="1">
        <v>0</v>
      </c>
      <c r="I684" s="1">
        <v>8567056</v>
      </c>
      <c r="J684" s="1">
        <v>0</v>
      </c>
      <c r="K684" s="1">
        <v>4620000</v>
      </c>
      <c r="L684" s="1">
        <v>0</v>
      </c>
      <c r="M684" s="1">
        <v>400000</v>
      </c>
      <c r="N684" s="1">
        <v>1913674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1342000</v>
      </c>
      <c r="U684" s="1">
        <v>0</v>
      </c>
      <c r="V684" s="1">
        <v>12663854</v>
      </c>
      <c r="W684" s="1">
        <v>1100000</v>
      </c>
      <c r="X684" s="1">
        <v>1581956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1366909</v>
      </c>
      <c r="AF684" s="1">
        <v>2222538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6714749</v>
      </c>
      <c r="AM684" s="1">
        <v>0</v>
      </c>
      <c r="AN684" s="1">
        <v>54792891</v>
      </c>
      <c r="AO684" s="1">
        <v>8298617</v>
      </c>
      <c r="AP684" s="1">
        <v>46494274</v>
      </c>
      <c r="AQ684" s="1">
        <v>10245671</v>
      </c>
      <c r="AR684" s="1">
        <v>1536851</v>
      </c>
      <c r="AS684" s="1">
        <v>0</v>
      </c>
      <c r="AT684" s="1">
        <f t="shared" si="71"/>
        <v>66575413</v>
      </c>
    </row>
    <row r="685" spans="1:46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5009196</v>
      </c>
      <c r="G685" s="1">
        <v>3345608</v>
      </c>
      <c r="H685" s="1">
        <v>0</v>
      </c>
      <c r="I685" s="1">
        <v>3656713</v>
      </c>
      <c r="J685" s="1">
        <v>0</v>
      </c>
      <c r="K685" s="1">
        <v>0</v>
      </c>
      <c r="L685" s="1">
        <v>3500010</v>
      </c>
      <c r="M685" s="1">
        <v>400000</v>
      </c>
      <c r="N685" s="1">
        <v>2653879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3660705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2299624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2676487</v>
      </c>
      <c r="AK685" s="1">
        <v>0</v>
      </c>
      <c r="AL685" s="1">
        <v>0</v>
      </c>
      <c r="AM685" s="1">
        <v>0</v>
      </c>
      <c r="AN685" s="1">
        <v>28302222</v>
      </c>
      <c r="AO685" s="1">
        <v>2469922</v>
      </c>
      <c r="AP685" s="1">
        <v>25832300</v>
      </c>
      <c r="AQ685" s="1">
        <v>5660444</v>
      </c>
      <c r="AR685" s="1">
        <v>849067</v>
      </c>
      <c r="AS685" s="1">
        <v>0</v>
      </c>
      <c r="AT685" s="1">
        <f t="shared" si="71"/>
        <v>34811733</v>
      </c>
    </row>
    <row r="686" spans="1:46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7">"قراردادي بهره بردار"</f>
        <v>قراردادي بهره بردار</v>
      </c>
      <c r="E686" s="1" t="str">
        <f t="shared" ref="E686:E714" si="78">"پروژه بهره برداري نيروگاه بوشهر"</f>
        <v>پروژه بهره برداري نيروگاه بوشهر</v>
      </c>
      <c r="F686" s="1">
        <v>9879938</v>
      </c>
      <c r="G686" s="1">
        <v>1944140</v>
      </c>
      <c r="H686" s="1">
        <v>0</v>
      </c>
      <c r="I686" s="1">
        <v>6877374</v>
      </c>
      <c r="J686" s="1">
        <v>0</v>
      </c>
      <c r="K686" s="1">
        <v>4620000</v>
      </c>
      <c r="L686" s="1">
        <v>0</v>
      </c>
      <c r="M686" s="1">
        <v>400000</v>
      </c>
      <c r="N686" s="1">
        <v>1597674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10935885</v>
      </c>
      <c r="W686" s="1">
        <v>1100000</v>
      </c>
      <c r="X686" s="1">
        <v>1533094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1141195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6387568</v>
      </c>
      <c r="AM686" s="1">
        <v>0</v>
      </c>
      <c r="AN686" s="1">
        <v>46416868</v>
      </c>
      <c r="AO686" s="1">
        <v>15428035</v>
      </c>
      <c r="AP686" s="1">
        <v>30988833</v>
      </c>
      <c r="AQ686" s="1">
        <v>9283374</v>
      </c>
      <c r="AR686" s="1">
        <v>1392506</v>
      </c>
      <c r="AS686" s="1">
        <v>0</v>
      </c>
      <c r="AT686" s="1">
        <f t="shared" si="71"/>
        <v>57092748</v>
      </c>
    </row>
    <row r="687" spans="1:46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7"/>
        <v>قراردادي بهره بردار</v>
      </c>
      <c r="E687" s="1" t="str">
        <f t="shared" si="78"/>
        <v>پروژه بهره برداري نيروگاه بوشهر</v>
      </c>
      <c r="F687" s="1">
        <v>10849961</v>
      </c>
      <c r="G687" s="1">
        <v>2123051</v>
      </c>
      <c r="H687" s="1">
        <v>0</v>
      </c>
      <c r="I687" s="1">
        <v>7887174</v>
      </c>
      <c r="J687" s="1">
        <v>0</v>
      </c>
      <c r="K687" s="1">
        <v>4620000</v>
      </c>
      <c r="L687" s="1">
        <v>0</v>
      </c>
      <c r="M687" s="1">
        <v>400000</v>
      </c>
      <c r="N687" s="1">
        <v>1930127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1342000</v>
      </c>
      <c r="U687" s="1">
        <v>0</v>
      </c>
      <c r="V687" s="1">
        <v>6461998</v>
      </c>
      <c r="W687" s="1">
        <v>1100000</v>
      </c>
      <c r="X687" s="1">
        <v>1683615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1378663</v>
      </c>
      <c r="AF687" s="1">
        <v>1111269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6674071</v>
      </c>
      <c r="AM687" s="1">
        <v>0</v>
      </c>
      <c r="AN687" s="1">
        <v>47561929</v>
      </c>
      <c r="AO687" s="1">
        <v>9078993</v>
      </c>
      <c r="AP687" s="1">
        <v>38482936</v>
      </c>
      <c r="AQ687" s="1">
        <v>9021732</v>
      </c>
      <c r="AR687" s="1">
        <v>1353260</v>
      </c>
      <c r="AS687" s="1">
        <v>0</v>
      </c>
      <c r="AT687" s="1">
        <f t="shared" si="71"/>
        <v>57936921</v>
      </c>
    </row>
    <row r="688" spans="1:46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7"/>
        <v>قراردادي بهره بردار</v>
      </c>
      <c r="E688" s="1" t="str">
        <f t="shared" si="78"/>
        <v>پروژه بهره برداري نيروگاه بوشهر</v>
      </c>
      <c r="F688" s="1">
        <v>10128386</v>
      </c>
      <c r="G688" s="1">
        <v>4821473</v>
      </c>
      <c r="H688" s="1">
        <v>0</v>
      </c>
      <c r="I688" s="1">
        <v>7100549</v>
      </c>
      <c r="J688" s="1">
        <v>0</v>
      </c>
      <c r="K688" s="1">
        <v>4620000</v>
      </c>
      <c r="L688" s="1">
        <v>0</v>
      </c>
      <c r="M688" s="1">
        <v>400000</v>
      </c>
      <c r="N688" s="1">
        <v>1687886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1342000</v>
      </c>
      <c r="U688" s="1">
        <v>0</v>
      </c>
      <c r="V688" s="1">
        <v>11351997</v>
      </c>
      <c r="W688" s="1">
        <v>1100000</v>
      </c>
      <c r="X688" s="1">
        <v>1571646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1205632</v>
      </c>
      <c r="AF688" s="1">
        <v>2222538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6124935</v>
      </c>
      <c r="AM688" s="1">
        <v>0</v>
      </c>
      <c r="AN688" s="1">
        <v>53677042</v>
      </c>
      <c r="AO688" s="1">
        <v>9946373</v>
      </c>
      <c r="AP688" s="1">
        <v>43730669</v>
      </c>
      <c r="AQ688" s="1">
        <v>10022501</v>
      </c>
      <c r="AR688" s="1">
        <v>1503375</v>
      </c>
      <c r="AS688" s="1">
        <v>0</v>
      </c>
      <c r="AT688" s="1">
        <f t="shared" si="71"/>
        <v>65202918</v>
      </c>
    </row>
    <row r="689" spans="1:46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7"/>
        <v>قراردادي بهره بردار</v>
      </c>
      <c r="E689" s="1" t="str">
        <f t="shared" si="78"/>
        <v>پروژه بهره برداري نيروگاه بوشهر</v>
      </c>
      <c r="F689" s="1">
        <v>10642468</v>
      </c>
      <c r="G689" s="1">
        <v>5026722</v>
      </c>
      <c r="H689" s="1">
        <v>0</v>
      </c>
      <c r="I689" s="1">
        <v>7488868</v>
      </c>
      <c r="J689" s="1">
        <v>0</v>
      </c>
      <c r="K689" s="1">
        <v>3465000</v>
      </c>
      <c r="L689" s="1">
        <v>0</v>
      </c>
      <c r="M689" s="1">
        <v>400000</v>
      </c>
      <c r="N689" s="1">
        <v>1874868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11447782</v>
      </c>
      <c r="W689" s="1">
        <v>1100000</v>
      </c>
      <c r="X689" s="1">
        <v>1651418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1339192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6406802</v>
      </c>
      <c r="AM689" s="1">
        <v>0</v>
      </c>
      <c r="AN689" s="1">
        <v>50843120</v>
      </c>
      <c r="AO689" s="1">
        <v>6171643</v>
      </c>
      <c r="AP689" s="1">
        <v>44671477</v>
      </c>
      <c r="AQ689" s="1">
        <v>10168624</v>
      </c>
      <c r="AR689" s="1">
        <v>1525294</v>
      </c>
      <c r="AS689" s="1">
        <v>0</v>
      </c>
      <c r="AT689" s="1">
        <f t="shared" si="71"/>
        <v>62537038</v>
      </c>
    </row>
    <row r="690" spans="1:46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7"/>
        <v>قراردادي بهره بردار</v>
      </c>
      <c r="E690" s="1" t="str">
        <f t="shared" si="78"/>
        <v>پروژه بهره برداري نيروگاه بوشهر</v>
      </c>
      <c r="F690" s="1">
        <v>11010848</v>
      </c>
      <c r="G690" s="1">
        <v>9941995</v>
      </c>
      <c r="H690" s="1">
        <v>0</v>
      </c>
      <c r="I690" s="1">
        <v>8576185</v>
      </c>
      <c r="J690" s="1">
        <v>0</v>
      </c>
      <c r="K690" s="1">
        <v>3465000</v>
      </c>
      <c r="L690" s="1">
        <v>0</v>
      </c>
      <c r="M690" s="1">
        <v>400000</v>
      </c>
      <c r="N690" s="1">
        <v>1997109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1342000</v>
      </c>
      <c r="U690" s="1">
        <v>0</v>
      </c>
      <c r="V690" s="1">
        <v>9968252</v>
      </c>
      <c r="W690" s="1">
        <v>1100000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1426506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4678941</v>
      </c>
      <c r="AM690" s="1">
        <v>0</v>
      </c>
      <c r="AN690" s="1">
        <v>53906836</v>
      </c>
      <c r="AO690" s="1">
        <v>8808102</v>
      </c>
      <c r="AP690" s="1">
        <v>45098734</v>
      </c>
      <c r="AQ690" s="1">
        <v>10512967</v>
      </c>
      <c r="AR690" s="1">
        <v>1576945</v>
      </c>
      <c r="AS690" s="1">
        <v>0</v>
      </c>
      <c r="AT690" s="1">
        <f t="shared" si="71"/>
        <v>65996748</v>
      </c>
    </row>
    <row r="691" spans="1:46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7"/>
        <v>قراردادي بهره بردار</v>
      </c>
      <c r="E691" s="1" t="str">
        <f t="shared" si="78"/>
        <v>پروژه بهره برداري نيروگاه بوشهر</v>
      </c>
      <c r="F691" s="1">
        <v>10340109</v>
      </c>
      <c r="G691" s="1">
        <v>4379284</v>
      </c>
      <c r="H691" s="1">
        <v>0</v>
      </c>
      <c r="I691" s="1">
        <v>7417915</v>
      </c>
      <c r="J691" s="1">
        <v>0</v>
      </c>
      <c r="K691" s="1">
        <v>4620000</v>
      </c>
      <c r="L691" s="1">
        <v>0</v>
      </c>
      <c r="M691" s="1">
        <v>400000</v>
      </c>
      <c r="N691" s="1">
        <v>1766872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11685661</v>
      </c>
      <c r="W691" s="1">
        <v>1100000</v>
      </c>
      <c r="X691" s="1">
        <v>1459761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1262052</v>
      </c>
      <c r="AF691" s="1">
        <v>1111269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6231920</v>
      </c>
      <c r="AM691" s="1">
        <v>0</v>
      </c>
      <c r="AN691" s="1">
        <v>51774843</v>
      </c>
      <c r="AO691" s="1">
        <v>7391871</v>
      </c>
      <c r="AP691" s="1">
        <v>44382972</v>
      </c>
      <c r="AQ691" s="1">
        <v>10132715</v>
      </c>
      <c r="AR691" s="1">
        <v>1519907</v>
      </c>
      <c r="AS691" s="1">
        <v>0</v>
      </c>
      <c r="AT691" s="1">
        <f t="shared" si="71"/>
        <v>63427465</v>
      </c>
    </row>
    <row r="692" spans="1:46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7"/>
        <v>قراردادي بهره بردار</v>
      </c>
      <c r="E692" s="1" t="str">
        <f t="shared" si="78"/>
        <v>پروژه بهره برداري نيروگاه بوشهر</v>
      </c>
      <c r="F692" s="1">
        <v>10151353</v>
      </c>
      <c r="G692" s="1">
        <v>2532015</v>
      </c>
      <c r="H692" s="1">
        <v>0</v>
      </c>
      <c r="I692" s="1">
        <v>6932433</v>
      </c>
      <c r="J692" s="1">
        <v>0</v>
      </c>
      <c r="K692" s="1">
        <v>0</v>
      </c>
      <c r="L692" s="1">
        <v>0</v>
      </c>
      <c r="M692" s="1">
        <v>400000</v>
      </c>
      <c r="N692" s="1">
        <v>1694659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1342000</v>
      </c>
      <c r="U692" s="1">
        <v>0</v>
      </c>
      <c r="V692" s="1">
        <v>11260694</v>
      </c>
      <c r="W692" s="1">
        <v>1100000</v>
      </c>
      <c r="X692" s="1">
        <v>1575210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1210471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6047373</v>
      </c>
      <c r="AM692" s="1">
        <v>0</v>
      </c>
      <c r="AN692" s="1">
        <v>44246208</v>
      </c>
      <c r="AO692" s="1">
        <v>5905428</v>
      </c>
      <c r="AP692" s="1">
        <v>38340780</v>
      </c>
      <c r="AQ692" s="1">
        <v>8580842</v>
      </c>
      <c r="AR692" s="1">
        <v>1287126</v>
      </c>
      <c r="AS692" s="1">
        <v>0</v>
      </c>
      <c r="AT692" s="1">
        <f t="shared" si="71"/>
        <v>54114176</v>
      </c>
    </row>
    <row r="693" spans="1:46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7"/>
        <v>قراردادي بهره بردار</v>
      </c>
      <c r="E693" s="1" t="str">
        <f t="shared" si="78"/>
        <v>پروژه بهره برداري نيروگاه بوشهر</v>
      </c>
      <c r="F693" s="1">
        <v>10214735</v>
      </c>
      <c r="G693" s="1">
        <v>5729468</v>
      </c>
      <c r="H693" s="1">
        <v>0</v>
      </c>
      <c r="I693" s="1">
        <v>7145313</v>
      </c>
      <c r="J693" s="1">
        <v>0</v>
      </c>
      <c r="K693" s="1">
        <v>4620000</v>
      </c>
      <c r="L693" s="1">
        <v>0</v>
      </c>
      <c r="M693" s="1">
        <v>400000</v>
      </c>
      <c r="N693" s="1">
        <v>1719917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1342000</v>
      </c>
      <c r="U693" s="1">
        <v>0</v>
      </c>
      <c r="V693" s="1">
        <v>11558578</v>
      </c>
      <c r="W693" s="1">
        <v>1100000</v>
      </c>
      <c r="X693" s="1">
        <v>1585045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1228513</v>
      </c>
      <c r="AF693" s="1">
        <v>1111269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6111130</v>
      </c>
      <c r="AM693" s="1">
        <v>0</v>
      </c>
      <c r="AN693" s="1">
        <v>53865968</v>
      </c>
      <c r="AO693" s="1">
        <v>24384783</v>
      </c>
      <c r="AP693" s="1">
        <v>29481185</v>
      </c>
      <c r="AQ693" s="1">
        <v>10282540</v>
      </c>
      <c r="AR693" s="1">
        <v>1542381</v>
      </c>
      <c r="AS693" s="1">
        <v>0</v>
      </c>
      <c r="AT693" s="1">
        <f t="shared" si="71"/>
        <v>65690889</v>
      </c>
    </row>
    <row r="694" spans="1:46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7"/>
        <v>قراردادي بهره بردار</v>
      </c>
      <c r="E694" s="1" t="str">
        <f t="shared" si="78"/>
        <v>پروژه بهره برداري نيروگاه بوشهر</v>
      </c>
      <c r="F694" s="1">
        <v>10923167</v>
      </c>
      <c r="G694" s="1">
        <v>6924183</v>
      </c>
      <c r="H694" s="1">
        <v>0</v>
      </c>
      <c r="I694" s="1">
        <v>9269767</v>
      </c>
      <c r="J694" s="1">
        <v>0</v>
      </c>
      <c r="K694" s="1">
        <v>4620000</v>
      </c>
      <c r="L694" s="1">
        <v>0</v>
      </c>
      <c r="M694" s="1">
        <v>400000</v>
      </c>
      <c r="N694" s="1">
        <v>1956111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1342000</v>
      </c>
      <c r="U694" s="1">
        <v>0</v>
      </c>
      <c r="V694" s="1">
        <v>8406125</v>
      </c>
      <c r="W694" s="1">
        <v>1100000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1397222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3353333</v>
      </c>
      <c r="AM694" s="1">
        <v>0</v>
      </c>
      <c r="AN694" s="1">
        <v>49691908</v>
      </c>
      <c r="AO694" s="1">
        <v>7632785</v>
      </c>
      <c r="AP694" s="1">
        <v>42059123</v>
      </c>
      <c r="AQ694" s="1">
        <v>9669982</v>
      </c>
      <c r="AR694" s="1">
        <v>1450497</v>
      </c>
      <c r="AS694" s="1">
        <v>0</v>
      </c>
      <c r="AT694" s="1">
        <f t="shared" si="71"/>
        <v>60812387</v>
      </c>
    </row>
    <row r="695" spans="1:46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7"/>
        <v>قراردادي بهره بردار</v>
      </c>
      <c r="E695" s="1" t="str">
        <f t="shared" si="78"/>
        <v>پروژه بهره برداري نيروگاه بوشهر</v>
      </c>
      <c r="F695" s="1">
        <v>11112749</v>
      </c>
      <c r="G695" s="1">
        <v>6083489</v>
      </c>
      <c r="H695" s="1">
        <v>0</v>
      </c>
      <c r="I695" s="1">
        <v>8351216</v>
      </c>
      <c r="J695" s="1">
        <v>0</v>
      </c>
      <c r="K695" s="1">
        <v>4620000</v>
      </c>
      <c r="L695" s="1">
        <v>0</v>
      </c>
      <c r="M695" s="1">
        <v>400000</v>
      </c>
      <c r="N695" s="1">
        <v>2053938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12607341</v>
      </c>
      <c r="W695" s="1">
        <v>1100000</v>
      </c>
      <c r="X695" s="1">
        <v>1724392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1467097</v>
      </c>
      <c r="AF695" s="1">
        <v>1111269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6854860</v>
      </c>
      <c r="AM695" s="1">
        <v>0</v>
      </c>
      <c r="AN695" s="1">
        <v>57486351</v>
      </c>
      <c r="AO695" s="1">
        <v>8439041</v>
      </c>
      <c r="AP695" s="1">
        <v>49047310</v>
      </c>
      <c r="AQ695" s="1">
        <v>11275016</v>
      </c>
      <c r="AR695" s="1">
        <v>1691252</v>
      </c>
      <c r="AS695" s="1">
        <v>0</v>
      </c>
      <c r="AT695" s="1">
        <f t="shared" si="71"/>
        <v>70452619</v>
      </c>
    </row>
    <row r="696" spans="1:46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7"/>
        <v>قراردادي بهره بردار</v>
      </c>
      <c r="E696" s="1" t="str">
        <f t="shared" si="78"/>
        <v>پروژه بهره برداري نيروگاه بوشهر</v>
      </c>
      <c r="F696" s="1">
        <v>10154538</v>
      </c>
      <c r="G696" s="1">
        <v>2541596</v>
      </c>
      <c r="H696" s="1">
        <v>0</v>
      </c>
      <c r="I696" s="1">
        <v>6923461</v>
      </c>
      <c r="J696" s="1">
        <v>0</v>
      </c>
      <c r="K696" s="1">
        <v>4620000</v>
      </c>
      <c r="L696" s="1">
        <v>0</v>
      </c>
      <c r="M696" s="1">
        <v>400000</v>
      </c>
      <c r="N696" s="1">
        <v>1696496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11303303</v>
      </c>
      <c r="W696" s="1">
        <v>1100000</v>
      </c>
      <c r="X696" s="1">
        <v>1575704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1211783</v>
      </c>
      <c r="AF696" s="1">
        <v>1111269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6148526</v>
      </c>
      <c r="AM696" s="1">
        <v>0</v>
      </c>
      <c r="AN696" s="1">
        <v>48786676</v>
      </c>
      <c r="AO696" s="1">
        <v>5750594</v>
      </c>
      <c r="AP696" s="1">
        <v>43036082</v>
      </c>
      <c r="AQ696" s="1">
        <v>9535081</v>
      </c>
      <c r="AR696" s="1">
        <v>1430262</v>
      </c>
      <c r="AS696" s="1">
        <v>0</v>
      </c>
      <c r="AT696" s="1">
        <f t="shared" si="71"/>
        <v>59752019</v>
      </c>
    </row>
    <row r="697" spans="1:46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7"/>
        <v>قراردادي بهره بردار</v>
      </c>
      <c r="E697" s="1" t="str">
        <f t="shared" si="78"/>
        <v>پروژه بهره برداري نيروگاه بوشهر</v>
      </c>
      <c r="F697" s="1">
        <v>11019687</v>
      </c>
      <c r="G697" s="1">
        <v>1836472</v>
      </c>
      <c r="H697" s="1">
        <v>0</v>
      </c>
      <c r="I697" s="1">
        <v>9481208</v>
      </c>
      <c r="J697" s="1">
        <v>0</v>
      </c>
      <c r="K697" s="1">
        <v>4620000</v>
      </c>
      <c r="L697" s="1">
        <v>0</v>
      </c>
      <c r="M697" s="1">
        <v>400000</v>
      </c>
      <c r="N697" s="1">
        <v>2013046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1342000</v>
      </c>
      <c r="U697" s="1">
        <v>0</v>
      </c>
      <c r="V697" s="1">
        <v>7452973</v>
      </c>
      <c r="W697" s="1">
        <v>1100000</v>
      </c>
      <c r="X697" s="1">
        <v>1709951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1437890</v>
      </c>
      <c r="AF697" s="1">
        <v>2222538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9172494</v>
      </c>
      <c r="AM697" s="1">
        <v>0</v>
      </c>
      <c r="AN697" s="1">
        <v>53808259</v>
      </c>
      <c r="AO697" s="1">
        <v>8076736</v>
      </c>
      <c r="AP697" s="1">
        <v>45731523</v>
      </c>
      <c r="AQ697" s="1">
        <v>10048744</v>
      </c>
      <c r="AR697" s="1">
        <v>1507312</v>
      </c>
      <c r="AS697" s="1">
        <v>0</v>
      </c>
      <c r="AT697" s="1">
        <f t="shared" si="71"/>
        <v>65364315</v>
      </c>
    </row>
    <row r="698" spans="1:46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7"/>
        <v>قراردادي بهره بردار</v>
      </c>
      <c r="E698" s="1" t="str">
        <f t="shared" si="78"/>
        <v>پروژه بهره برداري نيروگاه بوشهر</v>
      </c>
      <c r="F698" s="1">
        <v>11035299</v>
      </c>
      <c r="G698" s="1">
        <v>7771774</v>
      </c>
      <c r="H698" s="1">
        <v>0</v>
      </c>
      <c r="I698" s="1">
        <v>9873164</v>
      </c>
      <c r="J698" s="1">
        <v>0</v>
      </c>
      <c r="K698" s="1">
        <v>4620000</v>
      </c>
      <c r="L698" s="1">
        <v>0</v>
      </c>
      <c r="M698" s="1">
        <v>400000</v>
      </c>
      <c r="N698" s="1">
        <v>2021223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1342000</v>
      </c>
      <c r="U698" s="1">
        <v>0</v>
      </c>
      <c r="V698" s="1">
        <v>7638182</v>
      </c>
      <c r="W698" s="1">
        <v>1100000</v>
      </c>
      <c r="X698" s="1">
        <v>1712374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1443730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9201010</v>
      </c>
      <c r="AM698" s="1">
        <v>0</v>
      </c>
      <c r="AN698" s="1">
        <v>58158756</v>
      </c>
      <c r="AO698" s="1">
        <v>8101085</v>
      </c>
      <c r="AP698" s="1">
        <v>50057671</v>
      </c>
      <c r="AQ698" s="1">
        <v>11363351</v>
      </c>
      <c r="AR698" s="1">
        <v>1704503</v>
      </c>
      <c r="AS698" s="1">
        <v>0</v>
      </c>
      <c r="AT698" s="1">
        <f t="shared" si="71"/>
        <v>71226610</v>
      </c>
    </row>
    <row r="699" spans="1:46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7"/>
        <v>قراردادي بهره بردار</v>
      </c>
      <c r="E699" s="1" t="str">
        <f t="shared" si="78"/>
        <v>پروژه بهره برداري نيروگاه بوشهر</v>
      </c>
      <c r="F699" s="1">
        <v>10319789</v>
      </c>
      <c r="G699" s="1">
        <v>707318</v>
      </c>
      <c r="H699" s="1">
        <v>0</v>
      </c>
      <c r="I699" s="1">
        <v>7126019</v>
      </c>
      <c r="J699" s="1">
        <v>0</v>
      </c>
      <c r="K699" s="1">
        <v>4620000</v>
      </c>
      <c r="L699" s="1">
        <v>0</v>
      </c>
      <c r="M699" s="1">
        <v>400000</v>
      </c>
      <c r="N699" s="1">
        <v>1727747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1342000</v>
      </c>
      <c r="U699" s="1">
        <v>0</v>
      </c>
      <c r="V699" s="1">
        <v>7887210</v>
      </c>
      <c r="W699" s="1">
        <v>1100000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1234105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2961850</v>
      </c>
      <c r="AM699" s="1">
        <v>0</v>
      </c>
      <c r="AN699" s="1">
        <v>39426038</v>
      </c>
      <c r="AO699" s="1">
        <v>3988119</v>
      </c>
      <c r="AP699" s="1">
        <v>35437919</v>
      </c>
      <c r="AQ699" s="1">
        <v>7616808</v>
      </c>
      <c r="AR699" s="1">
        <v>1142521</v>
      </c>
      <c r="AS699" s="1">
        <v>0</v>
      </c>
      <c r="AT699" s="1">
        <f t="shared" si="71"/>
        <v>48185367</v>
      </c>
    </row>
    <row r="700" spans="1:46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7"/>
        <v>قراردادي بهره بردار</v>
      </c>
      <c r="E700" s="1" t="str">
        <f t="shared" si="78"/>
        <v>پروژه بهره برداري نيروگاه بوشهر</v>
      </c>
      <c r="F700" s="1">
        <v>11427824</v>
      </c>
      <c r="G700" s="1">
        <v>7534217</v>
      </c>
      <c r="H700" s="1">
        <v>0</v>
      </c>
      <c r="I700" s="1">
        <v>9136160</v>
      </c>
      <c r="J700" s="1">
        <v>0</v>
      </c>
      <c r="K700" s="1">
        <v>0</v>
      </c>
      <c r="L700" s="1">
        <v>0</v>
      </c>
      <c r="M700" s="1">
        <v>400000</v>
      </c>
      <c r="N700" s="1">
        <v>2153180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7470863</v>
      </c>
      <c r="W700" s="1">
        <v>1100000</v>
      </c>
      <c r="X700" s="1">
        <v>1773283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1537986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8226863</v>
      </c>
      <c r="AM700" s="1">
        <v>0</v>
      </c>
      <c r="AN700" s="1">
        <v>50760376</v>
      </c>
      <c r="AO700" s="1">
        <v>10860359</v>
      </c>
      <c r="AP700" s="1">
        <v>39900017</v>
      </c>
      <c r="AQ700" s="1">
        <v>10152075</v>
      </c>
      <c r="AR700" s="1">
        <v>1522811</v>
      </c>
      <c r="AS700" s="1">
        <v>0</v>
      </c>
      <c r="AT700" s="1">
        <f t="shared" si="71"/>
        <v>62435262</v>
      </c>
    </row>
    <row r="701" spans="1:46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7"/>
        <v>قراردادي بهره بردار</v>
      </c>
      <c r="E701" s="1" t="str">
        <f t="shared" si="78"/>
        <v>پروژه بهره برداري نيروگاه بوشهر</v>
      </c>
      <c r="F701" s="1">
        <v>18220695</v>
      </c>
      <c r="G701" s="1">
        <v>25102221</v>
      </c>
      <c r="H701" s="1">
        <v>0</v>
      </c>
      <c r="I701" s="1">
        <v>14550337</v>
      </c>
      <c r="J701" s="1">
        <v>0</v>
      </c>
      <c r="K701" s="1">
        <v>5500000</v>
      </c>
      <c r="L701" s="1">
        <v>0</v>
      </c>
      <c r="M701" s="1">
        <v>400000</v>
      </c>
      <c r="N701" s="1">
        <v>2671679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1342000</v>
      </c>
      <c r="U701" s="1">
        <v>0</v>
      </c>
      <c r="V701" s="1">
        <v>7443457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1908342</v>
      </c>
      <c r="AF701" s="1">
        <v>1111269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3435016</v>
      </c>
      <c r="AM701" s="1">
        <v>0</v>
      </c>
      <c r="AN701" s="1">
        <v>82785016</v>
      </c>
      <c r="AO701" s="1">
        <v>13911187</v>
      </c>
      <c r="AP701" s="1">
        <v>68873829</v>
      </c>
      <c r="AQ701" s="1">
        <v>15039174</v>
      </c>
      <c r="AR701" s="1">
        <v>2255876</v>
      </c>
      <c r="AS701" s="1">
        <v>0</v>
      </c>
      <c r="AT701" s="1">
        <f t="shared" si="71"/>
        <v>100080066</v>
      </c>
    </row>
    <row r="702" spans="1:46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7"/>
        <v>قراردادي بهره بردار</v>
      </c>
      <c r="E702" s="1" t="str">
        <f t="shared" si="78"/>
        <v>پروژه بهره برداري نيروگاه بوشهر</v>
      </c>
      <c r="F702" s="1">
        <v>13062295</v>
      </c>
      <c r="G702" s="1">
        <v>11559681</v>
      </c>
      <c r="H702" s="1">
        <v>0</v>
      </c>
      <c r="I702" s="1">
        <v>9118141</v>
      </c>
      <c r="J702" s="1">
        <v>0</v>
      </c>
      <c r="K702" s="1">
        <v>0</v>
      </c>
      <c r="L702" s="1">
        <v>0</v>
      </c>
      <c r="M702" s="1">
        <v>400000</v>
      </c>
      <c r="N702" s="1">
        <v>1952410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5667673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1394578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2119759</v>
      </c>
      <c r="AM702" s="1">
        <v>0</v>
      </c>
      <c r="AN702" s="1">
        <v>46374537</v>
      </c>
      <c r="AO702" s="1">
        <v>13279088</v>
      </c>
      <c r="AP702" s="1">
        <v>33095449</v>
      </c>
      <c r="AQ702" s="1">
        <v>9274907</v>
      </c>
      <c r="AR702" s="1">
        <v>1391236</v>
      </c>
      <c r="AS702" s="1">
        <v>0</v>
      </c>
      <c r="AT702" s="1">
        <f t="shared" si="71"/>
        <v>57040680</v>
      </c>
    </row>
    <row r="703" spans="1:46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7"/>
        <v>قراردادي بهره بردار</v>
      </c>
      <c r="E703" s="1" t="str">
        <f t="shared" si="78"/>
        <v>پروژه بهره برداري نيروگاه بوشهر</v>
      </c>
      <c r="F703" s="1">
        <v>11269822</v>
      </c>
      <c r="G703" s="1">
        <v>1763672</v>
      </c>
      <c r="H703" s="1">
        <v>0</v>
      </c>
      <c r="I703" s="1">
        <v>9371902</v>
      </c>
      <c r="J703" s="1">
        <v>0</v>
      </c>
      <c r="K703" s="1">
        <v>3465000</v>
      </c>
      <c r="L703" s="1">
        <v>0</v>
      </c>
      <c r="M703" s="1">
        <v>400000</v>
      </c>
      <c r="N703" s="1">
        <v>2093539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1342000</v>
      </c>
      <c r="U703" s="1">
        <v>0</v>
      </c>
      <c r="V703" s="1">
        <v>9833234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1495384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4904861</v>
      </c>
      <c r="AM703" s="1">
        <v>0</v>
      </c>
      <c r="AN703" s="1">
        <v>47039414</v>
      </c>
      <c r="AO703" s="1">
        <v>5267166</v>
      </c>
      <c r="AP703" s="1">
        <v>41772248</v>
      </c>
      <c r="AQ703" s="1">
        <v>9139483</v>
      </c>
      <c r="AR703" s="1">
        <v>1370922</v>
      </c>
      <c r="AS703" s="1">
        <v>0</v>
      </c>
      <c r="AT703" s="1">
        <f t="shared" si="71"/>
        <v>57549819</v>
      </c>
    </row>
    <row r="704" spans="1:46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7"/>
        <v>قراردادي بهره بردار</v>
      </c>
      <c r="E704" s="1" t="str">
        <f t="shared" si="78"/>
        <v>پروژه بهره برداري نيروگاه بوشهر</v>
      </c>
      <c r="F704" s="1">
        <v>14341498</v>
      </c>
      <c r="G704" s="1">
        <v>10018894</v>
      </c>
      <c r="H704" s="1">
        <v>0</v>
      </c>
      <c r="I704" s="1">
        <v>11642882</v>
      </c>
      <c r="J704" s="1">
        <v>0</v>
      </c>
      <c r="K704" s="1">
        <v>4125000</v>
      </c>
      <c r="L704" s="1">
        <v>0</v>
      </c>
      <c r="M704" s="1">
        <v>400000</v>
      </c>
      <c r="N704" s="1">
        <v>2356550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16437391</v>
      </c>
      <c r="W704" s="1">
        <v>1100000</v>
      </c>
      <c r="X704" s="1">
        <v>2225405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1683250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8880889</v>
      </c>
      <c r="AM704" s="1">
        <v>0</v>
      </c>
      <c r="AN704" s="1">
        <v>73211759</v>
      </c>
      <c r="AO704" s="1">
        <v>10429575</v>
      </c>
      <c r="AP704" s="1">
        <v>62782184</v>
      </c>
      <c r="AQ704" s="1">
        <v>14642352</v>
      </c>
      <c r="AR704" s="1">
        <v>2196353</v>
      </c>
      <c r="AS704" s="1">
        <v>0</v>
      </c>
      <c r="AT704" s="1">
        <f t="shared" si="71"/>
        <v>90050464</v>
      </c>
    </row>
    <row r="705" spans="1:46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7"/>
        <v>قراردادي بهره بردار</v>
      </c>
      <c r="E705" s="1" t="str">
        <f t="shared" si="78"/>
        <v>پروژه بهره برداري نيروگاه بوشهر</v>
      </c>
      <c r="F705" s="1">
        <v>15338593</v>
      </c>
      <c r="G705" s="1">
        <v>16254435</v>
      </c>
      <c r="H705" s="1">
        <v>0</v>
      </c>
      <c r="I705" s="1">
        <v>13446727</v>
      </c>
      <c r="J705" s="1">
        <v>0</v>
      </c>
      <c r="K705" s="1">
        <v>5500000</v>
      </c>
      <c r="L705" s="1">
        <v>0</v>
      </c>
      <c r="M705" s="1">
        <v>400000</v>
      </c>
      <c r="N705" s="1">
        <v>2705534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1342000</v>
      </c>
      <c r="U705" s="1">
        <v>0</v>
      </c>
      <c r="V705" s="1">
        <v>18286400</v>
      </c>
      <c r="W705" s="1">
        <v>1100000</v>
      </c>
      <c r="X705" s="1">
        <v>2380127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1932523</v>
      </c>
      <c r="AF705" s="1">
        <v>2222538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9858043</v>
      </c>
      <c r="AM705" s="1">
        <v>0</v>
      </c>
      <c r="AN705" s="1">
        <v>90766920</v>
      </c>
      <c r="AO705" s="1">
        <v>11645811</v>
      </c>
      <c r="AP705" s="1">
        <v>79121109</v>
      </c>
      <c r="AQ705" s="1">
        <v>15039174</v>
      </c>
      <c r="AR705" s="1">
        <v>2255876</v>
      </c>
      <c r="AS705" s="1">
        <v>0</v>
      </c>
      <c r="AT705" s="1">
        <f t="shared" si="71"/>
        <v>108061970</v>
      </c>
    </row>
    <row r="706" spans="1:46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7"/>
        <v>قراردادي بهره بردار</v>
      </c>
      <c r="E706" s="1" t="str">
        <f t="shared" si="78"/>
        <v>پروژه بهره برداري نيروگاه بوشهر</v>
      </c>
      <c r="F706" s="1">
        <v>14609715</v>
      </c>
      <c r="G706" s="1">
        <v>6608980</v>
      </c>
      <c r="H706" s="1">
        <v>0</v>
      </c>
      <c r="I706" s="1">
        <v>10780881</v>
      </c>
      <c r="J706" s="1">
        <v>0</v>
      </c>
      <c r="K706" s="1">
        <v>4125000</v>
      </c>
      <c r="L706" s="1">
        <v>0</v>
      </c>
      <c r="M706" s="1">
        <v>400000</v>
      </c>
      <c r="N706" s="1">
        <v>2393704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6911871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1709790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3419579</v>
      </c>
      <c r="AM706" s="1">
        <v>0</v>
      </c>
      <c r="AN706" s="1">
        <v>52059520</v>
      </c>
      <c r="AO706" s="1">
        <v>7145999</v>
      </c>
      <c r="AP706" s="1">
        <v>44913521</v>
      </c>
      <c r="AQ706" s="1">
        <v>10411904</v>
      </c>
      <c r="AR706" s="1">
        <v>1561786</v>
      </c>
      <c r="AS706" s="1">
        <v>0</v>
      </c>
      <c r="AT706" s="1">
        <f t="shared" si="71"/>
        <v>64033210</v>
      </c>
    </row>
    <row r="707" spans="1:46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7"/>
        <v>قراردادي بهره بردار</v>
      </c>
      <c r="E707" s="1" t="str">
        <f t="shared" si="78"/>
        <v>پروژه بهره برداري نيروگاه بوشهر</v>
      </c>
      <c r="F707" s="1">
        <v>10179395</v>
      </c>
      <c r="G707" s="1">
        <v>4275162</v>
      </c>
      <c r="H707" s="1">
        <v>0</v>
      </c>
      <c r="I707" s="1">
        <v>7273475</v>
      </c>
      <c r="J707" s="1">
        <v>0</v>
      </c>
      <c r="K707" s="1">
        <v>4620000</v>
      </c>
      <c r="L707" s="1">
        <v>0</v>
      </c>
      <c r="M707" s="1">
        <v>400000</v>
      </c>
      <c r="N707" s="1">
        <v>1687470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1342000</v>
      </c>
      <c r="U707" s="1">
        <v>0</v>
      </c>
      <c r="V707" s="1">
        <v>6178933</v>
      </c>
      <c r="W707" s="1">
        <v>1100000</v>
      </c>
      <c r="X707" s="1">
        <v>1579561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1205336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6814467</v>
      </c>
      <c r="AM707" s="1">
        <v>0</v>
      </c>
      <c r="AN707" s="1">
        <v>46655799</v>
      </c>
      <c r="AO707" s="1">
        <v>5202719</v>
      </c>
      <c r="AP707" s="1">
        <v>41453080</v>
      </c>
      <c r="AQ707" s="1">
        <v>9062760</v>
      </c>
      <c r="AR707" s="1">
        <v>1359414</v>
      </c>
      <c r="AS707" s="1">
        <v>0</v>
      </c>
      <c r="AT707" s="1">
        <f t="shared" ref="AT707:AT770" si="79">AS707+AR707+AQ707+AN707</f>
        <v>57077973</v>
      </c>
    </row>
    <row r="708" spans="1:46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7"/>
        <v>قراردادي بهره بردار</v>
      </c>
      <c r="E708" s="1" t="str">
        <f t="shared" si="78"/>
        <v>پروژه بهره برداري نيروگاه بوشهر</v>
      </c>
      <c r="F708" s="1">
        <v>10718056</v>
      </c>
      <c r="G708" s="1">
        <v>7590002</v>
      </c>
      <c r="H708" s="1">
        <v>0</v>
      </c>
      <c r="I708" s="1">
        <v>7333060</v>
      </c>
      <c r="J708" s="1">
        <v>0</v>
      </c>
      <c r="K708" s="1">
        <v>4620000</v>
      </c>
      <c r="L708" s="1">
        <v>0</v>
      </c>
      <c r="M708" s="1">
        <v>400000</v>
      </c>
      <c r="N708" s="1">
        <v>1860085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5484953</v>
      </c>
      <c r="W708" s="1">
        <v>1100000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1328632</v>
      </c>
      <c r="AF708" s="1">
        <v>1111269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2869846</v>
      </c>
      <c r="AM708" s="1">
        <v>0</v>
      </c>
      <c r="AN708" s="1">
        <v>44415903</v>
      </c>
      <c r="AO708" s="1">
        <v>5016305</v>
      </c>
      <c r="AP708" s="1">
        <v>39399598</v>
      </c>
      <c r="AQ708" s="1">
        <v>8660927</v>
      </c>
      <c r="AR708" s="1">
        <v>1299139</v>
      </c>
      <c r="AS708" s="1">
        <v>0</v>
      </c>
      <c r="AT708" s="1">
        <f t="shared" si="79"/>
        <v>54375969</v>
      </c>
    </row>
    <row r="709" spans="1:46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7"/>
        <v>قراردادي بهره بردار</v>
      </c>
      <c r="E709" s="1" t="str">
        <f t="shared" si="78"/>
        <v>پروژه بهره برداري نيروگاه بوشهر</v>
      </c>
      <c r="F709" s="1">
        <v>10971264</v>
      </c>
      <c r="G709" s="1">
        <v>4837986</v>
      </c>
      <c r="H709" s="1">
        <v>0</v>
      </c>
      <c r="I709" s="1">
        <v>8652012</v>
      </c>
      <c r="J709" s="1">
        <v>0</v>
      </c>
      <c r="K709" s="1">
        <v>0</v>
      </c>
      <c r="L709" s="1">
        <v>0</v>
      </c>
      <c r="M709" s="1">
        <v>400000</v>
      </c>
      <c r="N709" s="1">
        <v>1983616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1342000</v>
      </c>
      <c r="U709" s="1">
        <v>0</v>
      </c>
      <c r="V709" s="1">
        <v>6992388</v>
      </c>
      <c r="W709" s="1">
        <v>1100000</v>
      </c>
      <c r="X709" s="1">
        <v>1702437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1416869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7712010</v>
      </c>
      <c r="AM709" s="1">
        <v>0</v>
      </c>
      <c r="AN709" s="1">
        <v>47110582</v>
      </c>
      <c r="AO709" s="1">
        <v>7608276</v>
      </c>
      <c r="AP709" s="1">
        <v>39502306</v>
      </c>
      <c r="AQ709" s="1">
        <v>9153716</v>
      </c>
      <c r="AR709" s="1">
        <v>1373057</v>
      </c>
      <c r="AS709" s="1">
        <v>0</v>
      </c>
      <c r="AT709" s="1">
        <f t="shared" si="79"/>
        <v>57637355</v>
      </c>
    </row>
    <row r="710" spans="1:46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7"/>
        <v>قراردادي بهره بردار</v>
      </c>
      <c r="E710" s="1" t="str">
        <f t="shared" si="78"/>
        <v>پروژه بهره برداري نيروگاه بوشهر</v>
      </c>
      <c r="F710" s="1">
        <v>11186368</v>
      </c>
      <c r="G710" s="1">
        <v>3620951</v>
      </c>
      <c r="H710" s="1">
        <v>0</v>
      </c>
      <c r="I710" s="1">
        <v>8259331</v>
      </c>
      <c r="J710" s="1">
        <v>0</v>
      </c>
      <c r="K710" s="1">
        <v>4620000</v>
      </c>
      <c r="L710" s="1">
        <v>0</v>
      </c>
      <c r="M710" s="1">
        <v>400000</v>
      </c>
      <c r="N710" s="1">
        <v>2034123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1342000</v>
      </c>
      <c r="U710" s="1">
        <v>0</v>
      </c>
      <c r="V710" s="1">
        <v>5931182</v>
      </c>
      <c r="W710" s="1">
        <v>1100000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1452944</v>
      </c>
      <c r="AF710" s="1">
        <v>1111269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3138361</v>
      </c>
      <c r="AM710" s="1">
        <v>0</v>
      </c>
      <c r="AN710" s="1">
        <v>44196529</v>
      </c>
      <c r="AO710" s="1">
        <v>18022000</v>
      </c>
      <c r="AP710" s="1">
        <v>26174529</v>
      </c>
      <c r="AQ710" s="1">
        <v>8348652</v>
      </c>
      <c r="AR710" s="1">
        <v>1252298</v>
      </c>
      <c r="AS710" s="1">
        <v>0</v>
      </c>
      <c r="AT710" s="1">
        <f t="shared" si="79"/>
        <v>53797479</v>
      </c>
    </row>
    <row r="711" spans="1:46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7"/>
        <v>قراردادي بهره بردار</v>
      </c>
      <c r="E711" s="1" t="str">
        <f t="shared" si="78"/>
        <v>پروژه بهره برداري نيروگاه بوشهر</v>
      </c>
      <c r="F711" s="1">
        <v>10582991</v>
      </c>
      <c r="G711" s="1">
        <v>7479528</v>
      </c>
      <c r="H711" s="1">
        <v>0</v>
      </c>
      <c r="I711" s="1">
        <v>8750573</v>
      </c>
      <c r="J711" s="1">
        <v>0</v>
      </c>
      <c r="K711" s="1">
        <v>4620000</v>
      </c>
      <c r="L711" s="1">
        <v>0</v>
      </c>
      <c r="M711" s="1">
        <v>400000</v>
      </c>
      <c r="N711" s="1">
        <v>1849530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1342000</v>
      </c>
      <c r="U711" s="1">
        <v>0</v>
      </c>
      <c r="V711" s="1">
        <v>7068230</v>
      </c>
      <c r="W711" s="1">
        <v>1100000</v>
      </c>
      <c r="X711" s="1">
        <v>1642188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1321093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8564956</v>
      </c>
      <c r="AM711" s="1">
        <v>0</v>
      </c>
      <c r="AN711" s="1">
        <v>54721089</v>
      </c>
      <c r="AO711" s="1">
        <v>17945692</v>
      </c>
      <c r="AP711" s="1">
        <v>36775397</v>
      </c>
      <c r="AQ711" s="1">
        <v>10675818</v>
      </c>
      <c r="AR711" s="1">
        <v>1601373</v>
      </c>
      <c r="AS711" s="1">
        <v>0</v>
      </c>
      <c r="AT711" s="1">
        <f t="shared" si="79"/>
        <v>66998280</v>
      </c>
    </row>
    <row r="712" spans="1:46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7"/>
        <v>قراردادي بهره بردار</v>
      </c>
      <c r="E712" s="1" t="str">
        <f t="shared" si="78"/>
        <v>پروژه بهره برداري نيروگاه بوشهر</v>
      </c>
      <c r="F712" s="1">
        <v>11131172</v>
      </c>
      <c r="G712" s="1">
        <v>2351604</v>
      </c>
      <c r="H712" s="1">
        <v>0</v>
      </c>
      <c r="I712" s="1">
        <v>9213291</v>
      </c>
      <c r="J712" s="1">
        <v>0</v>
      </c>
      <c r="K712" s="1">
        <v>4620000</v>
      </c>
      <c r="L712" s="1">
        <v>0</v>
      </c>
      <c r="M712" s="1">
        <v>400000</v>
      </c>
      <c r="N712" s="1">
        <v>2045010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1342000</v>
      </c>
      <c r="U712" s="1">
        <v>0</v>
      </c>
      <c r="V712" s="1">
        <v>7222442</v>
      </c>
      <c r="W712" s="1">
        <v>1100000</v>
      </c>
      <c r="X712" s="1">
        <v>1727251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1460722</v>
      </c>
      <c r="AF712" s="1">
        <v>1111269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7896802</v>
      </c>
      <c r="AM712" s="1">
        <v>0</v>
      </c>
      <c r="AN712" s="1">
        <v>51621563</v>
      </c>
      <c r="AO712" s="1">
        <v>5961402</v>
      </c>
      <c r="AP712" s="1">
        <v>45660161</v>
      </c>
      <c r="AQ712" s="1">
        <v>9833659</v>
      </c>
      <c r="AR712" s="1">
        <v>1475049</v>
      </c>
      <c r="AS712" s="1">
        <v>0</v>
      </c>
      <c r="AT712" s="1">
        <f t="shared" si="79"/>
        <v>62930271</v>
      </c>
    </row>
    <row r="713" spans="1:46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7"/>
        <v>قراردادي بهره بردار</v>
      </c>
      <c r="E713" s="1" t="str">
        <f t="shared" si="78"/>
        <v>پروژه بهره برداري نيروگاه بوشهر</v>
      </c>
      <c r="F713" s="1">
        <v>10718936</v>
      </c>
      <c r="G713" s="1">
        <v>5757973</v>
      </c>
      <c r="H713" s="1">
        <v>0</v>
      </c>
      <c r="I713" s="1">
        <v>8487650</v>
      </c>
      <c r="J713" s="1">
        <v>0</v>
      </c>
      <c r="K713" s="1">
        <v>4620000</v>
      </c>
      <c r="L713" s="1">
        <v>0</v>
      </c>
      <c r="M713" s="1">
        <v>400000</v>
      </c>
      <c r="N713" s="1">
        <v>1915922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1342000</v>
      </c>
      <c r="U713" s="1">
        <v>0</v>
      </c>
      <c r="V713" s="1">
        <v>12595675</v>
      </c>
      <c r="W713" s="1">
        <v>1100000</v>
      </c>
      <c r="X713" s="1">
        <v>1663283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1368515</v>
      </c>
      <c r="AF713" s="1">
        <v>1111269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7321227</v>
      </c>
      <c r="AM713" s="1">
        <v>0</v>
      </c>
      <c r="AN713" s="1">
        <v>58402450</v>
      </c>
      <c r="AO713" s="1">
        <v>7100590</v>
      </c>
      <c r="AP713" s="1">
        <v>51301860</v>
      </c>
      <c r="AQ713" s="1">
        <v>11189836</v>
      </c>
      <c r="AR713" s="1">
        <v>1678475</v>
      </c>
      <c r="AS713" s="1">
        <v>0</v>
      </c>
      <c r="AT713" s="1">
        <f t="shared" si="79"/>
        <v>71270761</v>
      </c>
    </row>
    <row r="714" spans="1:46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7"/>
        <v>قراردادي بهره بردار</v>
      </c>
      <c r="E714" s="1" t="str">
        <f t="shared" si="78"/>
        <v>پروژه بهره برداري نيروگاه بوشهر</v>
      </c>
      <c r="F714" s="1">
        <v>10592523</v>
      </c>
      <c r="G714" s="1">
        <v>1551674</v>
      </c>
      <c r="H714" s="1">
        <v>0</v>
      </c>
      <c r="I714" s="1">
        <v>7954008</v>
      </c>
      <c r="J714" s="1">
        <v>0</v>
      </c>
      <c r="K714" s="1">
        <v>3465000</v>
      </c>
      <c r="L714" s="1">
        <v>0</v>
      </c>
      <c r="M714" s="1">
        <v>400000</v>
      </c>
      <c r="N714" s="1">
        <v>1866070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12219540</v>
      </c>
      <c r="W714" s="1">
        <v>1100000</v>
      </c>
      <c r="X714" s="1">
        <v>1643667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1332908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7176478</v>
      </c>
      <c r="AM714" s="1">
        <v>0</v>
      </c>
      <c r="AN714" s="1">
        <v>49301868</v>
      </c>
      <c r="AO714" s="1">
        <v>5912714</v>
      </c>
      <c r="AP714" s="1">
        <v>43389154</v>
      </c>
      <c r="AQ714" s="1">
        <v>9860374</v>
      </c>
      <c r="AR714" s="1">
        <v>1479056</v>
      </c>
      <c r="AS714" s="1">
        <v>0</v>
      </c>
      <c r="AT714" s="1">
        <f t="shared" si="79"/>
        <v>60641298</v>
      </c>
    </row>
    <row r="715" spans="1:46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7"/>
        <v>قراردادي بهره بردار</v>
      </c>
      <c r="E715" s="1" t="str">
        <f t="shared" ref="E715:E730" si="80">"پروژه تعميرات نيروگاه بوشهر"</f>
        <v>پروژه تعميرات نيروگاه بوشهر</v>
      </c>
      <c r="F715" s="1">
        <v>19235109</v>
      </c>
      <c r="G715" s="1">
        <v>3173850</v>
      </c>
      <c r="H715" s="1">
        <v>0</v>
      </c>
      <c r="I715" s="1">
        <v>16020700</v>
      </c>
      <c r="J715" s="1">
        <v>0</v>
      </c>
      <c r="K715" s="1">
        <v>5500000</v>
      </c>
      <c r="L715" s="1">
        <v>0</v>
      </c>
      <c r="M715" s="1">
        <v>400000</v>
      </c>
      <c r="N715" s="1">
        <v>2669353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4250120</v>
      </c>
      <c r="W715" s="1">
        <v>1100000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1906680</v>
      </c>
      <c r="AF715" s="1">
        <v>3333807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2669353</v>
      </c>
      <c r="AM715" s="1">
        <v>0</v>
      </c>
      <c r="AN715" s="1">
        <v>60258972</v>
      </c>
      <c r="AO715" s="1">
        <v>28971570</v>
      </c>
      <c r="AP715" s="1">
        <v>31287402</v>
      </c>
      <c r="AQ715" s="1">
        <v>11385033</v>
      </c>
      <c r="AR715" s="1">
        <v>1707755</v>
      </c>
      <c r="AS715" s="1">
        <v>0</v>
      </c>
      <c r="AT715" s="1">
        <f t="shared" si="79"/>
        <v>73351760</v>
      </c>
    </row>
    <row r="716" spans="1:46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1">"قراردادي کارگري"</f>
        <v>قراردادي کارگري</v>
      </c>
      <c r="E716" s="1" t="str">
        <f t="shared" si="80"/>
        <v>پروژه تعميرات نيروگاه بوشهر</v>
      </c>
      <c r="F716" s="1">
        <v>6486511</v>
      </c>
      <c r="G716" s="1">
        <v>2934523</v>
      </c>
      <c r="H716" s="1">
        <v>0</v>
      </c>
      <c r="I716" s="1">
        <v>3956772</v>
      </c>
      <c r="J716" s="1">
        <v>0</v>
      </c>
      <c r="K716" s="1">
        <v>0</v>
      </c>
      <c r="L716" s="1">
        <v>4797402</v>
      </c>
      <c r="M716" s="1">
        <v>400000</v>
      </c>
      <c r="N716" s="1">
        <v>3243257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5830678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2772591</v>
      </c>
      <c r="AE716" s="1">
        <v>0</v>
      </c>
      <c r="AF716" s="1">
        <v>1111269</v>
      </c>
      <c r="AG716" s="1">
        <v>0</v>
      </c>
      <c r="AH716" s="1">
        <v>0</v>
      </c>
      <c r="AI716" s="1">
        <v>0</v>
      </c>
      <c r="AJ716" s="1">
        <v>4695237</v>
      </c>
      <c r="AK716" s="1">
        <v>0</v>
      </c>
      <c r="AL716" s="1">
        <v>0</v>
      </c>
      <c r="AM716" s="1">
        <v>0</v>
      </c>
      <c r="AN716" s="1">
        <v>37328240</v>
      </c>
      <c r="AO716" s="1">
        <v>4462674</v>
      </c>
      <c r="AP716" s="1">
        <v>32865566</v>
      </c>
      <c r="AQ716" s="1">
        <v>7243394</v>
      </c>
      <c r="AR716" s="1">
        <v>1086509</v>
      </c>
      <c r="AS716" s="1">
        <v>0</v>
      </c>
      <c r="AT716" s="1">
        <f t="shared" si="79"/>
        <v>45658143</v>
      </c>
    </row>
    <row r="717" spans="1:46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1"/>
        <v>قراردادي کارگري</v>
      </c>
      <c r="E717" s="1" t="str">
        <f t="shared" si="80"/>
        <v>پروژه تعميرات نيروگاه بوشهر</v>
      </c>
      <c r="F717" s="1">
        <v>5609283</v>
      </c>
      <c r="G717" s="1">
        <v>5207193</v>
      </c>
      <c r="H717" s="1">
        <v>0</v>
      </c>
      <c r="I717" s="1">
        <v>3533848</v>
      </c>
      <c r="J717" s="1">
        <v>0</v>
      </c>
      <c r="K717" s="1">
        <v>0</v>
      </c>
      <c r="L717" s="1">
        <v>5453239</v>
      </c>
      <c r="M717" s="1">
        <v>400000</v>
      </c>
      <c r="N717" s="1">
        <v>2786068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4190218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3333807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31613656</v>
      </c>
      <c r="AO717" s="1">
        <v>2714394</v>
      </c>
      <c r="AP717" s="1">
        <v>28899262</v>
      </c>
      <c r="AQ717" s="1">
        <v>5655970</v>
      </c>
      <c r="AR717" s="1">
        <v>848395</v>
      </c>
      <c r="AS717" s="1">
        <v>0</v>
      </c>
      <c r="AT717" s="1">
        <f t="shared" si="79"/>
        <v>38118021</v>
      </c>
    </row>
    <row r="718" spans="1:46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1"/>
        <v>قراردادي کارگري</v>
      </c>
      <c r="E718" s="1" t="str">
        <f t="shared" si="80"/>
        <v>پروژه تعميرات نيروگاه بوشهر</v>
      </c>
      <c r="F718" s="1">
        <v>4981075</v>
      </c>
      <c r="G718" s="1">
        <v>10661326</v>
      </c>
      <c r="H718" s="1">
        <v>0</v>
      </c>
      <c r="I718" s="1">
        <v>3138077</v>
      </c>
      <c r="J718" s="1">
        <v>0</v>
      </c>
      <c r="K718" s="1">
        <v>0</v>
      </c>
      <c r="L718" s="1">
        <v>5044260</v>
      </c>
      <c r="M718" s="1">
        <v>400000</v>
      </c>
      <c r="N718" s="1">
        <v>2656573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4965121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2222538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35168970</v>
      </c>
      <c r="AO718" s="1">
        <v>3901713</v>
      </c>
      <c r="AP718" s="1">
        <v>31267257</v>
      </c>
      <c r="AQ718" s="1">
        <v>6589286</v>
      </c>
      <c r="AR718" s="1">
        <v>988393</v>
      </c>
      <c r="AS718" s="1">
        <v>0</v>
      </c>
      <c r="AT718" s="1">
        <f t="shared" si="79"/>
        <v>42746649</v>
      </c>
    </row>
    <row r="719" spans="1:46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1"/>
        <v>قراردادي کارگري</v>
      </c>
      <c r="E719" s="1" t="str">
        <f t="shared" si="80"/>
        <v>پروژه تعميرات نيروگاه بوشهر</v>
      </c>
      <c r="F719" s="1">
        <v>8060483</v>
      </c>
      <c r="G719" s="1">
        <v>7403489</v>
      </c>
      <c r="H719" s="1">
        <v>0</v>
      </c>
      <c r="I719" s="1">
        <v>5642339</v>
      </c>
      <c r="J719" s="1">
        <v>0</v>
      </c>
      <c r="K719" s="1">
        <v>0</v>
      </c>
      <c r="L719" s="1">
        <v>3500010</v>
      </c>
      <c r="M719" s="1">
        <v>400000</v>
      </c>
      <c r="N719" s="1">
        <v>4270455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4355425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3333807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38066008</v>
      </c>
      <c r="AO719" s="1">
        <v>5270592</v>
      </c>
      <c r="AP719" s="1">
        <v>32795416</v>
      </c>
      <c r="AQ719" s="1">
        <v>6946440</v>
      </c>
      <c r="AR719" s="1">
        <v>1041966</v>
      </c>
      <c r="AS719" s="1">
        <v>0</v>
      </c>
      <c r="AT719" s="1">
        <f t="shared" si="79"/>
        <v>46054414</v>
      </c>
    </row>
    <row r="720" spans="1:46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1"/>
        <v>قراردادي کارگري</v>
      </c>
      <c r="E720" s="1" t="str">
        <f t="shared" si="80"/>
        <v>پروژه تعميرات نيروگاه بوشهر</v>
      </c>
      <c r="F720" s="1">
        <v>5213458</v>
      </c>
      <c r="G720" s="1">
        <v>5135456</v>
      </c>
      <c r="H720" s="1">
        <v>0</v>
      </c>
      <c r="I720" s="1">
        <v>3128074</v>
      </c>
      <c r="J720" s="1">
        <v>0</v>
      </c>
      <c r="K720" s="1">
        <v>0</v>
      </c>
      <c r="L720" s="1">
        <v>5166318</v>
      </c>
      <c r="M720" s="1">
        <v>400000</v>
      </c>
      <c r="N720" s="1">
        <v>2606729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3337270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1111269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27198574</v>
      </c>
      <c r="AO720" s="1">
        <v>2123793</v>
      </c>
      <c r="AP720" s="1">
        <v>25074781</v>
      </c>
      <c r="AQ720" s="1">
        <v>5217461</v>
      </c>
      <c r="AR720" s="1">
        <v>782619</v>
      </c>
      <c r="AS720" s="1">
        <v>0</v>
      </c>
      <c r="AT720" s="1">
        <f t="shared" si="79"/>
        <v>33198654</v>
      </c>
    </row>
    <row r="721" spans="1:46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1"/>
        <v>قراردادي کارگري</v>
      </c>
      <c r="E721" s="1" t="str">
        <f t="shared" si="80"/>
        <v>پروژه تعميرات نيروگاه بوشهر</v>
      </c>
      <c r="F721" s="1">
        <v>8507231</v>
      </c>
      <c r="G721" s="1">
        <v>2984489</v>
      </c>
      <c r="H721" s="1">
        <v>0</v>
      </c>
      <c r="I721" s="1">
        <v>6210278</v>
      </c>
      <c r="J721" s="1">
        <v>0</v>
      </c>
      <c r="K721" s="1">
        <v>0</v>
      </c>
      <c r="L721" s="1">
        <v>3500010</v>
      </c>
      <c r="M721" s="1">
        <v>400000</v>
      </c>
      <c r="N721" s="1">
        <v>4537190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5506571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2222538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34968307</v>
      </c>
      <c r="AO721" s="1">
        <v>4078396</v>
      </c>
      <c r="AP721" s="1">
        <v>30889911</v>
      </c>
      <c r="AQ721" s="1">
        <v>6549154</v>
      </c>
      <c r="AR721" s="1">
        <v>982373</v>
      </c>
      <c r="AS721" s="1">
        <v>0</v>
      </c>
      <c r="AT721" s="1">
        <f t="shared" si="79"/>
        <v>42499834</v>
      </c>
    </row>
    <row r="722" spans="1:46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1"/>
        <v>قراردادي کارگري</v>
      </c>
      <c r="E722" s="1" t="str">
        <f t="shared" si="80"/>
        <v>پروژه تعميرات نيروگاه بوشهر</v>
      </c>
      <c r="F722" s="1">
        <v>5126163</v>
      </c>
      <c r="G722" s="1">
        <v>5619129</v>
      </c>
      <c r="H722" s="1">
        <v>0</v>
      </c>
      <c r="I722" s="1">
        <v>3229483</v>
      </c>
      <c r="J722" s="1">
        <v>0</v>
      </c>
      <c r="K722" s="1">
        <v>0</v>
      </c>
      <c r="L722" s="1">
        <v>4676695</v>
      </c>
      <c r="M722" s="1">
        <v>400000</v>
      </c>
      <c r="N722" s="1">
        <v>2715848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4944479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3333807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31145604</v>
      </c>
      <c r="AO722" s="1">
        <v>2635763</v>
      </c>
      <c r="AP722" s="1">
        <v>28509841</v>
      </c>
      <c r="AQ722" s="1">
        <v>5562359</v>
      </c>
      <c r="AR722" s="1">
        <v>834354</v>
      </c>
      <c r="AS722" s="1">
        <v>0</v>
      </c>
      <c r="AT722" s="1">
        <f t="shared" si="79"/>
        <v>37542317</v>
      </c>
    </row>
    <row r="723" spans="1:46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1"/>
        <v>قراردادي کارگري</v>
      </c>
      <c r="E723" s="1" t="str">
        <f t="shared" si="80"/>
        <v>پروژه تعميرات نيروگاه بوشهر</v>
      </c>
      <c r="F723" s="1">
        <v>7087675</v>
      </c>
      <c r="G723" s="1">
        <v>6366669</v>
      </c>
      <c r="H723" s="1">
        <v>0</v>
      </c>
      <c r="I723" s="1">
        <v>5174003</v>
      </c>
      <c r="J723" s="1">
        <v>0</v>
      </c>
      <c r="K723" s="1">
        <v>0</v>
      </c>
      <c r="L723" s="1">
        <v>3500010</v>
      </c>
      <c r="M723" s="1">
        <v>400000</v>
      </c>
      <c r="N723" s="1">
        <v>3780094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6035138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4445076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37888665</v>
      </c>
      <c r="AO723" s="1">
        <v>3693031</v>
      </c>
      <c r="AP723" s="1">
        <v>34195634</v>
      </c>
      <c r="AQ723" s="1">
        <v>6688718</v>
      </c>
      <c r="AR723" s="1">
        <v>1003308</v>
      </c>
      <c r="AS723" s="1">
        <v>0</v>
      </c>
      <c r="AT723" s="1">
        <f t="shared" si="79"/>
        <v>45580691</v>
      </c>
    </row>
    <row r="724" spans="1:46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1"/>
        <v>قراردادي کارگري</v>
      </c>
      <c r="E724" s="1" t="str">
        <f t="shared" si="80"/>
        <v>پروژه تعميرات نيروگاه بوشهر</v>
      </c>
      <c r="F724" s="1">
        <v>8712805</v>
      </c>
      <c r="G724" s="1">
        <v>0</v>
      </c>
      <c r="H724" s="1">
        <v>0</v>
      </c>
      <c r="I724" s="1">
        <v>6273220</v>
      </c>
      <c r="J724" s="1">
        <v>0</v>
      </c>
      <c r="K724" s="1">
        <v>0</v>
      </c>
      <c r="L724" s="1">
        <v>3500010</v>
      </c>
      <c r="M724" s="1">
        <v>400000</v>
      </c>
      <c r="N724" s="1">
        <v>4585687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10237820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4445076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39254618</v>
      </c>
      <c r="AO724" s="1">
        <v>3922511</v>
      </c>
      <c r="AP724" s="1">
        <v>35332107</v>
      </c>
      <c r="AQ724" s="1">
        <v>6961908</v>
      </c>
      <c r="AR724" s="1">
        <v>1044286</v>
      </c>
      <c r="AS724" s="1">
        <v>0</v>
      </c>
      <c r="AT724" s="1">
        <f t="shared" si="79"/>
        <v>47260812</v>
      </c>
    </row>
    <row r="725" spans="1:46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1"/>
        <v>قراردادي کارگري</v>
      </c>
      <c r="E725" s="1" t="str">
        <f t="shared" si="80"/>
        <v>پروژه تعميرات نيروگاه بوشهر</v>
      </c>
      <c r="F725" s="1">
        <v>8173812</v>
      </c>
      <c r="G725" s="1">
        <v>11849662</v>
      </c>
      <c r="H725" s="1">
        <v>0</v>
      </c>
      <c r="I725" s="1">
        <v>5067764</v>
      </c>
      <c r="J725" s="1">
        <v>0</v>
      </c>
      <c r="K725" s="1">
        <v>0</v>
      </c>
      <c r="L725" s="1">
        <v>4242887</v>
      </c>
      <c r="M725" s="1">
        <v>400000</v>
      </c>
      <c r="N725" s="1">
        <v>4359367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5241112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2222538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42657142</v>
      </c>
      <c r="AO725" s="1">
        <v>6207197</v>
      </c>
      <c r="AP725" s="1">
        <v>36449945</v>
      </c>
      <c r="AQ725" s="1">
        <v>8086921</v>
      </c>
      <c r="AR725" s="1">
        <v>1213038</v>
      </c>
      <c r="AS725" s="1">
        <v>0</v>
      </c>
      <c r="AT725" s="1">
        <f t="shared" si="79"/>
        <v>51957101</v>
      </c>
    </row>
    <row r="726" spans="1:46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1"/>
        <v>قراردادي کارگري</v>
      </c>
      <c r="E726" s="1" t="str">
        <f t="shared" si="80"/>
        <v>پروژه تعميرات نيروگاه بوشهر</v>
      </c>
      <c r="F726" s="1">
        <v>7340265</v>
      </c>
      <c r="G726" s="1">
        <v>5175953</v>
      </c>
      <c r="H726" s="1">
        <v>0</v>
      </c>
      <c r="I726" s="1">
        <v>5211588</v>
      </c>
      <c r="J726" s="1">
        <v>0</v>
      </c>
      <c r="K726" s="1">
        <v>0</v>
      </c>
      <c r="L726" s="1">
        <v>3500010</v>
      </c>
      <c r="M726" s="1">
        <v>400000</v>
      </c>
      <c r="N726" s="1">
        <v>3914809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6425001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2995001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3822242</v>
      </c>
      <c r="AK726" s="1">
        <v>0</v>
      </c>
      <c r="AL726" s="1">
        <v>0</v>
      </c>
      <c r="AM726" s="1">
        <v>0</v>
      </c>
      <c r="AN726" s="1">
        <v>42107407</v>
      </c>
      <c r="AO726" s="1">
        <v>4552912</v>
      </c>
      <c r="AP726" s="1">
        <v>37554495</v>
      </c>
      <c r="AQ726" s="1">
        <v>7976974</v>
      </c>
      <c r="AR726" s="1">
        <v>1196546</v>
      </c>
      <c r="AS726" s="1">
        <v>0</v>
      </c>
      <c r="AT726" s="1">
        <f t="shared" si="79"/>
        <v>51280927</v>
      </c>
    </row>
    <row r="727" spans="1:46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1"/>
        <v>قراردادي کارگري</v>
      </c>
      <c r="E727" s="1" t="str">
        <f t="shared" si="80"/>
        <v>پروژه تعميرات نيروگاه بوشهر</v>
      </c>
      <c r="F727" s="1">
        <v>8290004</v>
      </c>
      <c r="G727" s="1">
        <v>5059256</v>
      </c>
      <c r="H727" s="1">
        <v>0</v>
      </c>
      <c r="I727" s="1">
        <v>5885903</v>
      </c>
      <c r="J727" s="1">
        <v>0</v>
      </c>
      <c r="K727" s="1">
        <v>0</v>
      </c>
      <c r="L727" s="1">
        <v>3500010</v>
      </c>
      <c r="M727" s="1">
        <v>400000</v>
      </c>
      <c r="N727" s="1">
        <v>4421335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7064176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3314588</v>
      </c>
      <c r="AE727" s="1">
        <v>0</v>
      </c>
      <c r="AF727" s="1">
        <v>3333807</v>
      </c>
      <c r="AG727" s="1">
        <v>0</v>
      </c>
      <c r="AH727" s="1">
        <v>0</v>
      </c>
      <c r="AI727" s="1">
        <v>0</v>
      </c>
      <c r="AJ727" s="1">
        <v>4223379</v>
      </c>
      <c r="AK727" s="1">
        <v>0</v>
      </c>
      <c r="AL727" s="1">
        <v>0</v>
      </c>
      <c r="AM727" s="1">
        <v>0</v>
      </c>
      <c r="AN727" s="1">
        <v>46592458</v>
      </c>
      <c r="AO727" s="1">
        <v>6025016</v>
      </c>
      <c r="AP727" s="1">
        <v>40567442</v>
      </c>
      <c r="AQ727" s="1">
        <v>8651730</v>
      </c>
      <c r="AR727" s="1">
        <v>1297760</v>
      </c>
      <c r="AS727" s="1">
        <v>0</v>
      </c>
      <c r="AT727" s="1">
        <f t="shared" si="79"/>
        <v>56541948</v>
      </c>
    </row>
    <row r="728" spans="1:46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1"/>
        <v>قراردادي کارگري</v>
      </c>
      <c r="E728" s="1" t="str">
        <f t="shared" si="80"/>
        <v>پروژه تعميرات نيروگاه بوشهر</v>
      </c>
      <c r="F728" s="1">
        <v>6683531</v>
      </c>
      <c r="G728" s="1">
        <v>6436635</v>
      </c>
      <c r="H728" s="1">
        <v>0</v>
      </c>
      <c r="I728" s="1">
        <v>4812143</v>
      </c>
      <c r="J728" s="1">
        <v>0</v>
      </c>
      <c r="K728" s="1">
        <v>0</v>
      </c>
      <c r="L728" s="1">
        <v>3500010</v>
      </c>
      <c r="M728" s="1">
        <v>400000</v>
      </c>
      <c r="N728" s="1">
        <v>3564550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4502302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2222538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33221709</v>
      </c>
      <c r="AO728" s="1">
        <v>3638692</v>
      </c>
      <c r="AP728" s="1">
        <v>29583017</v>
      </c>
      <c r="AQ728" s="1">
        <v>6199834</v>
      </c>
      <c r="AR728" s="1">
        <v>929975</v>
      </c>
      <c r="AS728" s="1">
        <v>0</v>
      </c>
      <c r="AT728" s="1">
        <f t="shared" si="79"/>
        <v>40351518</v>
      </c>
    </row>
    <row r="729" spans="1:46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1"/>
        <v>قراردادي کارگري</v>
      </c>
      <c r="E729" s="1" t="str">
        <f t="shared" si="80"/>
        <v>پروژه تعميرات نيروگاه بوشهر</v>
      </c>
      <c r="F729" s="1">
        <v>6744153</v>
      </c>
      <c r="G729" s="1">
        <v>0</v>
      </c>
      <c r="H729" s="1">
        <v>0</v>
      </c>
      <c r="I729" s="1">
        <v>4788349</v>
      </c>
      <c r="J729" s="1">
        <v>0</v>
      </c>
      <c r="K729" s="1">
        <v>0</v>
      </c>
      <c r="L729" s="1">
        <v>3500010</v>
      </c>
      <c r="M729" s="1">
        <v>400000</v>
      </c>
      <c r="N729" s="1">
        <v>3596882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6274810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1111269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27515473</v>
      </c>
      <c r="AO729" s="1">
        <v>2177033</v>
      </c>
      <c r="AP729" s="1">
        <v>25338440</v>
      </c>
      <c r="AQ729" s="1">
        <v>5280841</v>
      </c>
      <c r="AR729" s="1">
        <v>792126</v>
      </c>
      <c r="AS729" s="1">
        <v>0</v>
      </c>
      <c r="AT729" s="1">
        <f t="shared" si="79"/>
        <v>33588440</v>
      </c>
    </row>
    <row r="730" spans="1:46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1"/>
        <v>قراردادي کارگري</v>
      </c>
      <c r="E730" s="1" t="str">
        <f t="shared" si="80"/>
        <v>پروژه تعميرات نيروگاه بوشهر</v>
      </c>
      <c r="F730" s="1">
        <v>4815948</v>
      </c>
      <c r="G730" s="1">
        <v>0</v>
      </c>
      <c r="H730" s="1">
        <v>0</v>
      </c>
      <c r="I730" s="1">
        <v>3034048</v>
      </c>
      <c r="J730" s="1">
        <v>0</v>
      </c>
      <c r="K730" s="1">
        <v>0</v>
      </c>
      <c r="L730" s="1">
        <v>5172178</v>
      </c>
      <c r="M730" s="1">
        <v>400000</v>
      </c>
      <c r="N730" s="1">
        <v>2392027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5270063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3333807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25518071</v>
      </c>
      <c r="AO730" s="1">
        <v>1690336</v>
      </c>
      <c r="AP730" s="1">
        <v>23827735</v>
      </c>
      <c r="AQ730" s="1">
        <v>4436853</v>
      </c>
      <c r="AR730" s="1">
        <v>665528</v>
      </c>
      <c r="AS730" s="1">
        <v>0</v>
      </c>
      <c r="AT730" s="1">
        <f t="shared" si="79"/>
        <v>30620452</v>
      </c>
    </row>
    <row r="731" spans="1:46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16750380</v>
      </c>
      <c r="G731" s="1">
        <v>29585944</v>
      </c>
      <c r="H731" s="1">
        <v>0</v>
      </c>
      <c r="I731" s="1">
        <v>12929178</v>
      </c>
      <c r="J731" s="1">
        <v>0</v>
      </c>
      <c r="K731" s="1">
        <v>5500000</v>
      </c>
      <c r="L731" s="1">
        <v>0</v>
      </c>
      <c r="M731" s="1">
        <v>400000</v>
      </c>
      <c r="N731" s="1">
        <v>2274978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1342000</v>
      </c>
      <c r="U731" s="1">
        <v>0</v>
      </c>
      <c r="V731" s="1">
        <v>3601699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1624984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2437476</v>
      </c>
      <c r="AM731" s="1">
        <v>0</v>
      </c>
      <c r="AN731" s="1">
        <v>77546639</v>
      </c>
      <c r="AO731" s="1">
        <v>10323783</v>
      </c>
      <c r="AP731" s="1">
        <v>67222856</v>
      </c>
      <c r="AQ731" s="1">
        <v>15039174</v>
      </c>
      <c r="AR731" s="1">
        <v>2255876</v>
      </c>
      <c r="AS731" s="1">
        <v>0</v>
      </c>
      <c r="AT731" s="1">
        <f t="shared" si="79"/>
        <v>94841689</v>
      </c>
    </row>
    <row r="732" spans="1:46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8017207</v>
      </c>
      <c r="G732" s="1">
        <v>9761530</v>
      </c>
      <c r="H732" s="1">
        <v>0</v>
      </c>
      <c r="I732" s="1">
        <v>5772389</v>
      </c>
      <c r="J732" s="1">
        <v>0</v>
      </c>
      <c r="K732" s="1">
        <v>0</v>
      </c>
      <c r="L732" s="1">
        <v>3500010</v>
      </c>
      <c r="M732" s="1">
        <v>400000</v>
      </c>
      <c r="N732" s="1">
        <v>4275843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7192328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3333807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43353114</v>
      </c>
      <c r="AO732" s="1">
        <v>8695407</v>
      </c>
      <c r="AP732" s="1">
        <v>34657707</v>
      </c>
      <c r="AQ732" s="1">
        <v>8003861</v>
      </c>
      <c r="AR732" s="1">
        <v>1200579</v>
      </c>
      <c r="AS732" s="1">
        <v>0</v>
      </c>
      <c r="AT732" s="1">
        <f t="shared" si="79"/>
        <v>52557554</v>
      </c>
    </row>
    <row r="733" spans="1:46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4890142</v>
      </c>
      <c r="G733" s="1">
        <v>8623507</v>
      </c>
      <c r="H733" s="1">
        <v>0</v>
      </c>
      <c r="I733" s="1">
        <v>3912114</v>
      </c>
      <c r="J733" s="1">
        <v>0</v>
      </c>
      <c r="K733" s="1">
        <v>0</v>
      </c>
      <c r="L733" s="1">
        <v>5486510</v>
      </c>
      <c r="M733" s="1">
        <v>400000</v>
      </c>
      <c r="N733" s="1">
        <v>2445071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5682449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2222538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34762331</v>
      </c>
      <c r="AO733" s="1">
        <v>5843853</v>
      </c>
      <c r="AP733" s="1">
        <v>28918478</v>
      </c>
      <c r="AQ733" s="1">
        <v>6507959</v>
      </c>
      <c r="AR733" s="1">
        <v>976194</v>
      </c>
      <c r="AS733" s="1">
        <v>0</v>
      </c>
      <c r="AT733" s="1">
        <f t="shared" si="79"/>
        <v>42246484</v>
      </c>
    </row>
    <row r="734" spans="1:46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7953689</v>
      </c>
      <c r="G734" s="1">
        <v>7963427</v>
      </c>
      <c r="H734" s="1">
        <v>0</v>
      </c>
      <c r="I734" s="1">
        <v>5726656</v>
      </c>
      <c r="J734" s="1">
        <v>0</v>
      </c>
      <c r="K734" s="1">
        <v>0</v>
      </c>
      <c r="L734" s="1">
        <v>3500010</v>
      </c>
      <c r="M734" s="1">
        <v>400000</v>
      </c>
      <c r="N734" s="1">
        <v>4213875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7138822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3333807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41330286</v>
      </c>
      <c r="AO734" s="1">
        <v>8373546</v>
      </c>
      <c r="AP734" s="1">
        <v>32956740</v>
      </c>
      <c r="AQ734" s="1">
        <v>7599296</v>
      </c>
      <c r="AR734" s="1">
        <v>1139894</v>
      </c>
      <c r="AS734" s="1">
        <v>0</v>
      </c>
      <c r="AT734" s="1">
        <f t="shared" si="79"/>
        <v>50069476</v>
      </c>
    </row>
    <row r="735" spans="1:46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6875500</v>
      </c>
      <c r="G735" s="1">
        <v>0</v>
      </c>
      <c r="H735" s="1">
        <v>0</v>
      </c>
      <c r="I735" s="1">
        <v>4950360</v>
      </c>
      <c r="J735" s="1">
        <v>0</v>
      </c>
      <c r="K735" s="1">
        <v>0</v>
      </c>
      <c r="L735" s="1">
        <v>3500010</v>
      </c>
      <c r="M735" s="1">
        <v>400000</v>
      </c>
      <c r="N735" s="1">
        <v>3666933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6388376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2222538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29103717</v>
      </c>
      <c r="AO735" s="1">
        <v>2368293</v>
      </c>
      <c r="AP735" s="1">
        <v>26735424</v>
      </c>
      <c r="AQ735" s="1">
        <v>5376236</v>
      </c>
      <c r="AR735" s="1">
        <v>806435</v>
      </c>
      <c r="AS735" s="1">
        <v>0</v>
      </c>
      <c r="AT735" s="1">
        <f t="shared" si="79"/>
        <v>35286388</v>
      </c>
    </row>
    <row r="736" spans="1:46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7" si="82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14871666</v>
      </c>
      <c r="G736" s="1">
        <v>6825015</v>
      </c>
      <c r="H736" s="1">
        <v>0</v>
      </c>
      <c r="I736" s="1">
        <v>11279890</v>
      </c>
      <c r="J736" s="1">
        <v>0</v>
      </c>
      <c r="K736" s="1">
        <v>4125000</v>
      </c>
      <c r="L736" s="1">
        <v>0</v>
      </c>
      <c r="M736" s="1">
        <v>400000</v>
      </c>
      <c r="N736" s="1">
        <v>2493909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7137807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1781364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3562726</v>
      </c>
      <c r="AM736" s="1">
        <v>0</v>
      </c>
      <c r="AN736" s="1">
        <v>53577377</v>
      </c>
      <c r="AO736" s="1">
        <v>6630998</v>
      </c>
      <c r="AP736" s="1">
        <v>46946379</v>
      </c>
      <c r="AQ736" s="1">
        <v>10715475</v>
      </c>
      <c r="AR736" s="1">
        <v>1607321</v>
      </c>
      <c r="AS736" s="1">
        <v>0</v>
      </c>
      <c r="AT736" s="1">
        <f t="shared" si="79"/>
        <v>65900173</v>
      </c>
    </row>
    <row r="737" spans="1:46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2"/>
        <v>قراردادي بهره بردار</v>
      </c>
      <c r="E737" s="1" t="str">
        <f t="shared" ref="E737:E757" si="83">"پروژه تعميرات نيروگاه بوشهر"</f>
        <v>پروژه تعميرات نيروگاه بوشهر</v>
      </c>
      <c r="F737" s="1">
        <v>10988265</v>
      </c>
      <c r="G737" s="1">
        <v>0</v>
      </c>
      <c r="H737" s="1">
        <v>0</v>
      </c>
      <c r="I737" s="1">
        <v>8135489</v>
      </c>
      <c r="J737" s="1">
        <v>0</v>
      </c>
      <c r="K737" s="1">
        <v>4620000</v>
      </c>
      <c r="L737" s="1">
        <v>0</v>
      </c>
      <c r="M737" s="1">
        <v>400000</v>
      </c>
      <c r="N737" s="1">
        <v>1875322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4739194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1339516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5955102</v>
      </c>
      <c r="AM737" s="1">
        <v>0</v>
      </c>
      <c r="AN737" s="1">
        <v>39152888</v>
      </c>
      <c r="AO737" s="1">
        <v>5021174</v>
      </c>
      <c r="AP737" s="1">
        <v>34131714</v>
      </c>
      <c r="AQ737" s="1">
        <v>7830578</v>
      </c>
      <c r="AR737" s="1">
        <v>1174587</v>
      </c>
      <c r="AS737" s="1">
        <v>0</v>
      </c>
      <c r="AT737" s="1">
        <f t="shared" si="79"/>
        <v>48158053</v>
      </c>
    </row>
    <row r="738" spans="1:46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2"/>
        <v>قراردادي بهره بردار</v>
      </c>
      <c r="E738" s="1" t="str">
        <f t="shared" si="83"/>
        <v>پروژه تعميرات نيروگاه بوشهر</v>
      </c>
      <c r="F738" s="1">
        <v>10337635</v>
      </c>
      <c r="G738" s="1">
        <v>0</v>
      </c>
      <c r="H738" s="1">
        <v>0</v>
      </c>
      <c r="I738" s="1">
        <v>7988559</v>
      </c>
      <c r="J738" s="1">
        <v>0</v>
      </c>
      <c r="K738" s="1">
        <v>3465000</v>
      </c>
      <c r="L738" s="1">
        <v>0</v>
      </c>
      <c r="M738" s="1">
        <v>400000</v>
      </c>
      <c r="N738" s="1">
        <v>1755878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10014164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1254198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5016793</v>
      </c>
      <c r="AM738" s="1">
        <v>0</v>
      </c>
      <c r="AN738" s="1">
        <v>41332227</v>
      </c>
      <c r="AO738" s="1">
        <v>5626494</v>
      </c>
      <c r="AP738" s="1">
        <v>35705733</v>
      </c>
      <c r="AQ738" s="1">
        <v>8266445</v>
      </c>
      <c r="AR738" s="1">
        <v>1239967</v>
      </c>
      <c r="AS738" s="1">
        <v>0</v>
      </c>
      <c r="AT738" s="1">
        <f t="shared" si="79"/>
        <v>50838639</v>
      </c>
    </row>
    <row r="739" spans="1:46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2"/>
        <v>قراردادي بهره بردار</v>
      </c>
      <c r="E739" s="1" t="str">
        <f t="shared" si="83"/>
        <v>پروژه تعميرات نيروگاه بوشهر</v>
      </c>
      <c r="F739" s="1">
        <v>12483693</v>
      </c>
      <c r="G739" s="1">
        <v>8769411</v>
      </c>
      <c r="H739" s="1">
        <v>0</v>
      </c>
      <c r="I739" s="1">
        <v>10112578</v>
      </c>
      <c r="J739" s="1">
        <v>0</v>
      </c>
      <c r="K739" s="1">
        <v>0</v>
      </c>
      <c r="L739" s="1">
        <v>0</v>
      </c>
      <c r="M739" s="1">
        <v>400000</v>
      </c>
      <c r="N739" s="1">
        <v>2350618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12312650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1679014</v>
      </c>
      <c r="AF739" s="1">
        <v>1111269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5775807</v>
      </c>
      <c r="AM739" s="1">
        <v>0</v>
      </c>
      <c r="AN739" s="1">
        <v>56095040</v>
      </c>
      <c r="AO739" s="1">
        <v>14348330</v>
      </c>
      <c r="AP739" s="1">
        <v>41746710</v>
      </c>
      <c r="AQ739" s="1">
        <v>10996754</v>
      </c>
      <c r="AR739" s="1">
        <v>1649513</v>
      </c>
      <c r="AS739" s="1">
        <v>0</v>
      </c>
      <c r="AT739" s="1">
        <f t="shared" si="79"/>
        <v>68741307</v>
      </c>
    </row>
    <row r="740" spans="1:46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2"/>
        <v>قراردادي بهره بردار</v>
      </c>
      <c r="E740" s="1" t="str">
        <f t="shared" si="83"/>
        <v>پروژه تعميرات نيروگاه بوشهر</v>
      </c>
      <c r="F740" s="1">
        <v>15658339</v>
      </c>
      <c r="G740" s="1">
        <v>3241020</v>
      </c>
      <c r="H740" s="1">
        <v>0</v>
      </c>
      <c r="I740" s="1">
        <v>12274842</v>
      </c>
      <c r="J740" s="1">
        <v>0</v>
      </c>
      <c r="K740" s="1">
        <v>5500000</v>
      </c>
      <c r="L740" s="1">
        <v>0</v>
      </c>
      <c r="M740" s="1">
        <v>400000</v>
      </c>
      <c r="N740" s="1">
        <v>2781494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7086360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1986781</v>
      </c>
      <c r="AF740" s="1">
        <v>1111269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3178850</v>
      </c>
      <c r="AM740" s="1">
        <v>0</v>
      </c>
      <c r="AN740" s="1">
        <v>54318955</v>
      </c>
      <c r="AO740" s="1">
        <v>7856469</v>
      </c>
      <c r="AP740" s="1">
        <v>46462486</v>
      </c>
      <c r="AQ740" s="1">
        <v>10641537</v>
      </c>
      <c r="AR740" s="1">
        <v>1596231</v>
      </c>
      <c r="AS740" s="1">
        <v>0</v>
      </c>
      <c r="AT740" s="1">
        <f t="shared" si="79"/>
        <v>66556723</v>
      </c>
    </row>
    <row r="741" spans="1:46" x14ac:dyDescent="0.2">
      <c r="A741" s="1" t="str">
        <f>"00845"</f>
        <v>00845</v>
      </c>
      <c r="B741" s="1" t="str">
        <f>"مهدي"</f>
        <v>مهدي</v>
      </c>
      <c r="C741" s="1" t="str">
        <f>"حسيني"</f>
        <v>حسيني</v>
      </c>
      <c r="D741" s="1" t="str">
        <f t="shared" si="82"/>
        <v>قراردادي بهره بردار</v>
      </c>
      <c r="E741" s="1" t="str">
        <f t="shared" si="83"/>
        <v>پروژه تعميرات نيروگاه بوشهر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f t="shared" si="79"/>
        <v>0</v>
      </c>
    </row>
    <row r="742" spans="1:46" x14ac:dyDescent="0.2">
      <c r="A742" s="1" t="str">
        <f>"00846"</f>
        <v>00846</v>
      </c>
      <c r="B742" s="1" t="str">
        <f>"حميد"</f>
        <v>حميد</v>
      </c>
      <c r="C742" s="1" t="str">
        <f>"رضايي"</f>
        <v>رضايي</v>
      </c>
      <c r="D742" s="1" t="str">
        <f t="shared" si="82"/>
        <v>قراردادي بهره بردار</v>
      </c>
      <c r="E742" s="1" t="str">
        <f t="shared" si="83"/>
        <v>پروژه تعميرات نيروگاه بوشهر</v>
      </c>
      <c r="F742" s="1">
        <v>9843056</v>
      </c>
      <c r="G742" s="1">
        <v>0</v>
      </c>
      <c r="H742" s="1">
        <v>0</v>
      </c>
      <c r="I742" s="1">
        <v>7406531</v>
      </c>
      <c r="J742" s="1">
        <v>0</v>
      </c>
      <c r="K742" s="1">
        <v>3465000</v>
      </c>
      <c r="L742" s="1">
        <v>0</v>
      </c>
      <c r="M742" s="1">
        <v>400000</v>
      </c>
      <c r="N742" s="1">
        <v>1571380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9284556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1122415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4489657</v>
      </c>
      <c r="AM742" s="1">
        <v>0</v>
      </c>
      <c r="AN742" s="1">
        <v>38682595</v>
      </c>
      <c r="AO742" s="1">
        <v>4128676</v>
      </c>
      <c r="AP742" s="1">
        <v>34553919</v>
      </c>
      <c r="AQ742" s="1">
        <v>7736519</v>
      </c>
      <c r="AR742" s="1">
        <v>1160478</v>
      </c>
      <c r="AS742" s="1">
        <v>0</v>
      </c>
      <c r="AT742" s="1">
        <f t="shared" si="79"/>
        <v>47579592</v>
      </c>
    </row>
    <row r="743" spans="1:46" x14ac:dyDescent="0.2">
      <c r="A743" s="1" t="str">
        <f>"00847"</f>
        <v>00847</v>
      </c>
      <c r="B743" s="1" t="str">
        <f>"امين"</f>
        <v>امين</v>
      </c>
      <c r="C743" s="1" t="str">
        <f>"رودحله پور"</f>
        <v>رودحله پور</v>
      </c>
      <c r="D743" s="1" t="str">
        <f t="shared" si="82"/>
        <v>قراردادي بهره بردار</v>
      </c>
      <c r="E743" s="1" t="str">
        <f t="shared" si="83"/>
        <v>پروژه تعميرات نيروگاه بوشهر</v>
      </c>
      <c r="F743" s="1">
        <v>14394570</v>
      </c>
      <c r="G743" s="1">
        <v>5341357</v>
      </c>
      <c r="H743" s="1">
        <v>0</v>
      </c>
      <c r="I743" s="1">
        <v>10715207</v>
      </c>
      <c r="J743" s="1">
        <v>0</v>
      </c>
      <c r="K743" s="1">
        <v>5500000</v>
      </c>
      <c r="L743" s="1">
        <v>0</v>
      </c>
      <c r="M743" s="1">
        <v>400000</v>
      </c>
      <c r="N743" s="1">
        <v>2315475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7614100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1653910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2646257</v>
      </c>
      <c r="AM743" s="1">
        <v>0</v>
      </c>
      <c r="AN743" s="1">
        <v>51680876</v>
      </c>
      <c r="AO743" s="1">
        <v>6312387</v>
      </c>
      <c r="AP743" s="1">
        <v>45368489</v>
      </c>
      <c r="AQ743" s="1">
        <v>10336175</v>
      </c>
      <c r="AR743" s="1">
        <v>1550426</v>
      </c>
      <c r="AS743" s="1">
        <v>0</v>
      </c>
      <c r="AT743" s="1">
        <f t="shared" si="79"/>
        <v>63567477</v>
      </c>
    </row>
    <row r="744" spans="1:46" x14ac:dyDescent="0.2">
      <c r="A744" s="1" t="str">
        <f>"00848"</f>
        <v>00848</v>
      </c>
      <c r="B744" s="1" t="str">
        <f>"سلمان"</f>
        <v>سلمان</v>
      </c>
      <c r="C744" s="1" t="str">
        <f>"شجاعي خو"</f>
        <v>شجاعي خو</v>
      </c>
      <c r="D744" s="1" t="str">
        <f t="shared" si="82"/>
        <v>قراردادي بهره بردار</v>
      </c>
      <c r="E744" s="1" t="str">
        <f t="shared" si="83"/>
        <v>پروژه تعميرات نيروگاه بوشهر</v>
      </c>
      <c r="F744" s="1">
        <v>10361703</v>
      </c>
      <c r="G744" s="1">
        <v>4103646</v>
      </c>
      <c r="H744" s="1">
        <v>0</v>
      </c>
      <c r="I744" s="1">
        <v>7573017</v>
      </c>
      <c r="J744" s="1">
        <v>0</v>
      </c>
      <c r="K744" s="1">
        <v>3465000</v>
      </c>
      <c r="L744" s="1">
        <v>0</v>
      </c>
      <c r="M744" s="1">
        <v>400000</v>
      </c>
      <c r="N744" s="1">
        <v>1643490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5245432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1173921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4226117</v>
      </c>
      <c r="AM744" s="1">
        <v>0</v>
      </c>
      <c r="AN744" s="1">
        <v>39292326</v>
      </c>
      <c r="AO744" s="1">
        <v>5038376</v>
      </c>
      <c r="AP744" s="1">
        <v>34253950</v>
      </c>
      <c r="AQ744" s="1">
        <v>7858465</v>
      </c>
      <c r="AR744" s="1">
        <v>1178770</v>
      </c>
      <c r="AS744" s="1">
        <v>0</v>
      </c>
      <c r="AT744" s="1">
        <f t="shared" si="79"/>
        <v>48329561</v>
      </c>
    </row>
    <row r="745" spans="1:46" x14ac:dyDescent="0.2">
      <c r="A745" s="1" t="str">
        <f>"00849"</f>
        <v>00849</v>
      </c>
      <c r="B745" s="1" t="str">
        <f>"مرتضي"</f>
        <v>مرتضي</v>
      </c>
      <c r="C745" s="1" t="str">
        <f>"شريفيان"</f>
        <v>شريفيان</v>
      </c>
      <c r="D745" s="1" t="str">
        <f t="shared" si="82"/>
        <v>قراردادي بهره بردار</v>
      </c>
      <c r="E745" s="1" t="str">
        <f t="shared" si="83"/>
        <v>پروژه تعميرات نيروگاه بوشهر</v>
      </c>
      <c r="F745" s="1">
        <v>10275037</v>
      </c>
      <c r="G745" s="1">
        <v>0</v>
      </c>
      <c r="H745" s="1">
        <v>0</v>
      </c>
      <c r="I745" s="1">
        <v>8011418</v>
      </c>
      <c r="J745" s="1">
        <v>0</v>
      </c>
      <c r="K745" s="1">
        <v>4620000</v>
      </c>
      <c r="L745" s="1">
        <v>0</v>
      </c>
      <c r="M745" s="1">
        <v>400000</v>
      </c>
      <c r="N745" s="1">
        <v>1710997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5593227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1222141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4204165</v>
      </c>
      <c r="AM745" s="1">
        <v>0</v>
      </c>
      <c r="AN745" s="1">
        <v>37136985</v>
      </c>
      <c r="AO745" s="1">
        <v>3869013</v>
      </c>
      <c r="AP745" s="1">
        <v>33267972</v>
      </c>
      <c r="AQ745" s="1">
        <v>7427397</v>
      </c>
      <c r="AR745" s="1">
        <v>1114110</v>
      </c>
      <c r="AS745" s="1">
        <v>0</v>
      </c>
      <c r="AT745" s="1">
        <f t="shared" si="79"/>
        <v>45678492</v>
      </c>
    </row>
    <row r="746" spans="1:46" x14ac:dyDescent="0.2">
      <c r="A746" s="1" t="str">
        <f>"00850"</f>
        <v>00850</v>
      </c>
      <c r="B746" s="1" t="str">
        <f>"رضا"</f>
        <v>رضا</v>
      </c>
      <c r="C746" s="1" t="str">
        <f>"شکرانه"</f>
        <v>شکرانه</v>
      </c>
      <c r="D746" s="1" t="str">
        <f t="shared" si="82"/>
        <v>قراردادي بهره بردار</v>
      </c>
      <c r="E746" s="1" t="str">
        <f t="shared" si="83"/>
        <v>پروژه تعميرات نيروگاه بوشهر</v>
      </c>
      <c r="F746" s="1">
        <v>10707897</v>
      </c>
      <c r="G746" s="1">
        <v>9606492</v>
      </c>
      <c r="H746" s="1">
        <v>0</v>
      </c>
      <c r="I746" s="1">
        <v>10637418</v>
      </c>
      <c r="J746" s="1">
        <v>0</v>
      </c>
      <c r="K746" s="1">
        <v>4620000</v>
      </c>
      <c r="L746" s="1">
        <v>0</v>
      </c>
      <c r="M746" s="1">
        <v>400000</v>
      </c>
      <c r="N746" s="1">
        <v>1895056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8962899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1353612</v>
      </c>
      <c r="AF746" s="1">
        <v>1111269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5035433</v>
      </c>
      <c r="AM746" s="1">
        <v>0</v>
      </c>
      <c r="AN746" s="1">
        <v>55430076</v>
      </c>
      <c r="AO746" s="1">
        <v>9804141</v>
      </c>
      <c r="AP746" s="1">
        <v>45625935</v>
      </c>
      <c r="AQ746" s="1">
        <v>10863761</v>
      </c>
      <c r="AR746" s="1">
        <v>1629564</v>
      </c>
      <c r="AS746" s="1">
        <v>0</v>
      </c>
      <c r="AT746" s="1">
        <f t="shared" si="79"/>
        <v>67923401</v>
      </c>
    </row>
    <row r="747" spans="1:46" x14ac:dyDescent="0.2">
      <c r="A747" s="1" t="str">
        <f>"00851"</f>
        <v>00851</v>
      </c>
      <c r="B747" s="1" t="str">
        <f>"حسن"</f>
        <v>حسن</v>
      </c>
      <c r="C747" s="1" t="str">
        <f>"شيخياني"</f>
        <v>شيخياني</v>
      </c>
      <c r="D747" s="1" t="str">
        <f t="shared" si="82"/>
        <v>قراردادي بهره بردار</v>
      </c>
      <c r="E747" s="1" t="str">
        <f t="shared" si="83"/>
        <v>پروژه تعميرات نيروگاه بوشهر</v>
      </c>
      <c r="F747" s="1">
        <v>14667348</v>
      </c>
      <c r="G747" s="1">
        <v>5605836</v>
      </c>
      <c r="H747" s="1">
        <v>0</v>
      </c>
      <c r="I747" s="1">
        <v>10586520</v>
      </c>
      <c r="J747" s="1">
        <v>0</v>
      </c>
      <c r="K747" s="1">
        <v>5500000</v>
      </c>
      <c r="L747" s="1">
        <v>0</v>
      </c>
      <c r="M747" s="1">
        <v>400000</v>
      </c>
      <c r="N747" s="1">
        <v>2396833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5399125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1712024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2396833</v>
      </c>
      <c r="AM747" s="1">
        <v>0</v>
      </c>
      <c r="AN747" s="1">
        <v>49764519</v>
      </c>
      <c r="AO747" s="1">
        <v>21174444</v>
      </c>
      <c r="AP747" s="1">
        <v>28590075</v>
      </c>
      <c r="AQ747" s="1">
        <v>9952904</v>
      </c>
      <c r="AR747" s="1">
        <v>1492936</v>
      </c>
      <c r="AS747" s="1">
        <v>0</v>
      </c>
      <c r="AT747" s="1">
        <f t="shared" si="79"/>
        <v>61210359</v>
      </c>
    </row>
    <row r="748" spans="1:46" x14ac:dyDescent="0.2">
      <c r="A748" s="1" t="str">
        <f>"00852"</f>
        <v>00852</v>
      </c>
      <c r="B748" s="1" t="str">
        <f>"علي"</f>
        <v>علي</v>
      </c>
      <c r="C748" s="1" t="str">
        <f>"صالحي"</f>
        <v>صالحي</v>
      </c>
      <c r="D748" s="1" t="str">
        <f t="shared" si="82"/>
        <v>قراردادي بهره بردار</v>
      </c>
      <c r="E748" s="1" t="str">
        <f t="shared" si="83"/>
        <v>پروژه تعميرات نيروگاه بوشهر</v>
      </c>
      <c r="F748" s="1">
        <v>10536837</v>
      </c>
      <c r="G748" s="1">
        <v>9564767</v>
      </c>
      <c r="H748" s="1">
        <v>0</v>
      </c>
      <c r="I748" s="1">
        <v>8244128</v>
      </c>
      <c r="J748" s="1">
        <v>0</v>
      </c>
      <c r="K748" s="1">
        <v>4620000</v>
      </c>
      <c r="L748" s="1">
        <v>0</v>
      </c>
      <c r="M748" s="1">
        <v>400000</v>
      </c>
      <c r="N748" s="1">
        <v>1845494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11263339</v>
      </c>
      <c r="W748" s="1">
        <v>1100000</v>
      </c>
      <c r="X748" s="1">
        <v>1635026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1318210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7695695</v>
      </c>
      <c r="AM748" s="1">
        <v>0</v>
      </c>
      <c r="AN748" s="1">
        <v>58223496</v>
      </c>
      <c r="AO748" s="1">
        <v>8869143</v>
      </c>
      <c r="AP748" s="1">
        <v>49354353</v>
      </c>
      <c r="AQ748" s="1">
        <v>11644699</v>
      </c>
      <c r="AR748" s="1">
        <v>1746705</v>
      </c>
      <c r="AS748" s="1">
        <v>0</v>
      </c>
      <c r="AT748" s="1">
        <f t="shared" si="79"/>
        <v>71614900</v>
      </c>
    </row>
    <row r="749" spans="1:46" x14ac:dyDescent="0.2">
      <c r="A749" s="1" t="str">
        <f>"00853"</f>
        <v>00853</v>
      </c>
      <c r="B749" s="1" t="str">
        <f>"مهدي"</f>
        <v>مهدي</v>
      </c>
      <c r="C749" s="1" t="str">
        <f>"صفري"</f>
        <v>صفري</v>
      </c>
      <c r="D749" s="1" t="str">
        <f t="shared" si="82"/>
        <v>قراردادي بهره بردار</v>
      </c>
      <c r="E749" s="1" t="str">
        <f t="shared" si="83"/>
        <v>پروژه تعميرات نيروگاه بوشهر</v>
      </c>
      <c r="F749" s="1">
        <v>10627610</v>
      </c>
      <c r="G749" s="1">
        <v>3952004</v>
      </c>
      <c r="H749" s="1">
        <v>0</v>
      </c>
      <c r="I749" s="1">
        <v>7862279</v>
      </c>
      <c r="J749" s="1">
        <v>0</v>
      </c>
      <c r="K749" s="1">
        <v>4620000</v>
      </c>
      <c r="L749" s="1">
        <v>0</v>
      </c>
      <c r="M749" s="1">
        <v>400000</v>
      </c>
      <c r="N749" s="1">
        <v>1851038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9245698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1322170</v>
      </c>
      <c r="AF749" s="1">
        <v>1111269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4019397</v>
      </c>
      <c r="AM749" s="1">
        <v>0</v>
      </c>
      <c r="AN749" s="1">
        <v>46111465</v>
      </c>
      <c r="AO749" s="1">
        <v>21513095</v>
      </c>
      <c r="AP749" s="1">
        <v>24598370</v>
      </c>
      <c r="AQ749" s="1">
        <v>9000039</v>
      </c>
      <c r="AR749" s="1">
        <v>1350006</v>
      </c>
      <c r="AS749" s="1">
        <v>0</v>
      </c>
      <c r="AT749" s="1">
        <f t="shared" si="79"/>
        <v>56461510</v>
      </c>
    </row>
    <row r="750" spans="1:46" x14ac:dyDescent="0.2">
      <c r="A750" s="1" t="str">
        <f>"00854"</f>
        <v>00854</v>
      </c>
      <c r="B750" s="1" t="str">
        <f>"علي"</f>
        <v>علي</v>
      </c>
      <c r="C750" s="1" t="str">
        <f>"عطاپوريان"</f>
        <v>عطاپوريان</v>
      </c>
      <c r="D750" s="1" t="str">
        <f t="shared" si="82"/>
        <v>قراردادي بهره بردار</v>
      </c>
      <c r="E750" s="1" t="str">
        <f t="shared" si="83"/>
        <v>پروژه تعميرات نيروگاه بوشهر</v>
      </c>
      <c r="F750" s="1">
        <v>12122779</v>
      </c>
      <c r="G750" s="1">
        <v>0</v>
      </c>
      <c r="H750" s="1">
        <v>0</v>
      </c>
      <c r="I750" s="1">
        <v>10453994</v>
      </c>
      <c r="J750" s="1">
        <v>0</v>
      </c>
      <c r="K750" s="1">
        <v>4620000</v>
      </c>
      <c r="L750" s="1">
        <v>0</v>
      </c>
      <c r="M750" s="1">
        <v>400000</v>
      </c>
      <c r="N750" s="1">
        <v>2213699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9890702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1581212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6324852</v>
      </c>
      <c r="AM750" s="1">
        <v>0</v>
      </c>
      <c r="AN750" s="1">
        <v>48707238</v>
      </c>
      <c r="AO750" s="1">
        <v>7151444</v>
      </c>
      <c r="AP750" s="1">
        <v>41555794</v>
      </c>
      <c r="AQ750" s="1">
        <v>9741448</v>
      </c>
      <c r="AR750" s="1">
        <v>1461217</v>
      </c>
      <c r="AS750" s="1">
        <v>0</v>
      </c>
      <c r="AT750" s="1">
        <f t="shared" si="79"/>
        <v>59909903</v>
      </c>
    </row>
    <row r="751" spans="1:46" x14ac:dyDescent="0.2">
      <c r="A751" s="1" t="str">
        <f>"00855"</f>
        <v>00855</v>
      </c>
      <c r="B751" s="1" t="str">
        <f>"ايوب"</f>
        <v>ايوب</v>
      </c>
      <c r="C751" s="1" t="str">
        <f>"عليزاده"</f>
        <v>عليزاده</v>
      </c>
      <c r="D751" s="1" t="str">
        <f t="shared" si="82"/>
        <v>قراردادي بهره بردار</v>
      </c>
      <c r="E751" s="1" t="str">
        <f t="shared" si="83"/>
        <v>پروژه تعميرات نيروگاه بوشهر</v>
      </c>
      <c r="F751" s="1">
        <v>11728357</v>
      </c>
      <c r="G751" s="1">
        <v>4481877</v>
      </c>
      <c r="H751" s="1">
        <v>0</v>
      </c>
      <c r="I751" s="1">
        <v>8874076</v>
      </c>
      <c r="J751" s="1">
        <v>0</v>
      </c>
      <c r="K751" s="1">
        <v>3465000</v>
      </c>
      <c r="L751" s="1">
        <v>0</v>
      </c>
      <c r="M751" s="1">
        <v>400000</v>
      </c>
      <c r="N751" s="1">
        <v>2236481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6361245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1597486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4153464</v>
      </c>
      <c r="AM751" s="1">
        <v>0</v>
      </c>
      <c r="AN751" s="1">
        <v>44397986</v>
      </c>
      <c r="AO751" s="1">
        <v>6024531</v>
      </c>
      <c r="AP751" s="1">
        <v>38373455</v>
      </c>
      <c r="AQ751" s="1">
        <v>8879597</v>
      </c>
      <c r="AR751" s="1">
        <v>1331940</v>
      </c>
      <c r="AS751" s="1">
        <v>0</v>
      </c>
      <c r="AT751" s="1">
        <f t="shared" si="79"/>
        <v>54609523</v>
      </c>
    </row>
    <row r="752" spans="1:46" x14ac:dyDescent="0.2">
      <c r="A752" s="1" t="str">
        <f>"00856"</f>
        <v>00856</v>
      </c>
      <c r="B752" s="1" t="str">
        <f>"محمد"</f>
        <v>محمد</v>
      </c>
      <c r="C752" s="1" t="str">
        <f>"غلامي مندلي"</f>
        <v>غلامي مندلي</v>
      </c>
      <c r="D752" s="1" t="str">
        <f t="shared" si="82"/>
        <v>قراردادي بهره بردار</v>
      </c>
      <c r="E752" s="1" t="str">
        <f t="shared" si="83"/>
        <v>پروژه تعميرات نيروگاه بوشهر</v>
      </c>
      <c r="F752" s="1">
        <v>9900400</v>
      </c>
      <c r="G752" s="1">
        <v>0</v>
      </c>
      <c r="H752" s="1">
        <v>0</v>
      </c>
      <c r="I752" s="1">
        <v>7439375</v>
      </c>
      <c r="J752" s="1">
        <v>0</v>
      </c>
      <c r="K752" s="1">
        <v>4620000</v>
      </c>
      <c r="L752" s="1">
        <v>0</v>
      </c>
      <c r="M752" s="1">
        <v>400000</v>
      </c>
      <c r="N752" s="1">
        <v>1575353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5399104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1125251</v>
      </c>
      <c r="AF752" s="1">
        <v>0</v>
      </c>
      <c r="AG752" s="1">
        <v>0</v>
      </c>
      <c r="AH752" s="1">
        <v>0</v>
      </c>
      <c r="AI752" s="1">
        <v>5000000</v>
      </c>
      <c r="AJ752" s="1">
        <v>0</v>
      </c>
      <c r="AK752" s="1">
        <v>0</v>
      </c>
      <c r="AL752" s="1">
        <v>4501007</v>
      </c>
      <c r="AM752" s="1">
        <v>0</v>
      </c>
      <c r="AN752" s="1">
        <v>41060490</v>
      </c>
      <c r="AO752" s="1">
        <v>4979517</v>
      </c>
      <c r="AP752" s="1">
        <v>36080973</v>
      </c>
      <c r="AQ752" s="1">
        <v>7212098</v>
      </c>
      <c r="AR752" s="1">
        <v>1081815</v>
      </c>
      <c r="AS752" s="1">
        <v>0</v>
      </c>
      <c r="AT752" s="1">
        <f t="shared" si="79"/>
        <v>49354403</v>
      </c>
    </row>
    <row r="753" spans="1:46" x14ac:dyDescent="0.2">
      <c r="A753" s="1" t="str">
        <f>"00858"</f>
        <v>00858</v>
      </c>
      <c r="B753" s="1" t="str">
        <f>"عرفان"</f>
        <v>عرفان</v>
      </c>
      <c r="C753" s="1" t="str">
        <f>"محمدي"</f>
        <v>محمدي</v>
      </c>
      <c r="D753" s="1" t="str">
        <f t="shared" si="82"/>
        <v>قراردادي بهره بردار</v>
      </c>
      <c r="E753" s="1" t="str">
        <f t="shared" si="83"/>
        <v>پروژه تعميرات نيروگاه بوشهر</v>
      </c>
      <c r="F753" s="1">
        <v>14229897</v>
      </c>
      <c r="G753" s="1">
        <v>0</v>
      </c>
      <c r="H753" s="1">
        <v>0</v>
      </c>
      <c r="I753" s="1">
        <v>11196630</v>
      </c>
      <c r="J753" s="1">
        <v>0</v>
      </c>
      <c r="K753" s="1">
        <v>4125000</v>
      </c>
      <c r="L753" s="1">
        <v>0</v>
      </c>
      <c r="M753" s="1">
        <v>400000</v>
      </c>
      <c r="N753" s="1">
        <v>2304175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12764159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1645840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4213349</v>
      </c>
      <c r="AM753" s="1">
        <v>0</v>
      </c>
      <c r="AN753" s="1">
        <v>51979050</v>
      </c>
      <c r="AO753" s="1">
        <v>7758724</v>
      </c>
      <c r="AP753" s="1">
        <v>44220326</v>
      </c>
      <c r="AQ753" s="1">
        <v>10395810</v>
      </c>
      <c r="AR753" s="1">
        <v>1559372</v>
      </c>
      <c r="AS753" s="1">
        <v>0</v>
      </c>
      <c r="AT753" s="1">
        <f t="shared" si="79"/>
        <v>63934232</v>
      </c>
    </row>
    <row r="754" spans="1:46" x14ac:dyDescent="0.2">
      <c r="A754" s="1" t="str">
        <f>"00860"</f>
        <v>00860</v>
      </c>
      <c r="B754" s="1" t="str">
        <f>"سيد عبدالحميد"</f>
        <v>سيد عبدالحميد</v>
      </c>
      <c r="C754" s="1" t="str">
        <f>"موسوي"</f>
        <v>موسوي</v>
      </c>
      <c r="D754" s="1" t="str">
        <f t="shared" si="82"/>
        <v>قراردادي بهره بردار</v>
      </c>
      <c r="E754" s="1" t="str">
        <f t="shared" si="83"/>
        <v>پروژه تعميرات نيروگاه بوشهر</v>
      </c>
      <c r="F754" s="1">
        <v>15333455</v>
      </c>
      <c r="G754" s="1">
        <v>17831349</v>
      </c>
      <c r="H754" s="1">
        <v>0</v>
      </c>
      <c r="I754" s="1">
        <v>12353348</v>
      </c>
      <c r="J754" s="1">
        <v>0</v>
      </c>
      <c r="K754" s="1">
        <v>5500000</v>
      </c>
      <c r="L754" s="1">
        <v>0</v>
      </c>
      <c r="M754" s="1">
        <v>400000</v>
      </c>
      <c r="N754" s="1">
        <v>2640089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3522992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1885778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3017246</v>
      </c>
      <c r="AM754" s="1">
        <v>0</v>
      </c>
      <c r="AN754" s="1">
        <v>63584257</v>
      </c>
      <c r="AO754" s="1">
        <v>9287488</v>
      </c>
      <c r="AP754" s="1">
        <v>54296769</v>
      </c>
      <c r="AQ754" s="1">
        <v>12716851</v>
      </c>
      <c r="AR754" s="1">
        <v>1907528</v>
      </c>
      <c r="AS754" s="1">
        <v>0</v>
      </c>
      <c r="AT754" s="1">
        <f t="shared" si="79"/>
        <v>78208636</v>
      </c>
    </row>
    <row r="755" spans="1:46" x14ac:dyDescent="0.2">
      <c r="A755" s="1" t="str">
        <f>"00861"</f>
        <v>00861</v>
      </c>
      <c r="B755" s="1" t="str">
        <f>"زين العابدين"</f>
        <v>زين العابدين</v>
      </c>
      <c r="C755" s="1" t="str">
        <f>"ميرکي"</f>
        <v>ميرکي</v>
      </c>
      <c r="D755" s="1" t="str">
        <f t="shared" si="82"/>
        <v>قراردادي بهره بردار</v>
      </c>
      <c r="E755" s="1" t="str">
        <f t="shared" si="83"/>
        <v>پروژه تعميرات نيروگاه بوشهر</v>
      </c>
      <c r="F755" s="1">
        <v>10822310</v>
      </c>
      <c r="G755" s="1">
        <v>3357300</v>
      </c>
      <c r="H755" s="1">
        <v>0</v>
      </c>
      <c r="I755" s="1">
        <v>8837422</v>
      </c>
      <c r="J755" s="1">
        <v>0</v>
      </c>
      <c r="K755" s="1">
        <v>4620000</v>
      </c>
      <c r="L755" s="1">
        <v>0</v>
      </c>
      <c r="M755" s="1">
        <v>400000</v>
      </c>
      <c r="N755" s="1">
        <v>1928589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8614032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1377564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5510254</v>
      </c>
      <c r="AM755" s="1">
        <v>0</v>
      </c>
      <c r="AN755" s="1">
        <v>46567471</v>
      </c>
      <c r="AO755" s="1">
        <v>5453335</v>
      </c>
      <c r="AP755" s="1">
        <v>41114136</v>
      </c>
      <c r="AQ755" s="1">
        <v>9313494</v>
      </c>
      <c r="AR755" s="1">
        <v>1397024</v>
      </c>
      <c r="AS755" s="1">
        <v>0</v>
      </c>
      <c r="AT755" s="1">
        <f t="shared" si="79"/>
        <v>57277989</v>
      </c>
    </row>
    <row r="756" spans="1:46" x14ac:dyDescent="0.2">
      <c r="A756" s="1" t="str">
        <f>"00862"</f>
        <v>00862</v>
      </c>
      <c r="B756" s="1" t="str">
        <f>"محمدجواد"</f>
        <v>محمدجواد</v>
      </c>
      <c r="C756" s="1" t="str">
        <f>"يزدان پناه"</f>
        <v>يزدان پناه</v>
      </c>
      <c r="D756" s="1" t="str">
        <f t="shared" si="82"/>
        <v>قراردادي بهره بردار</v>
      </c>
      <c r="E756" s="1" t="str">
        <f t="shared" si="83"/>
        <v>پروژه تعميرات نيروگاه بوشهر</v>
      </c>
      <c r="F756" s="1">
        <v>14043269</v>
      </c>
      <c r="G756" s="1">
        <v>0</v>
      </c>
      <c r="H756" s="1">
        <v>0</v>
      </c>
      <c r="I756" s="1">
        <v>9682197</v>
      </c>
      <c r="J756" s="1">
        <v>0</v>
      </c>
      <c r="K756" s="1">
        <v>5500000</v>
      </c>
      <c r="L756" s="1">
        <v>0</v>
      </c>
      <c r="M756" s="1">
        <v>400000</v>
      </c>
      <c r="N756" s="1">
        <v>2169883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5910214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1549918</v>
      </c>
      <c r="AF756" s="1">
        <v>1111269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2479867</v>
      </c>
      <c r="AM756" s="1">
        <v>0</v>
      </c>
      <c r="AN756" s="1">
        <v>43946617</v>
      </c>
      <c r="AO756" s="1">
        <v>5969542</v>
      </c>
      <c r="AP756" s="1">
        <v>37977075</v>
      </c>
      <c r="AQ756" s="1">
        <v>8567070</v>
      </c>
      <c r="AR756" s="1">
        <v>1285060</v>
      </c>
      <c r="AS756" s="1">
        <v>0</v>
      </c>
      <c r="AT756" s="1">
        <f t="shared" si="79"/>
        <v>53798747</v>
      </c>
    </row>
    <row r="757" spans="1:46" x14ac:dyDescent="0.2">
      <c r="A757" s="1" t="str">
        <f>"00863"</f>
        <v>00863</v>
      </c>
      <c r="B757" s="1" t="str">
        <f>"هادي"</f>
        <v>هادي</v>
      </c>
      <c r="C757" s="1" t="str">
        <f>"آب رخت"</f>
        <v>آب رخت</v>
      </c>
      <c r="D757" s="1" t="str">
        <f t="shared" si="82"/>
        <v>قراردادي بهره بردار</v>
      </c>
      <c r="E757" s="1" t="str">
        <f t="shared" si="83"/>
        <v>پروژه تعميرات نيروگاه بوشهر</v>
      </c>
      <c r="F757" s="1">
        <v>11907647</v>
      </c>
      <c r="G757" s="1">
        <v>998785</v>
      </c>
      <c r="H757" s="1">
        <v>0</v>
      </c>
      <c r="I757" s="1">
        <v>10264333</v>
      </c>
      <c r="J757" s="1">
        <v>0</v>
      </c>
      <c r="K757" s="1">
        <v>3465000</v>
      </c>
      <c r="L757" s="1">
        <v>0</v>
      </c>
      <c r="M757" s="1">
        <v>400000</v>
      </c>
      <c r="N757" s="1">
        <v>2146202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12153613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1533002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6132007</v>
      </c>
      <c r="AM757" s="1">
        <v>0</v>
      </c>
      <c r="AN757" s="1">
        <v>50100589</v>
      </c>
      <c r="AO757" s="1">
        <v>7291447</v>
      </c>
      <c r="AP757" s="1">
        <v>42809142</v>
      </c>
      <c r="AQ757" s="1">
        <v>10020118</v>
      </c>
      <c r="AR757" s="1">
        <v>1503018</v>
      </c>
      <c r="AS757" s="1">
        <v>0</v>
      </c>
      <c r="AT757" s="1">
        <f t="shared" si="79"/>
        <v>61623725</v>
      </c>
    </row>
    <row r="758" spans="1:46" x14ac:dyDescent="0.2">
      <c r="A758" s="1" t="str">
        <f>"00864"</f>
        <v>00864</v>
      </c>
      <c r="B758" s="1" t="str">
        <f>"مهرداد"</f>
        <v>مهرداد</v>
      </c>
      <c r="C758" s="1" t="str">
        <f>"رحيمي"</f>
        <v>رحيمي</v>
      </c>
      <c r="D758" s="1" t="str">
        <f>"قراردادي کارگري"</f>
        <v>قراردادي کارگري</v>
      </c>
      <c r="E758" s="1" t="str">
        <f>"پروژه بهره برداري نيروگاه بوشهر"</f>
        <v>پروژه بهره برداري نيروگاه بوشهر</v>
      </c>
      <c r="F758" s="1">
        <v>11606862</v>
      </c>
      <c r="G758" s="1">
        <v>4810546</v>
      </c>
      <c r="H758" s="1">
        <v>0</v>
      </c>
      <c r="I758" s="1">
        <v>5545622</v>
      </c>
      <c r="J758" s="1">
        <v>0</v>
      </c>
      <c r="K758" s="1">
        <v>0</v>
      </c>
      <c r="L758" s="1">
        <v>0</v>
      </c>
      <c r="M758" s="1">
        <v>400000</v>
      </c>
      <c r="N758" s="1">
        <v>1381875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2070587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987054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1184463</v>
      </c>
      <c r="AM758" s="1">
        <v>0</v>
      </c>
      <c r="AN758" s="1">
        <v>29087009</v>
      </c>
      <c r="AO758" s="1">
        <v>2516617</v>
      </c>
      <c r="AP758" s="1">
        <v>26570392</v>
      </c>
      <c r="AQ758" s="1">
        <v>5817402</v>
      </c>
      <c r="AR758" s="1">
        <v>872610</v>
      </c>
      <c r="AS758" s="1">
        <v>0</v>
      </c>
      <c r="AT758" s="1">
        <f t="shared" si="79"/>
        <v>35777021</v>
      </c>
    </row>
    <row r="759" spans="1:46" x14ac:dyDescent="0.2">
      <c r="A759" s="1" t="str">
        <f>"00865"</f>
        <v>00865</v>
      </c>
      <c r="B759" s="1" t="str">
        <f>"محمد"</f>
        <v>محمد</v>
      </c>
      <c r="C759" s="1" t="str">
        <f>"احمدي"</f>
        <v>احمدي</v>
      </c>
      <c r="D759" s="1" t="str">
        <f t="shared" ref="D759:D776" si="84">"قراردادي بهره بردار"</f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14366444</v>
      </c>
      <c r="G759" s="1">
        <v>3843794</v>
      </c>
      <c r="H759" s="1">
        <v>0</v>
      </c>
      <c r="I759" s="1">
        <v>10596973</v>
      </c>
      <c r="J759" s="1">
        <v>0</v>
      </c>
      <c r="K759" s="1">
        <v>5500000</v>
      </c>
      <c r="L759" s="1">
        <v>0</v>
      </c>
      <c r="M759" s="1">
        <v>400000</v>
      </c>
      <c r="N759" s="1">
        <v>2304565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7650363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1646117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2633789</v>
      </c>
      <c r="AM759" s="1">
        <v>0</v>
      </c>
      <c r="AN759" s="1">
        <v>50042045</v>
      </c>
      <c r="AO759" s="1">
        <v>21221070</v>
      </c>
      <c r="AP759" s="1">
        <v>28820975</v>
      </c>
      <c r="AQ759" s="1">
        <v>10008409</v>
      </c>
      <c r="AR759" s="1">
        <v>1501261</v>
      </c>
      <c r="AS759" s="1">
        <v>0</v>
      </c>
      <c r="AT759" s="1">
        <f t="shared" si="79"/>
        <v>61551715</v>
      </c>
    </row>
    <row r="760" spans="1:46" x14ac:dyDescent="0.2">
      <c r="A760" s="1" t="str">
        <f>"00866"</f>
        <v>00866</v>
      </c>
      <c r="B760" s="1" t="str">
        <f>"اميدرضا"</f>
        <v>اميدرضا</v>
      </c>
      <c r="C760" s="1" t="str">
        <f>"ايزدي"</f>
        <v>ايزدي</v>
      </c>
      <c r="D760" s="1" t="str">
        <f t="shared" si="84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14560106</v>
      </c>
      <c r="G760" s="1">
        <v>2908900</v>
      </c>
      <c r="H760" s="1">
        <v>0</v>
      </c>
      <c r="I760" s="1">
        <v>10876682</v>
      </c>
      <c r="J760" s="1">
        <v>0</v>
      </c>
      <c r="K760" s="1">
        <v>5500000</v>
      </c>
      <c r="L760" s="1">
        <v>0</v>
      </c>
      <c r="M760" s="1">
        <v>400000</v>
      </c>
      <c r="N760" s="1">
        <v>2368353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6360193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1691681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2706688</v>
      </c>
      <c r="AM760" s="1">
        <v>0</v>
      </c>
      <c r="AN760" s="1">
        <v>48472603</v>
      </c>
      <c r="AO760" s="1">
        <v>6855481</v>
      </c>
      <c r="AP760" s="1">
        <v>41617122</v>
      </c>
      <c r="AQ760" s="1">
        <v>9694521</v>
      </c>
      <c r="AR760" s="1">
        <v>1454178</v>
      </c>
      <c r="AS760" s="1">
        <v>0</v>
      </c>
      <c r="AT760" s="1">
        <f t="shared" si="79"/>
        <v>59621302</v>
      </c>
    </row>
    <row r="761" spans="1:46" x14ac:dyDescent="0.2">
      <c r="A761" s="1" t="str">
        <f>"00867"</f>
        <v>00867</v>
      </c>
      <c r="B761" s="1" t="str">
        <f>"سيد محمد علي"</f>
        <v>سيد محمد علي</v>
      </c>
      <c r="C761" s="1" t="str">
        <f>"باقري"</f>
        <v>باقري</v>
      </c>
      <c r="D761" s="1" t="str">
        <f t="shared" si="84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10429227</v>
      </c>
      <c r="G761" s="1">
        <v>2679947</v>
      </c>
      <c r="H761" s="1">
        <v>0</v>
      </c>
      <c r="I761" s="1">
        <v>8159560</v>
      </c>
      <c r="J761" s="1">
        <v>0</v>
      </c>
      <c r="K761" s="1">
        <v>4620000</v>
      </c>
      <c r="L761" s="1">
        <v>0</v>
      </c>
      <c r="M761" s="1">
        <v>400000</v>
      </c>
      <c r="N761" s="1">
        <v>1801501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10449541</v>
      </c>
      <c r="W761" s="1">
        <v>1100000</v>
      </c>
      <c r="X761" s="1">
        <v>1618328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1286787</v>
      </c>
      <c r="AF761" s="1">
        <v>1111269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7349427</v>
      </c>
      <c r="AM761" s="1">
        <v>0</v>
      </c>
      <c r="AN761" s="1">
        <v>51005587</v>
      </c>
      <c r="AO761" s="1">
        <v>6123372</v>
      </c>
      <c r="AP761" s="1">
        <v>44882215</v>
      </c>
      <c r="AQ761" s="1">
        <v>9978864</v>
      </c>
      <c r="AR761" s="1">
        <v>1496830</v>
      </c>
      <c r="AS761" s="1">
        <v>0</v>
      </c>
      <c r="AT761" s="1">
        <f t="shared" si="79"/>
        <v>62481281</v>
      </c>
    </row>
    <row r="762" spans="1:46" x14ac:dyDescent="0.2">
      <c r="A762" s="1" t="str">
        <f>"00869"</f>
        <v>00869</v>
      </c>
      <c r="B762" s="1" t="str">
        <f>"موسي"</f>
        <v>موسي</v>
      </c>
      <c r="C762" s="1" t="str">
        <f>"خدري"</f>
        <v>خدري</v>
      </c>
      <c r="D762" s="1" t="str">
        <f t="shared" si="84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14035618</v>
      </c>
      <c r="G762" s="1">
        <v>12869898</v>
      </c>
      <c r="H762" s="1">
        <v>0</v>
      </c>
      <c r="I762" s="1">
        <v>11521418</v>
      </c>
      <c r="J762" s="1">
        <v>0</v>
      </c>
      <c r="K762" s="1">
        <v>4125000</v>
      </c>
      <c r="L762" s="1">
        <v>0</v>
      </c>
      <c r="M762" s="1">
        <v>400000</v>
      </c>
      <c r="N762" s="1">
        <v>2211411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7620006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1579579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5686487</v>
      </c>
      <c r="AM762" s="1">
        <v>0</v>
      </c>
      <c r="AN762" s="1">
        <v>61149417</v>
      </c>
      <c r="AO762" s="1">
        <v>10333221</v>
      </c>
      <c r="AP762" s="1">
        <v>50816196</v>
      </c>
      <c r="AQ762" s="1">
        <v>12229883</v>
      </c>
      <c r="AR762" s="1">
        <v>1834483</v>
      </c>
      <c r="AS762" s="1">
        <v>0</v>
      </c>
      <c r="AT762" s="1">
        <f t="shared" si="79"/>
        <v>75213783</v>
      </c>
    </row>
    <row r="763" spans="1:46" x14ac:dyDescent="0.2">
      <c r="A763" s="1" t="str">
        <f>"00870"</f>
        <v>00870</v>
      </c>
      <c r="B763" s="1" t="str">
        <f>"سينا"</f>
        <v>سينا</v>
      </c>
      <c r="C763" s="1" t="str">
        <f>"دشتستاني نژاد"</f>
        <v>دشتستاني نژاد</v>
      </c>
      <c r="D763" s="1" t="str">
        <f t="shared" si="84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13844522</v>
      </c>
      <c r="G763" s="1">
        <v>4900517</v>
      </c>
      <c r="H763" s="1">
        <v>0</v>
      </c>
      <c r="I763" s="1">
        <v>9836756</v>
      </c>
      <c r="J763" s="1">
        <v>0</v>
      </c>
      <c r="K763" s="1">
        <v>4125000</v>
      </c>
      <c r="L763" s="1">
        <v>0</v>
      </c>
      <c r="M763" s="1">
        <v>400000</v>
      </c>
      <c r="N763" s="1">
        <v>2115501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7885798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1511072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3022145</v>
      </c>
      <c r="AM763" s="1">
        <v>0</v>
      </c>
      <c r="AN763" s="1">
        <v>48741311</v>
      </c>
      <c r="AO763" s="1">
        <v>6942522</v>
      </c>
      <c r="AP763" s="1">
        <v>41798789</v>
      </c>
      <c r="AQ763" s="1">
        <v>9748262</v>
      </c>
      <c r="AR763" s="1">
        <v>1462239</v>
      </c>
      <c r="AS763" s="1">
        <v>0</v>
      </c>
      <c r="AT763" s="1">
        <f t="shared" si="79"/>
        <v>59951812</v>
      </c>
    </row>
    <row r="764" spans="1:46" x14ac:dyDescent="0.2">
      <c r="A764" s="1" t="str">
        <f>"00871"</f>
        <v>00871</v>
      </c>
      <c r="B764" s="1" t="str">
        <f>"مسعود"</f>
        <v>مسعود</v>
      </c>
      <c r="C764" s="1" t="str">
        <f>"سهرابي تيمورلو"</f>
        <v>سهرابي تيمورلو</v>
      </c>
      <c r="D764" s="1" t="str">
        <f t="shared" si="84"/>
        <v>قراردادي بهره بردار</v>
      </c>
      <c r="E764" s="1" t="str">
        <f>"پروژه بهره برداري نيروگاه بوشهر"</f>
        <v>پروژه بهره برداري نيروگاه بوشهر</v>
      </c>
      <c r="F764" s="1">
        <v>12645334</v>
      </c>
      <c r="G764" s="1">
        <v>13757513</v>
      </c>
      <c r="H764" s="1">
        <v>0</v>
      </c>
      <c r="I764" s="1">
        <v>9577262</v>
      </c>
      <c r="J764" s="1">
        <v>0</v>
      </c>
      <c r="K764" s="1">
        <v>4125000</v>
      </c>
      <c r="L764" s="1">
        <v>0</v>
      </c>
      <c r="M764" s="1">
        <v>400000</v>
      </c>
      <c r="N764" s="1">
        <v>1821126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5709872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2418017</v>
      </c>
      <c r="AD764" s="1">
        <v>0</v>
      </c>
      <c r="AE764" s="1">
        <v>1300804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2289414</v>
      </c>
      <c r="AM764" s="1">
        <v>0</v>
      </c>
      <c r="AN764" s="1">
        <v>55144342</v>
      </c>
      <c r="AO764" s="1">
        <v>6894250</v>
      </c>
      <c r="AP764" s="1">
        <v>48250092</v>
      </c>
      <c r="AQ764" s="1">
        <v>11028868</v>
      </c>
      <c r="AR764" s="1">
        <v>1654330</v>
      </c>
      <c r="AS764" s="1">
        <v>0</v>
      </c>
      <c r="AT764" s="1">
        <f t="shared" si="79"/>
        <v>67827540</v>
      </c>
    </row>
    <row r="765" spans="1:46" x14ac:dyDescent="0.2">
      <c r="A765" s="1" t="str">
        <f>"00872"</f>
        <v>00872</v>
      </c>
      <c r="B765" s="1" t="str">
        <f>"سيدرضا"</f>
        <v>سيدرضا</v>
      </c>
      <c r="C765" s="1" t="str">
        <f>"شجاع الدين"</f>
        <v>شجاع الدين</v>
      </c>
      <c r="D765" s="1" t="str">
        <f t="shared" si="84"/>
        <v>قراردادي بهره بردار</v>
      </c>
      <c r="E765" s="1" t="str">
        <f t="shared" ref="E765:E782" si="85">"پروژه تعميرات نيروگاه بوشهر"</f>
        <v>پروژه تعميرات نيروگاه بوشهر</v>
      </c>
      <c r="F765" s="1">
        <v>14205941</v>
      </c>
      <c r="G765" s="1">
        <v>0</v>
      </c>
      <c r="H765" s="1">
        <v>0</v>
      </c>
      <c r="I765" s="1">
        <v>9990914</v>
      </c>
      <c r="J765" s="1">
        <v>0</v>
      </c>
      <c r="K765" s="1">
        <v>5500000</v>
      </c>
      <c r="L765" s="1">
        <v>0</v>
      </c>
      <c r="M765" s="1">
        <v>400000</v>
      </c>
      <c r="N765" s="1">
        <v>2228950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5578164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1592107</v>
      </c>
      <c r="AF765" s="1">
        <v>1111269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2547371</v>
      </c>
      <c r="AM765" s="1">
        <v>0</v>
      </c>
      <c r="AN765" s="1">
        <v>44254716</v>
      </c>
      <c r="AO765" s="1">
        <v>5189225</v>
      </c>
      <c r="AP765" s="1">
        <v>39065491</v>
      </c>
      <c r="AQ765" s="1">
        <v>8628689</v>
      </c>
      <c r="AR765" s="1">
        <v>1294303</v>
      </c>
      <c r="AS765" s="1">
        <v>0</v>
      </c>
      <c r="AT765" s="1">
        <f t="shared" si="79"/>
        <v>54177708</v>
      </c>
    </row>
    <row r="766" spans="1:46" x14ac:dyDescent="0.2">
      <c r="A766" s="1" t="str">
        <f>"00873"</f>
        <v>00873</v>
      </c>
      <c r="B766" s="1" t="str">
        <f>"علي"</f>
        <v>علي</v>
      </c>
      <c r="C766" s="1" t="str">
        <f>"شهرياري"</f>
        <v>شهرياري</v>
      </c>
      <c r="D766" s="1" t="str">
        <f t="shared" si="84"/>
        <v>قراردادي بهره بردار</v>
      </c>
      <c r="E766" s="1" t="str">
        <f t="shared" si="85"/>
        <v>پروژه تعميرات نيروگاه بوشهر</v>
      </c>
      <c r="F766" s="1">
        <v>10606149</v>
      </c>
      <c r="G766" s="1">
        <v>7037590</v>
      </c>
      <c r="H766" s="1">
        <v>0</v>
      </c>
      <c r="I766" s="1">
        <v>7473637</v>
      </c>
      <c r="J766" s="1">
        <v>0</v>
      </c>
      <c r="K766" s="1">
        <v>4620000</v>
      </c>
      <c r="L766" s="1">
        <v>0</v>
      </c>
      <c r="M766" s="1">
        <v>400000</v>
      </c>
      <c r="N766" s="1">
        <v>1827248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5397425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1305177</v>
      </c>
      <c r="AF766" s="1">
        <v>1111269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4489809</v>
      </c>
      <c r="AM766" s="1">
        <v>0</v>
      </c>
      <c r="AN766" s="1">
        <v>45368304</v>
      </c>
      <c r="AO766" s="1">
        <v>6004079</v>
      </c>
      <c r="AP766" s="1">
        <v>39364225</v>
      </c>
      <c r="AQ766" s="1">
        <v>8851407</v>
      </c>
      <c r="AR766" s="1">
        <v>1327711</v>
      </c>
      <c r="AS766" s="1">
        <v>0</v>
      </c>
      <c r="AT766" s="1">
        <f t="shared" si="79"/>
        <v>55547422</v>
      </c>
    </row>
    <row r="767" spans="1:46" x14ac:dyDescent="0.2">
      <c r="A767" s="1" t="str">
        <f>"00874"</f>
        <v>00874</v>
      </c>
      <c r="B767" s="1" t="str">
        <f>"مجيد"</f>
        <v>مجيد</v>
      </c>
      <c r="C767" s="1" t="str">
        <f>"صادقي"</f>
        <v>صادقي</v>
      </c>
      <c r="D767" s="1" t="str">
        <f t="shared" si="84"/>
        <v>قراردادي بهره بردار</v>
      </c>
      <c r="E767" s="1" t="str">
        <f t="shared" si="85"/>
        <v>پروژه تعميرات نيروگاه بوشهر</v>
      </c>
      <c r="F767" s="1">
        <v>13894962</v>
      </c>
      <c r="G767" s="1">
        <v>0</v>
      </c>
      <c r="H767" s="1">
        <v>0</v>
      </c>
      <c r="I767" s="1">
        <v>10143390</v>
      </c>
      <c r="J767" s="1">
        <v>0</v>
      </c>
      <c r="K767" s="1">
        <v>4125000</v>
      </c>
      <c r="L767" s="1">
        <v>0</v>
      </c>
      <c r="M767" s="1">
        <v>400000</v>
      </c>
      <c r="N767" s="1">
        <v>2169639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12055527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1549742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3967338</v>
      </c>
      <c r="AM767" s="1">
        <v>0</v>
      </c>
      <c r="AN767" s="1">
        <v>49405598</v>
      </c>
      <c r="AO767" s="1">
        <v>7272407</v>
      </c>
      <c r="AP767" s="1">
        <v>42133191</v>
      </c>
      <c r="AQ767" s="1">
        <v>9881120</v>
      </c>
      <c r="AR767" s="1">
        <v>1482168</v>
      </c>
      <c r="AS767" s="1">
        <v>0</v>
      </c>
      <c r="AT767" s="1">
        <f t="shared" si="79"/>
        <v>60768886</v>
      </c>
    </row>
    <row r="768" spans="1:46" x14ac:dyDescent="0.2">
      <c r="A768" s="1" t="str">
        <f>"00875"</f>
        <v>00875</v>
      </c>
      <c r="B768" s="1" t="str">
        <f>"امين"</f>
        <v>امين</v>
      </c>
      <c r="C768" s="1" t="str">
        <f>"عطايي"</f>
        <v>عطايي</v>
      </c>
      <c r="D768" s="1" t="str">
        <f t="shared" si="84"/>
        <v>قراردادي بهره بردار</v>
      </c>
      <c r="E768" s="1" t="str">
        <f t="shared" si="85"/>
        <v>پروژه تعميرات نيروگاه بوشهر</v>
      </c>
      <c r="F768" s="1">
        <v>15500466</v>
      </c>
      <c r="G768" s="1">
        <v>6905854</v>
      </c>
      <c r="H768" s="1">
        <v>0</v>
      </c>
      <c r="I768" s="1">
        <v>11863783</v>
      </c>
      <c r="J768" s="1">
        <v>0</v>
      </c>
      <c r="K768" s="1">
        <v>5500000</v>
      </c>
      <c r="L768" s="1">
        <v>0</v>
      </c>
      <c r="M768" s="1">
        <v>400000</v>
      </c>
      <c r="N768" s="1">
        <v>2694815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3467875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1924868</v>
      </c>
      <c r="AF768" s="1">
        <v>1111269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2694815</v>
      </c>
      <c r="AM768" s="1">
        <v>0</v>
      </c>
      <c r="AN768" s="1">
        <v>53163745</v>
      </c>
      <c r="AO768" s="1">
        <v>25465952</v>
      </c>
      <c r="AP768" s="1">
        <v>27697793</v>
      </c>
      <c r="AQ768" s="1">
        <v>10410495</v>
      </c>
      <c r="AR768" s="1">
        <v>1561574</v>
      </c>
      <c r="AS768" s="1">
        <v>0</v>
      </c>
      <c r="AT768" s="1">
        <f t="shared" si="79"/>
        <v>65135814</v>
      </c>
    </row>
    <row r="769" spans="1:46" x14ac:dyDescent="0.2">
      <c r="A769" s="1" t="str">
        <f>"00876"</f>
        <v>00876</v>
      </c>
      <c r="B769" s="1" t="str">
        <f>"يحيي"</f>
        <v>يحيي</v>
      </c>
      <c r="C769" s="1" t="str">
        <f>"غلامي"</f>
        <v>غلامي</v>
      </c>
      <c r="D769" s="1" t="str">
        <f t="shared" si="84"/>
        <v>قراردادي بهره بردار</v>
      </c>
      <c r="E769" s="1" t="str">
        <f t="shared" si="85"/>
        <v>پروژه تعميرات نيروگاه بوشهر</v>
      </c>
      <c r="F769" s="1">
        <v>13952447</v>
      </c>
      <c r="G769" s="1">
        <v>3644188</v>
      </c>
      <c r="H769" s="1">
        <v>0</v>
      </c>
      <c r="I769" s="1">
        <v>10999891</v>
      </c>
      <c r="J769" s="1">
        <v>0</v>
      </c>
      <c r="K769" s="1">
        <v>5500000</v>
      </c>
      <c r="L769" s="1">
        <v>0</v>
      </c>
      <c r="M769" s="1">
        <v>400000</v>
      </c>
      <c r="N769" s="1">
        <v>2166590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7259929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1547564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4333181</v>
      </c>
      <c r="AM769" s="1">
        <v>0</v>
      </c>
      <c r="AN769" s="1">
        <v>50903790</v>
      </c>
      <c r="AO769" s="1">
        <v>7379029</v>
      </c>
      <c r="AP769" s="1">
        <v>43524761</v>
      </c>
      <c r="AQ769" s="1">
        <v>10180758</v>
      </c>
      <c r="AR769" s="1">
        <v>1527114</v>
      </c>
      <c r="AS769" s="1">
        <v>0</v>
      </c>
      <c r="AT769" s="1">
        <f t="shared" si="79"/>
        <v>62611662</v>
      </c>
    </row>
    <row r="770" spans="1:46" x14ac:dyDescent="0.2">
      <c r="A770" s="1" t="str">
        <f>"00877"</f>
        <v>00877</v>
      </c>
      <c r="B770" s="1" t="str">
        <f>"مجتبي"</f>
        <v>مجتبي</v>
      </c>
      <c r="C770" s="1" t="str">
        <f>"محمدپور شورباخلو"</f>
        <v>محمدپور شورباخلو</v>
      </c>
      <c r="D770" s="1" t="str">
        <f t="shared" si="84"/>
        <v>قراردادي بهره بردار</v>
      </c>
      <c r="E770" s="1" t="str">
        <f t="shared" si="85"/>
        <v>پروژه تعميرات نيروگاه بوشهر</v>
      </c>
      <c r="F770" s="1">
        <v>14567282</v>
      </c>
      <c r="G770" s="1">
        <v>8277149</v>
      </c>
      <c r="H770" s="1">
        <v>0</v>
      </c>
      <c r="I770" s="1">
        <v>11251239</v>
      </c>
      <c r="J770" s="1">
        <v>0</v>
      </c>
      <c r="K770" s="1">
        <v>4125000</v>
      </c>
      <c r="L770" s="1">
        <v>0</v>
      </c>
      <c r="M770" s="1">
        <v>400000</v>
      </c>
      <c r="N770" s="1">
        <v>2384446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7328749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1703175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3406351</v>
      </c>
      <c r="AM770" s="1">
        <v>0</v>
      </c>
      <c r="AN770" s="1">
        <v>54543391</v>
      </c>
      <c r="AO770" s="1">
        <v>6793290</v>
      </c>
      <c r="AP770" s="1">
        <v>47750101</v>
      </c>
      <c r="AQ770" s="1">
        <v>10908678</v>
      </c>
      <c r="AR770" s="1">
        <v>1636302</v>
      </c>
      <c r="AS770" s="1">
        <v>0</v>
      </c>
      <c r="AT770" s="1">
        <f t="shared" si="79"/>
        <v>67088371</v>
      </c>
    </row>
    <row r="771" spans="1:46" x14ac:dyDescent="0.2">
      <c r="A771" s="1" t="str">
        <f>"00878"</f>
        <v>00878</v>
      </c>
      <c r="B771" s="1" t="str">
        <f>"سجاد"</f>
        <v>سجاد</v>
      </c>
      <c r="C771" s="1" t="str">
        <f>"محمدي"</f>
        <v>محمدي</v>
      </c>
      <c r="D771" s="1" t="str">
        <f t="shared" si="84"/>
        <v>قراردادي بهره بردار</v>
      </c>
      <c r="E771" s="1" t="str">
        <f t="shared" si="85"/>
        <v>پروژه تعميرات نيروگاه بوشهر</v>
      </c>
      <c r="F771" s="1">
        <v>14257310</v>
      </c>
      <c r="G771" s="1">
        <v>0</v>
      </c>
      <c r="H771" s="1">
        <v>0</v>
      </c>
      <c r="I771" s="1">
        <v>9929392</v>
      </c>
      <c r="J771" s="1">
        <v>0</v>
      </c>
      <c r="K771" s="1">
        <v>4125000</v>
      </c>
      <c r="L771" s="1">
        <v>0</v>
      </c>
      <c r="M771" s="1">
        <v>400000</v>
      </c>
      <c r="N771" s="1">
        <v>2250124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6046587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1607231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2571571</v>
      </c>
      <c r="AM771" s="1">
        <v>0</v>
      </c>
      <c r="AN771" s="1">
        <v>42287215</v>
      </c>
      <c r="AO771" s="1">
        <v>6249443</v>
      </c>
      <c r="AP771" s="1">
        <v>36037772</v>
      </c>
      <c r="AQ771" s="1">
        <v>8457443</v>
      </c>
      <c r="AR771" s="1">
        <v>1268616</v>
      </c>
      <c r="AS771" s="1">
        <v>0</v>
      </c>
      <c r="AT771" s="1">
        <f t="shared" ref="AT771:AT834" si="86">AS771+AR771+AQ771+AN771</f>
        <v>52013274</v>
      </c>
    </row>
    <row r="772" spans="1:46" x14ac:dyDescent="0.2">
      <c r="A772" s="1" t="str">
        <f>"00879"</f>
        <v>00879</v>
      </c>
      <c r="B772" s="1" t="str">
        <f>"ايوب"</f>
        <v>ايوب</v>
      </c>
      <c r="C772" s="1" t="str">
        <f>"محمودآبادي"</f>
        <v>محمودآبادي</v>
      </c>
      <c r="D772" s="1" t="str">
        <f t="shared" si="84"/>
        <v>قراردادي بهره بردار</v>
      </c>
      <c r="E772" s="1" t="str">
        <f t="shared" si="85"/>
        <v>پروژه تعميرات نيروگاه بوشهر</v>
      </c>
      <c r="F772" s="1">
        <v>10982949</v>
      </c>
      <c r="G772" s="1">
        <v>0</v>
      </c>
      <c r="H772" s="1">
        <v>0</v>
      </c>
      <c r="I772" s="1">
        <v>8642977</v>
      </c>
      <c r="J772" s="1">
        <v>0</v>
      </c>
      <c r="K772" s="1">
        <v>3465000</v>
      </c>
      <c r="L772" s="1">
        <v>0</v>
      </c>
      <c r="M772" s="1">
        <v>400000</v>
      </c>
      <c r="N772" s="1">
        <v>1971427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6126910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1408163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4844079</v>
      </c>
      <c r="AM772" s="1">
        <v>0</v>
      </c>
      <c r="AN772" s="1">
        <v>38941505</v>
      </c>
      <c r="AO772" s="1">
        <v>4172173</v>
      </c>
      <c r="AP772" s="1">
        <v>34769332</v>
      </c>
      <c r="AQ772" s="1">
        <v>7788301</v>
      </c>
      <c r="AR772" s="1">
        <v>1168245</v>
      </c>
      <c r="AS772" s="1">
        <v>0</v>
      </c>
      <c r="AT772" s="1">
        <f t="shared" si="86"/>
        <v>47898051</v>
      </c>
    </row>
    <row r="773" spans="1:46" x14ac:dyDescent="0.2">
      <c r="A773" s="1" t="str">
        <f>"00880"</f>
        <v>00880</v>
      </c>
      <c r="B773" s="1" t="str">
        <f>"جاويد"</f>
        <v>جاويد</v>
      </c>
      <c r="C773" s="1" t="str">
        <f>"ميرشکاري"</f>
        <v>ميرشکاري</v>
      </c>
      <c r="D773" s="1" t="str">
        <f t="shared" si="84"/>
        <v>قراردادي بهره بردار</v>
      </c>
      <c r="E773" s="1" t="str">
        <f t="shared" si="85"/>
        <v>پروژه تعميرات نيروگاه بوشهر</v>
      </c>
      <c r="F773" s="1">
        <v>10401338</v>
      </c>
      <c r="G773" s="1">
        <v>2076418</v>
      </c>
      <c r="H773" s="1">
        <v>0</v>
      </c>
      <c r="I773" s="1">
        <v>8127163</v>
      </c>
      <c r="J773" s="1">
        <v>0</v>
      </c>
      <c r="K773" s="1">
        <v>3465000</v>
      </c>
      <c r="L773" s="1">
        <v>0</v>
      </c>
      <c r="M773" s="1">
        <v>400000</v>
      </c>
      <c r="N773" s="1">
        <v>1791016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10409512</v>
      </c>
      <c r="W773" s="1">
        <v>1100000</v>
      </c>
      <c r="X773" s="1">
        <v>1614001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1279297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7316497</v>
      </c>
      <c r="AM773" s="1">
        <v>0</v>
      </c>
      <c r="AN773" s="1">
        <v>47980242</v>
      </c>
      <c r="AO773" s="1">
        <v>20874687</v>
      </c>
      <c r="AP773" s="1">
        <v>27105555</v>
      </c>
      <c r="AQ773" s="1">
        <v>9596048</v>
      </c>
      <c r="AR773" s="1">
        <v>1439407</v>
      </c>
      <c r="AS773" s="1">
        <v>0</v>
      </c>
      <c r="AT773" s="1">
        <f t="shared" si="86"/>
        <v>59015697</v>
      </c>
    </row>
    <row r="774" spans="1:46" x14ac:dyDescent="0.2">
      <c r="A774" s="1" t="str">
        <f>"00882"</f>
        <v>00882</v>
      </c>
      <c r="B774" s="1" t="str">
        <f>"امين"</f>
        <v>امين</v>
      </c>
      <c r="C774" s="1" t="str">
        <f>"يزدي"</f>
        <v>يزدي</v>
      </c>
      <c r="D774" s="1" t="str">
        <f t="shared" si="84"/>
        <v>قراردادي بهره بردار</v>
      </c>
      <c r="E774" s="1" t="str">
        <f t="shared" si="85"/>
        <v>پروژه تعميرات نيروگاه بوشهر</v>
      </c>
      <c r="F774" s="1">
        <v>14509875</v>
      </c>
      <c r="G774" s="1">
        <v>8675712</v>
      </c>
      <c r="H774" s="1">
        <v>0</v>
      </c>
      <c r="I774" s="1">
        <v>10175875</v>
      </c>
      <c r="J774" s="1">
        <v>0</v>
      </c>
      <c r="K774" s="1">
        <v>5500000</v>
      </c>
      <c r="L774" s="1">
        <v>0</v>
      </c>
      <c r="M774" s="1">
        <v>400000</v>
      </c>
      <c r="N774" s="1">
        <v>2341452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5726049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1672466</v>
      </c>
      <c r="AF774" s="1">
        <v>2222538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2675945</v>
      </c>
      <c r="AM774" s="1">
        <v>0</v>
      </c>
      <c r="AN774" s="1">
        <v>54999912</v>
      </c>
      <c r="AO774" s="1">
        <v>22949543</v>
      </c>
      <c r="AP774" s="1">
        <v>32050369</v>
      </c>
      <c r="AQ774" s="1">
        <v>10555475</v>
      </c>
      <c r="AR774" s="1">
        <v>1583321</v>
      </c>
      <c r="AS774" s="1">
        <v>0</v>
      </c>
      <c r="AT774" s="1">
        <f t="shared" si="86"/>
        <v>67138708</v>
      </c>
    </row>
    <row r="775" spans="1:46" x14ac:dyDescent="0.2">
      <c r="A775" s="1" t="str">
        <f>"00883"</f>
        <v>00883</v>
      </c>
      <c r="B775" s="1" t="str">
        <f>"حميد"</f>
        <v>حميد</v>
      </c>
      <c r="C775" s="1" t="str">
        <f>"بادروح"</f>
        <v>بادروح</v>
      </c>
      <c r="D775" s="1" t="str">
        <f t="shared" si="84"/>
        <v>قراردادي بهره بردار</v>
      </c>
      <c r="E775" s="1" t="str">
        <f t="shared" si="85"/>
        <v>پروژه تعميرات نيروگاه بوشهر</v>
      </c>
      <c r="F775" s="1">
        <v>14453119</v>
      </c>
      <c r="G775" s="1">
        <v>1899838</v>
      </c>
      <c r="H775" s="1">
        <v>0</v>
      </c>
      <c r="I775" s="1">
        <v>10083456</v>
      </c>
      <c r="J775" s="1">
        <v>0</v>
      </c>
      <c r="K775" s="1">
        <v>4125000</v>
      </c>
      <c r="L775" s="1">
        <v>0</v>
      </c>
      <c r="M775" s="1">
        <v>400000</v>
      </c>
      <c r="N775" s="1">
        <v>2314396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5162101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1653141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2314396</v>
      </c>
      <c r="AM775" s="1">
        <v>0</v>
      </c>
      <c r="AN775" s="1">
        <v>43505447</v>
      </c>
      <c r="AO775" s="1">
        <v>21137501</v>
      </c>
      <c r="AP775" s="1">
        <v>22367946</v>
      </c>
      <c r="AQ775" s="1">
        <v>8701089</v>
      </c>
      <c r="AR775" s="1">
        <v>1305163</v>
      </c>
      <c r="AS775" s="1">
        <v>0</v>
      </c>
      <c r="AT775" s="1">
        <f t="shared" si="86"/>
        <v>53511699</v>
      </c>
    </row>
    <row r="776" spans="1:46" x14ac:dyDescent="0.2">
      <c r="A776" s="1" t="str">
        <f>"00884"</f>
        <v>00884</v>
      </c>
      <c r="B776" s="1" t="str">
        <f>"صادق"</f>
        <v>صادق</v>
      </c>
      <c r="C776" s="1" t="str">
        <f>"بناري"</f>
        <v>بناري</v>
      </c>
      <c r="D776" s="1" t="str">
        <f t="shared" si="84"/>
        <v>قراردادي بهره بردار</v>
      </c>
      <c r="E776" s="1" t="str">
        <f t="shared" si="85"/>
        <v>پروژه تعميرات نيروگاه بوشهر</v>
      </c>
      <c r="F776" s="1">
        <v>14668062</v>
      </c>
      <c r="G776" s="1">
        <v>1977509</v>
      </c>
      <c r="H776" s="1">
        <v>0</v>
      </c>
      <c r="I776" s="1">
        <v>10898966</v>
      </c>
      <c r="J776" s="1">
        <v>0</v>
      </c>
      <c r="K776" s="1">
        <v>4125000</v>
      </c>
      <c r="L776" s="1">
        <v>0</v>
      </c>
      <c r="M776" s="1">
        <v>400000</v>
      </c>
      <c r="N776" s="1">
        <v>2398948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5373141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1713533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2398948</v>
      </c>
      <c r="AM776" s="1">
        <v>0</v>
      </c>
      <c r="AN776" s="1">
        <v>45054107</v>
      </c>
      <c r="AO776" s="1">
        <v>21419709</v>
      </c>
      <c r="AP776" s="1">
        <v>23634398</v>
      </c>
      <c r="AQ776" s="1">
        <v>9010821</v>
      </c>
      <c r="AR776" s="1">
        <v>1351623</v>
      </c>
      <c r="AS776" s="1">
        <v>0</v>
      </c>
      <c r="AT776" s="1">
        <f t="shared" si="86"/>
        <v>55416551</v>
      </c>
    </row>
    <row r="777" spans="1:46" x14ac:dyDescent="0.2">
      <c r="A777" s="1" t="str">
        <f>"00886"</f>
        <v>00886</v>
      </c>
      <c r="B777" s="1" t="str">
        <f>"سيد محمد علي"</f>
        <v>سيد محمد علي</v>
      </c>
      <c r="C777" s="1" t="str">
        <f>"مير بهرسي"</f>
        <v>مير بهرسي</v>
      </c>
      <c r="D777" s="1" t="str">
        <f>"قراردادي کارگري"</f>
        <v>قراردادي کارگري</v>
      </c>
      <c r="E777" s="1" t="str">
        <f t="shared" si="85"/>
        <v>پروژه تعميرات نيروگاه بوشهر</v>
      </c>
      <c r="F777" s="1">
        <v>6373351</v>
      </c>
      <c r="G777" s="1">
        <v>3236540</v>
      </c>
      <c r="H777" s="1">
        <v>0</v>
      </c>
      <c r="I777" s="1">
        <v>4588813</v>
      </c>
      <c r="J777" s="1">
        <v>0</v>
      </c>
      <c r="K777" s="1">
        <v>0</v>
      </c>
      <c r="L777" s="1">
        <v>3500010</v>
      </c>
      <c r="M777" s="1">
        <v>400000</v>
      </c>
      <c r="N777" s="1">
        <v>3354395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6020803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2222538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30796450</v>
      </c>
      <c r="AO777" s="1">
        <v>2652671</v>
      </c>
      <c r="AP777" s="1">
        <v>28143779</v>
      </c>
      <c r="AQ777" s="1">
        <v>5714782</v>
      </c>
      <c r="AR777" s="1">
        <v>857217</v>
      </c>
      <c r="AS777" s="1">
        <v>0</v>
      </c>
      <c r="AT777" s="1">
        <f t="shared" si="86"/>
        <v>37368449</v>
      </c>
    </row>
    <row r="778" spans="1:46" x14ac:dyDescent="0.2">
      <c r="A778" s="1" t="str">
        <f>"00887"</f>
        <v>00887</v>
      </c>
      <c r="B778" s="1" t="str">
        <f>"عبدالحسين"</f>
        <v>عبدالحسين</v>
      </c>
      <c r="C778" s="1" t="str">
        <f>"بچاچري نژاد"</f>
        <v>بچاچري نژاد</v>
      </c>
      <c r="D778" s="1" t="str">
        <f>"قراردادي کارگري"</f>
        <v>قراردادي کارگري</v>
      </c>
      <c r="E778" s="1" t="str">
        <f t="shared" si="85"/>
        <v>پروژه تعميرات نيروگاه بوشهر</v>
      </c>
      <c r="F778" s="1">
        <v>7698943</v>
      </c>
      <c r="G778" s="1">
        <v>3323526</v>
      </c>
      <c r="H778" s="1">
        <v>0</v>
      </c>
      <c r="I778" s="1">
        <v>5543239</v>
      </c>
      <c r="J778" s="1">
        <v>0</v>
      </c>
      <c r="K778" s="1">
        <v>0</v>
      </c>
      <c r="L778" s="1">
        <v>3500010</v>
      </c>
      <c r="M778" s="1">
        <v>400000</v>
      </c>
      <c r="N778" s="1">
        <v>4106103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6689489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3127244</v>
      </c>
      <c r="AE778" s="1">
        <v>0</v>
      </c>
      <c r="AF778" s="1">
        <v>3333807</v>
      </c>
      <c r="AG778" s="1">
        <v>0</v>
      </c>
      <c r="AH778" s="1">
        <v>0</v>
      </c>
      <c r="AI778" s="1">
        <v>0</v>
      </c>
      <c r="AJ778" s="1">
        <v>3988231</v>
      </c>
      <c r="AK778" s="1">
        <v>0</v>
      </c>
      <c r="AL778" s="1">
        <v>0</v>
      </c>
      <c r="AM778" s="1">
        <v>0</v>
      </c>
      <c r="AN778" s="1">
        <v>42810592</v>
      </c>
      <c r="AO778" s="1">
        <v>4595480</v>
      </c>
      <c r="AP778" s="1">
        <v>38215112</v>
      </c>
      <c r="AQ778" s="1">
        <v>7895357</v>
      </c>
      <c r="AR778" s="1">
        <v>1184304</v>
      </c>
      <c r="AS778" s="1">
        <v>0</v>
      </c>
      <c r="AT778" s="1">
        <f t="shared" si="86"/>
        <v>51890253</v>
      </c>
    </row>
    <row r="779" spans="1:46" x14ac:dyDescent="0.2">
      <c r="A779" s="1" t="str">
        <f>"00888"</f>
        <v>00888</v>
      </c>
      <c r="B779" s="1" t="str">
        <f>"جواد"</f>
        <v>جواد</v>
      </c>
      <c r="C779" s="1" t="str">
        <f>"رحيم زاده کچوئي"</f>
        <v>رحيم زاده کچوئي</v>
      </c>
      <c r="D779" s="1" t="str">
        <f>"قراردادي بهره بردار"</f>
        <v>قراردادي بهره بردار</v>
      </c>
      <c r="E779" s="1" t="str">
        <f t="shared" si="85"/>
        <v>پروژه تعميرات نيروگاه بوشهر</v>
      </c>
      <c r="F779" s="1">
        <v>11824027</v>
      </c>
      <c r="G779" s="1">
        <v>8748527</v>
      </c>
      <c r="H779" s="1">
        <v>0</v>
      </c>
      <c r="I779" s="1">
        <v>8337319</v>
      </c>
      <c r="J779" s="1">
        <v>0</v>
      </c>
      <c r="K779" s="1">
        <v>4620000</v>
      </c>
      <c r="L779" s="1">
        <v>0</v>
      </c>
      <c r="M779" s="1">
        <v>400000</v>
      </c>
      <c r="N779" s="1">
        <v>1960100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5975576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1400072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3640185</v>
      </c>
      <c r="AM779" s="1">
        <v>0</v>
      </c>
      <c r="AN779" s="1">
        <v>48005806</v>
      </c>
      <c r="AO779" s="1">
        <v>6615645</v>
      </c>
      <c r="AP779" s="1">
        <v>41390161</v>
      </c>
      <c r="AQ779" s="1">
        <v>9601161</v>
      </c>
      <c r="AR779" s="1">
        <v>1440174</v>
      </c>
      <c r="AS779" s="1">
        <v>0</v>
      </c>
      <c r="AT779" s="1">
        <f t="shared" si="86"/>
        <v>59047141</v>
      </c>
    </row>
    <row r="780" spans="1:46" x14ac:dyDescent="0.2">
      <c r="A780" s="1" t="str">
        <f>"00890"</f>
        <v>00890</v>
      </c>
      <c r="B780" s="1" t="str">
        <f>"محمدرضا"</f>
        <v>محمدرضا</v>
      </c>
      <c r="C780" s="1" t="str">
        <f>"راه پيماي فرد حقيقي"</f>
        <v>راه پيماي فرد حقيقي</v>
      </c>
      <c r="D780" s="1" t="str">
        <f>"قراردادي کارگري"</f>
        <v>قراردادي کارگري</v>
      </c>
      <c r="E780" s="1" t="str">
        <f t="shared" si="85"/>
        <v>پروژه تعميرات نيروگاه بوشهر</v>
      </c>
      <c r="F780" s="1">
        <v>7673988</v>
      </c>
      <c r="G780" s="1">
        <v>11496329</v>
      </c>
      <c r="H780" s="1">
        <v>0</v>
      </c>
      <c r="I780" s="1">
        <v>4604393</v>
      </c>
      <c r="J780" s="1">
        <v>0</v>
      </c>
      <c r="K780" s="1">
        <v>0</v>
      </c>
      <c r="L780" s="1">
        <v>3500010</v>
      </c>
      <c r="M780" s="1">
        <v>400000</v>
      </c>
      <c r="N780" s="1">
        <v>4065689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4737932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1111269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38689610</v>
      </c>
      <c r="AO780" s="1">
        <v>5564339</v>
      </c>
      <c r="AP780" s="1">
        <v>33125271</v>
      </c>
      <c r="AQ780" s="1">
        <v>7515668</v>
      </c>
      <c r="AR780" s="1">
        <v>1127350</v>
      </c>
      <c r="AS780" s="1">
        <v>0</v>
      </c>
      <c r="AT780" s="1">
        <f t="shared" si="86"/>
        <v>47332628</v>
      </c>
    </row>
    <row r="781" spans="1:46" x14ac:dyDescent="0.2">
      <c r="A781" s="1" t="str">
        <f>"00891"</f>
        <v>00891</v>
      </c>
      <c r="B781" s="1" t="str">
        <f>"غلامرضا"</f>
        <v>غلامرضا</v>
      </c>
      <c r="C781" s="1" t="str">
        <f>"مسافر"</f>
        <v>مسافر</v>
      </c>
      <c r="D781" s="1" t="str">
        <f>"قراردادي کارگري"</f>
        <v>قراردادي کارگري</v>
      </c>
      <c r="E781" s="1" t="str">
        <f t="shared" si="85"/>
        <v>پروژه تعميرات نيروگاه بوشهر</v>
      </c>
      <c r="F781" s="1">
        <v>4505734</v>
      </c>
      <c r="G781" s="1">
        <v>5611552</v>
      </c>
      <c r="H781" s="1">
        <v>0</v>
      </c>
      <c r="I781" s="1">
        <v>2703441</v>
      </c>
      <c r="J781" s="1">
        <v>0</v>
      </c>
      <c r="K781" s="1">
        <v>0</v>
      </c>
      <c r="L781" s="1">
        <v>5984376</v>
      </c>
      <c r="M781" s="1">
        <v>400000</v>
      </c>
      <c r="N781" s="1">
        <v>2237946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5233265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28887583</v>
      </c>
      <c r="AO781" s="1">
        <v>2407547</v>
      </c>
      <c r="AP781" s="1">
        <v>26480036</v>
      </c>
      <c r="AQ781" s="1">
        <v>5555263</v>
      </c>
      <c r="AR781" s="1">
        <v>833289</v>
      </c>
      <c r="AS781" s="1">
        <v>0</v>
      </c>
      <c r="AT781" s="1">
        <f t="shared" si="86"/>
        <v>35276135</v>
      </c>
    </row>
    <row r="782" spans="1:46" x14ac:dyDescent="0.2">
      <c r="A782" s="1" t="str">
        <f>"00892"</f>
        <v>00892</v>
      </c>
      <c r="B782" s="1" t="str">
        <f>"اسلام"</f>
        <v>اسلام</v>
      </c>
      <c r="C782" s="1" t="str">
        <f>"دست نشان"</f>
        <v>دست نشان</v>
      </c>
      <c r="D782" s="1" t="str">
        <f>"قراردادي کارگري"</f>
        <v>قراردادي کارگري</v>
      </c>
      <c r="E782" s="1" t="str">
        <f t="shared" si="85"/>
        <v>پروژه تعميرات نيروگاه بوشهر</v>
      </c>
      <c r="F782" s="1">
        <v>6972292</v>
      </c>
      <c r="G782" s="1">
        <v>9223575</v>
      </c>
      <c r="H782" s="1">
        <v>0</v>
      </c>
      <c r="I782" s="1">
        <v>4183376</v>
      </c>
      <c r="J782" s="1">
        <v>0</v>
      </c>
      <c r="K782" s="1">
        <v>0</v>
      </c>
      <c r="L782" s="1">
        <v>3500010</v>
      </c>
      <c r="M782" s="1">
        <v>400000</v>
      </c>
      <c r="N782" s="1">
        <v>3669627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6130345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2222538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37401763</v>
      </c>
      <c r="AO782" s="1">
        <v>3762364</v>
      </c>
      <c r="AP782" s="1">
        <v>33639399</v>
      </c>
      <c r="AQ782" s="1">
        <v>7035845</v>
      </c>
      <c r="AR782" s="1">
        <v>1055377</v>
      </c>
      <c r="AS782" s="1">
        <v>0</v>
      </c>
      <c r="AT782" s="1">
        <f t="shared" si="86"/>
        <v>45492985</v>
      </c>
    </row>
    <row r="783" spans="1:46" x14ac:dyDescent="0.2">
      <c r="A783" s="1" t="str">
        <f>"00893"</f>
        <v>00893</v>
      </c>
      <c r="B783" s="1" t="str">
        <f>"يعقوب"</f>
        <v>يعقوب</v>
      </c>
      <c r="C783" s="1" t="str">
        <f>"صفوي"</f>
        <v>صفوي</v>
      </c>
      <c r="D783" s="1" t="str">
        <f t="shared" ref="D783:D802" si="87">"قراردادي بهره بردار"</f>
        <v>قراردادي بهره بردار</v>
      </c>
      <c r="E783" s="1" t="str">
        <f t="shared" ref="E783:E802" si="88">"پروژه بهره برداري نيروگاه بوشهر"</f>
        <v>پروژه بهره برداري نيروگاه بوشهر</v>
      </c>
      <c r="F783" s="1">
        <v>14146001</v>
      </c>
      <c r="G783" s="1">
        <v>6540198</v>
      </c>
      <c r="H783" s="1">
        <v>0</v>
      </c>
      <c r="I783" s="1">
        <v>10038689</v>
      </c>
      <c r="J783" s="1">
        <v>0</v>
      </c>
      <c r="K783" s="1">
        <v>5500000</v>
      </c>
      <c r="L783" s="1">
        <v>0</v>
      </c>
      <c r="M783" s="1">
        <v>400000</v>
      </c>
      <c r="N783" s="1">
        <v>2217823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1342000</v>
      </c>
      <c r="U783" s="1">
        <v>0</v>
      </c>
      <c r="V783" s="1">
        <v>6542548</v>
      </c>
      <c r="W783" s="1">
        <v>1100000</v>
      </c>
      <c r="X783" s="1">
        <v>1421782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1584159</v>
      </c>
      <c r="AF783" s="1">
        <v>1111269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3168319</v>
      </c>
      <c r="AM783" s="1">
        <v>0</v>
      </c>
      <c r="AN783" s="1">
        <v>55112788</v>
      </c>
      <c r="AO783" s="1">
        <v>6547926</v>
      </c>
      <c r="AP783" s="1">
        <v>48564862</v>
      </c>
      <c r="AQ783" s="1">
        <v>10531904</v>
      </c>
      <c r="AR783" s="1">
        <v>1579786</v>
      </c>
      <c r="AS783" s="1">
        <v>0</v>
      </c>
      <c r="AT783" s="1">
        <f t="shared" si="86"/>
        <v>67224478</v>
      </c>
    </row>
    <row r="784" spans="1:46" x14ac:dyDescent="0.2">
      <c r="A784" s="1" t="str">
        <f>"00895"</f>
        <v>00895</v>
      </c>
      <c r="B784" s="1" t="str">
        <f>"رضا"</f>
        <v>رضا</v>
      </c>
      <c r="C784" s="1" t="str">
        <f>"ولي"</f>
        <v>ولي</v>
      </c>
      <c r="D784" s="1" t="str">
        <f t="shared" si="87"/>
        <v>قراردادي بهره بردار</v>
      </c>
      <c r="E784" s="1" t="str">
        <f t="shared" si="88"/>
        <v>پروژه بهره برداري نيروگاه بوشهر</v>
      </c>
      <c r="F784" s="1">
        <v>13869006</v>
      </c>
      <c r="G784" s="1">
        <v>6744422</v>
      </c>
      <c r="H784" s="1">
        <v>0</v>
      </c>
      <c r="I784" s="1">
        <v>10187904</v>
      </c>
      <c r="J784" s="1">
        <v>0</v>
      </c>
      <c r="K784" s="1">
        <v>5500000</v>
      </c>
      <c r="L784" s="1">
        <v>0</v>
      </c>
      <c r="M784" s="1">
        <v>400000</v>
      </c>
      <c r="N784" s="1">
        <v>2191178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1342000</v>
      </c>
      <c r="U784" s="1">
        <v>0</v>
      </c>
      <c r="V784" s="1">
        <v>14318610</v>
      </c>
      <c r="W784" s="1">
        <v>1100000</v>
      </c>
      <c r="X784" s="1">
        <v>2152087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1565127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7541377</v>
      </c>
      <c r="AM784" s="1">
        <v>0</v>
      </c>
      <c r="AN784" s="1">
        <v>66911711</v>
      </c>
      <c r="AO784" s="1">
        <v>13333691</v>
      </c>
      <c r="AP784" s="1">
        <v>53578020</v>
      </c>
      <c r="AQ784" s="1">
        <v>13113942</v>
      </c>
      <c r="AR784" s="1">
        <v>1967091</v>
      </c>
      <c r="AS784" s="1">
        <v>0</v>
      </c>
      <c r="AT784" s="1">
        <f t="shared" si="86"/>
        <v>81992744</v>
      </c>
    </row>
    <row r="785" spans="1:46" x14ac:dyDescent="0.2">
      <c r="A785" s="1" t="str">
        <f>"00896"</f>
        <v>00896</v>
      </c>
      <c r="B785" s="1" t="str">
        <f>"سيدجاسم"</f>
        <v>سيدجاسم</v>
      </c>
      <c r="C785" s="1" t="str">
        <f>"حسيني"</f>
        <v>حسيني</v>
      </c>
      <c r="D785" s="1" t="str">
        <f t="shared" si="87"/>
        <v>قراردادي بهره بردار</v>
      </c>
      <c r="E785" s="1" t="str">
        <f t="shared" si="88"/>
        <v>پروژه بهره برداري نيروگاه بوشهر</v>
      </c>
      <c r="F785" s="1">
        <v>13550160</v>
      </c>
      <c r="G785" s="1">
        <v>0</v>
      </c>
      <c r="H785" s="1">
        <v>0</v>
      </c>
      <c r="I785" s="1">
        <v>9695643</v>
      </c>
      <c r="J785" s="1">
        <v>0</v>
      </c>
      <c r="K785" s="1">
        <v>0</v>
      </c>
      <c r="L785" s="1">
        <v>0</v>
      </c>
      <c r="M785" s="1">
        <v>400000</v>
      </c>
      <c r="N785" s="1">
        <v>2025790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9925584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1446992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3588541</v>
      </c>
      <c r="AM785" s="1">
        <v>0</v>
      </c>
      <c r="AN785" s="1">
        <v>41732710</v>
      </c>
      <c r="AO785" s="1">
        <v>12039334</v>
      </c>
      <c r="AP785" s="1">
        <v>29693376</v>
      </c>
      <c r="AQ785" s="1">
        <v>8346542</v>
      </c>
      <c r="AR785" s="1">
        <v>1251981</v>
      </c>
      <c r="AS785" s="1">
        <v>0</v>
      </c>
      <c r="AT785" s="1">
        <f t="shared" si="86"/>
        <v>51331233</v>
      </c>
    </row>
    <row r="786" spans="1:46" x14ac:dyDescent="0.2">
      <c r="A786" s="1" t="str">
        <f>"00897"</f>
        <v>00897</v>
      </c>
      <c r="B786" s="1" t="str">
        <f>"اکبر"</f>
        <v>اکبر</v>
      </c>
      <c r="C786" s="1" t="str">
        <f>"بهاروند"</f>
        <v>بهاروند</v>
      </c>
      <c r="D786" s="1" t="str">
        <f t="shared" si="87"/>
        <v>قراردادي بهره بردار</v>
      </c>
      <c r="E786" s="1" t="str">
        <f t="shared" si="88"/>
        <v>پروژه بهره برداري نيروگاه بوشهر</v>
      </c>
      <c r="F786" s="1">
        <v>9729575</v>
      </c>
      <c r="G786" s="1">
        <v>4833181</v>
      </c>
      <c r="H786" s="1">
        <v>0</v>
      </c>
      <c r="I786" s="1">
        <v>6658946</v>
      </c>
      <c r="J786" s="1">
        <v>0</v>
      </c>
      <c r="K786" s="1">
        <v>4620000</v>
      </c>
      <c r="L786" s="1">
        <v>0</v>
      </c>
      <c r="M786" s="1">
        <v>400000</v>
      </c>
      <c r="N786" s="1">
        <v>1539620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1342000</v>
      </c>
      <c r="U786" s="1">
        <v>0</v>
      </c>
      <c r="V786" s="1">
        <v>10350831</v>
      </c>
      <c r="W786" s="1">
        <v>1100000</v>
      </c>
      <c r="X786" s="1">
        <v>1509762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1099729</v>
      </c>
      <c r="AF786" s="1">
        <v>1111269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6218058</v>
      </c>
      <c r="AM786" s="1">
        <v>0</v>
      </c>
      <c r="AN786" s="1">
        <v>50512971</v>
      </c>
      <c r="AO786" s="1">
        <v>17163161</v>
      </c>
      <c r="AP786" s="1">
        <v>33349810</v>
      </c>
      <c r="AQ786" s="1">
        <v>9611940</v>
      </c>
      <c r="AR786" s="1">
        <v>1441791</v>
      </c>
      <c r="AS786" s="1">
        <v>0</v>
      </c>
      <c r="AT786" s="1">
        <f t="shared" si="86"/>
        <v>61566702</v>
      </c>
    </row>
    <row r="787" spans="1:46" x14ac:dyDescent="0.2">
      <c r="A787" s="1" t="str">
        <f>"00898"</f>
        <v>00898</v>
      </c>
      <c r="B787" s="1" t="str">
        <f>"محمدرضا"</f>
        <v>محمدرضا</v>
      </c>
      <c r="C787" s="1" t="str">
        <f>"آزادمنش"</f>
        <v>آزادمنش</v>
      </c>
      <c r="D787" s="1" t="str">
        <f t="shared" si="87"/>
        <v>قراردادي بهره بردار</v>
      </c>
      <c r="E787" s="1" t="str">
        <f t="shared" si="88"/>
        <v>پروژه بهره برداري نيروگاه بوشهر</v>
      </c>
      <c r="F787" s="1">
        <v>11386704</v>
      </c>
      <c r="G787" s="1">
        <v>9641005</v>
      </c>
      <c r="H787" s="1">
        <v>0</v>
      </c>
      <c r="I787" s="1">
        <v>8898154</v>
      </c>
      <c r="J787" s="1">
        <v>0</v>
      </c>
      <c r="K787" s="1">
        <v>4620000</v>
      </c>
      <c r="L787" s="1">
        <v>0</v>
      </c>
      <c r="M787" s="1">
        <v>400000</v>
      </c>
      <c r="N787" s="1">
        <v>2133362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1342000</v>
      </c>
      <c r="U787" s="1">
        <v>0</v>
      </c>
      <c r="V787" s="1">
        <v>6984272</v>
      </c>
      <c r="W787" s="1">
        <v>1100000</v>
      </c>
      <c r="X787" s="1">
        <v>1766902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1523830</v>
      </c>
      <c r="AF787" s="1">
        <v>1111269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7804641</v>
      </c>
      <c r="AM787" s="1">
        <v>0</v>
      </c>
      <c r="AN787" s="1">
        <v>58712139</v>
      </c>
      <c r="AO787" s="1">
        <v>8102841</v>
      </c>
      <c r="AP787" s="1">
        <v>50609298</v>
      </c>
      <c r="AQ787" s="1">
        <v>11251774</v>
      </c>
      <c r="AR787" s="1">
        <v>1687766</v>
      </c>
      <c r="AS787" s="1">
        <v>0</v>
      </c>
      <c r="AT787" s="1">
        <f t="shared" si="86"/>
        <v>71651679</v>
      </c>
    </row>
    <row r="788" spans="1:46" x14ac:dyDescent="0.2">
      <c r="A788" s="1" t="str">
        <f>"00899"</f>
        <v>00899</v>
      </c>
      <c r="B788" s="1" t="str">
        <f>"احمد"</f>
        <v>احمد</v>
      </c>
      <c r="C788" s="1" t="str">
        <f>"هوشمندي"</f>
        <v>هوشمندي</v>
      </c>
      <c r="D788" s="1" t="str">
        <f t="shared" si="87"/>
        <v>قراردادي بهره بردار</v>
      </c>
      <c r="E788" s="1" t="str">
        <f t="shared" si="88"/>
        <v>پروژه بهره برداري نيروگاه بوشهر</v>
      </c>
      <c r="F788" s="1">
        <v>10985389</v>
      </c>
      <c r="G788" s="1">
        <v>4354030</v>
      </c>
      <c r="H788" s="1">
        <v>0</v>
      </c>
      <c r="I788" s="1">
        <v>8295276</v>
      </c>
      <c r="J788" s="1">
        <v>0</v>
      </c>
      <c r="K788" s="1">
        <v>4620000</v>
      </c>
      <c r="L788" s="1">
        <v>0</v>
      </c>
      <c r="M788" s="1">
        <v>400000</v>
      </c>
      <c r="N788" s="1">
        <v>1981325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1342000</v>
      </c>
      <c r="U788" s="1">
        <v>0</v>
      </c>
      <c r="V788" s="1">
        <v>9549595</v>
      </c>
      <c r="W788" s="1">
        <v>1100000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1415233</v>
      </c>
      <c r="AF788" s="1">
        <v>1111269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3849431</v>
      </c>
      <c r="AM788" s="1">
        <v>0</v>
      </c>
      <c r="AN788" s="1">
        <v>49003548</v>
      </c>
      <c r="AO788" s="1">
        <v>5521574</v>
      </c>
      <c r="AP788" s="1">
        <v>43481974</v>
      </c>
      <c r="AQ788" s="1">
        <v>9310056</v>
      </c>
      <c r="AR788" s="1">
        <v>1396508</v>
      </c>
      <c r="AS788" s="1">
        <v>0</v>
      </c>
      <c r="AT788" s="1">
        <f t="shared" si="86"/>
        <v>59710112</v>
      </c>
    </row>
    <row r="789" spans="1:46" x14ac:dyDescent="0.2">
      <c r="A789" s="1" t="str">
        <f>"00900"</f>
        <v>00900</v>
      </c>
      <c r="B789" s="1" t="str">
        <f>"اسماعيل"</f>
        <v>اسماعيل</v>
      </c>
      <c r="C789" s="1" t="str">
        <f>"مغانلو رحيمي زاده"</f>
        <v>مغانلو رحيمي زاده</v>
      </c>
      <c r="D789" s="1" t="str">
        <f t="shared" si="87"/>
        <v>قراردادي بهره بردار</v>
      </c>
      <c r="E789" s="1" t="str">
        <f t="shared" si="88"/>
        <v>پروژه بهره برداري نيروگاه بوشهر</v>
      </c>
      <c r="F789" s="1">
        <v>10520116</v>
      </c>
      <c r="G789" s="1">
        <v>5059690</v>
      </c>
      <c r="H789" s="1">
        <v>0</v>
      </c>
      <c r="I789" s="1">
        <v>7758570</v>
      </c>
      <c r="J789" s="1">
        <v>0</v>
      </c>
      <c r="K789" s="1">
        <v>3465000</v>
      </c>
      <c r="L789" s="1">
        <v>0</v>
      </c>
      <c r="M789" s="1">
        <v>400000</v>
      </c>
      <c r="N789" s="1">
        <v>1807628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8649080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1291162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3511962</v>
      </c>
      <c r="AM789" s="1">
        <v>0</v>
      </c>
      <c r="AN789" s="1">
        <v>43563208</v>
      </c>
      <c r="AO789" s="1">
        <v>4948619</v>
      </c>
      <c r="AP789" s="1">
        <v>38614589</v>
      </c>
      <c r="AQ789" s="1">
        <v>8712642</v>
      </c>
      <c r="AR789" s="1">
        <v>1306896</v>
      </c>
      <c r="AS789" s="1">
        <v>0</v>
      </c>
      <c r="AT789" s="1">
        <f t="shared" si="86"/>
        <v>53582746</v>
      </c>
    </row>
    <row r="790" spans="1:46" x14ac:dyDescent="0.2">
      <c r="A790" s="1" t="str">
        <f>"00901"</f>
        <v>00901</v>
      </c>
      <c r="B790" s="1" t="str">
        <f>"پيمان"</f>
        <v>پيمان</v>
      </c>
      <c r="C790" s="1" t="str">
        <f>"بحريني"</f>
        <v>بحريني</v>
      </c>
      <c r="D790" s="1" t="str">
        <f t="shared" si="87"/>
        <v>قراردادي بهره بردار</v>
      </c>
      <c r="E790" s="1" t="str">
        <f t="shared" si="88"/>
        <v>پروژه بهره برداري نيروگاه بوشهر</v>
      </c>
      <c r="F790" s="1">
        <v>11683490</v>
      </c>
      <c r="G790" s="1">
        <v>5599219</v>
      </c>
      <c r="H790" s="1">
        <v>0</v>
      </c>
      <c r="I790" s="1">
        <v>9339218</v>
      </c>
      <c r="J790" s="1">
        <v>0</v>
      </c>
      <c r="K790" s="1">
        <v>3465000</v>
      </c>
      <c r="L790" s="1">
        <v>0</v>
      </c>
      <c r="M790" s="1">
        <v>400000</v>
      </c>
      <c r="N790" s="1">
        <v>2238684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9858339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1599060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4349443</v>
      </c>
      <c r="AM790" s="1">
        <v>0</v>
      </c>
      <c r="AN790" s="1">
        <v>49632453</v>
      </c>
      <c r="AO790" s="1">
        <v>7082486</v>
      </c>
      <c r="AP790" s="1">
        <v>42549967</v>
      </c>
      <c r="AQ790" s="1">
        <v>9926491</v>
      </c>
      <c r="AR790" s="1">
        <v>1488974</v>
      </c>
      <c r="AS790" s="1">
        <v>0</v>
      </c>
      <c r="AT790" s="1">
        <f t="shared" si="86"/>
        <v>61047918</v>
      </c>
    </row>
    <row r="791" spans="1:46" x14ac:dyDescent="0.2">
      <c r="A791" s="1" t="str">
        <f>"00902"</f>
        <v>00902</v>
      </c>
      <c r="B791" s="1" t="str">
        <f>"علي"</f>
        <v>علي</v>
      </c>
      <c r="C791" s="1" t="str">
        <f>"پاژنگ"</f>
        <v>پاژنگ</v>
      </c>
      <c r="D791" s="1" t="str">
        <f t="shared" si="87"/>
        <v>قراردادي بهره بردار</v>
      </c>
      <c r="E791" s="1" t="str">
        <f t="shared" si="88"/>
        <v>پروژه بهره برداري نيروگاه بوشهر</v>
      </c>
      <c r="F791" s="1">
        <v>10889256</v>
      </c>
      <c r="G791" s="1">
        <v>5427313</v>
      </c>
      <c r="H791" s="1">
        <v>0</v>
      </c>
      <c r="I791" s="1">
        <v>7980858</v>
      </c>
      <c r="J791" s="1">
        <v>0</v>
      </c>
      <c r="K791" s="1">
        <v>4620000</v>
      </c>
      <c r="L791" s="1">
        <v>0</v>
      </c>
      <c r="M791" s="1">
        <v>400000</v>
      </c>
      <c r="N791" s="1">
        <v>1939902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1342000</v>
      </c>
      <c r="U791" s="1">
        <v>0</v>
      </c>
      <c r="V791" s="1">
        <v>8741014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1385644</v>
      </c>
      <c r="AF791" s="1">
        <v>1111269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3325546</v>
      </c>
      <c r="AM791" s="1">
        <v>0</v>
      </c>
      <c r="AN791" s="1">
        <v>48262802</v>
      </c>
      <c r="AO791" s="1">
        <v>21596494</v>
      </c>
      <c r="AP791" s="1">
        <v>26666308</v>
      </c>
      <c r="AQ791" s="1">
        <v>9161907</v>
      </c>
      <c r="AR791" s="1">
        <v>1374286</v>
      </c>
      <c r="AS791" s="1">
        <v>0</v>
      </c>
      <c r="AT791" s="1">
        <f t="shared" si="86"/>
        <v>58798995</v>
      </c>
    </row>
    <row r="792" spans="1:46" x14ac:dyDescent="0.2">
      <c r="A792" s="1" t="str">
        <f>"00903"</f>
        <v>00903</v>
      </c>
      <c r="B792" s="1" t="str">
        <f>"محمدکاظم"</f>
        <v>محمدکاظم</v>
      </c>
      <c r="C792" s="1" t="str">
        <f>"توکلي"</f>
        <v>توکلي</v>
      </c>
      <c r="D792" s="1" t="str">
        <f t="shared" si="87"/>
        <v>قراردادي بهره بردار</v>
      </c>
      <c r="E792" s="1" t="str">
        <f t="shared" si="88"/>
        <v>پروژه بهره برداري نيروگاه بوشهر</v>
      </c>
      <c r="F792" s="1">
        <v>11991808</v>
      </c>
      <c r="G792" s="1">
        <v>2427287</v>
      </c>
      <c r="H792" s="1">
        <v>0</v>
      </c>
      <c r="I792" s="1">
        <v>9465247</v>
      </c>
      <c r="J792" s="1">
        <v>0</v>
      </c>
      <c r="K792" s="1">
        <v>4620000</v>
      </c>
      <c r="L792" s="1">
        <v>0</v>
      </c>
      <c r="M792" s="1">
        <v>400000</v>
      </c>
      <c r="N792" s="1">
        <v>2156256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1342000</v>
      </c>
      <c r="U792" s="1">
        <v>0</v>
      </c>
      <c r="V792" s="1">
        <v>7388011</v>
      </c>
      <c r="W792" s="1">
        <v>1100000</v>
      </c>
      <c r="X792" s="1">
        <v>1860798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1540183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7682110</v>
      </c>
      <c r="AM792" s="1">
        <v>0</v>
      </c>
      <c r="AN792" s="1">
        <v>51973700</v>
      </c>
      <c r="AO792" s="1">
        <v>22282537</v>
      </c>
      <c r="AP792" s="1">
        <v>29691163</v>
      </c>
      <c r="AQ792" s="1">
        <v>10126340</v>
      </c>
      <c r="AR792" s="1">
        <v>1518951</v>
      </c>
      <c r="AS792" s="1">
        <v>0</v>
      </c>
      <c r="AT792" s="1">
        <f t="shared" si="86"/>
        <v>63618991</v>
      </c>
    </row>
    <row r="793" spans="1:46" x14ac:dyDescent="0.2">
      <c r="A793" s="1" t="str">
        <f>"00904"</f>
        <v>00904</v>
      </c>
      <c r="B793" s="1" t="str">
        <f>"مهدي"</f>
        <v>مهدي</v>
      </c>
      <c r="C793" s="1" t="str">
        <f>"جمالي"</f>
        <v>جمالي</v>
      </c>
      <c r="D793" s="1" t="str">
        <f t="shared" si="87"/>
        <v>قراردادي بهره بردار</v>
      </c>
      <c r="E793" s="1" t="str">
        <f t="shared" si="88"/>
        <v>پروژه بهره برداري نيروگاه بوشهر</v>
      </c>
      <c r="F793" s="1">
        <v>10733661</v>
      </c>
      <c r="G793" s="1">
        <v>1035168</v>
      </c>
      <c r="H793" s="1">
        <v>0</v>
      </c>
      <c r="I793" s="1">
        <v>8021493</v>
      </c>
      <c r="J793" s="1">
        <v>0</v>
      </c>
      <c r="K793" s="1">
        <v>3465000</v>
      </c>
      <c r="L793" s="1">
        <v>0</v>
      </c>
      <c r="M793" s="1">
        <v>400000</v>
      </c>
      <c r="N793" s="1">
        <v>1885624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8657263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1346874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3663498</v>
      </c>
      <c r="AM793" s="1">
        <v>0</v>
      </c>
      <c r="AN793" s="1">
        <v>40308581</v>
      </c>
      <c r="AO793" s="1">
        <v>5704821</v>
      </c>
      <c r="AP793" s="1">
        <v>34603760</v>
      </c>
      <c r="AQ793" s="1">
        <v>8061716</v>
      </c>
      <c r="AR793" s="1">
        <v>1209257</v>
      </c>
      <c r="AS793" s="1">
        <v>0</v>
      </c>
      <c r="AT793" s="1">
        <f t="shared" si="86"/>
        <v>49579554</v>
      </c>
    </row>
    <row r="794" spans="1:46" x14ac:dyDescent="0.2">
      <c r="A794" s="1" t="str">
        <f>"00905"</f>
        <v>00905</v>
      </c>
      <c r="B794" s="1" t="str">
        <f>"محسن"</f>
        <v>محسن</v>
      </c>
      <c r="C794" s="1" t="str">
        <f>"حياتي"</f>
        <v>حياتي</v>
      </c>
      <c r="D794" s="1" t="str">
        <f t="shared" si="87"/>
        <v>قراردادي بهره بردار</v>
      </c>
      <c r="E794" s="1" t="str">
        <f t="shared" si="88"/>
        <v>پروژه بهره برداري نيروگاه بوشهر</v>
      </c>
      <c r="F794" s="1">
        <v>10804234</v>
      </c>
      <c r="G794" s="1">
        <v>7433032</v>
      </c>
      <c r="H794" s="1">
        <v>0</v>
      </c>
      <c r="I794" s="1">
        <v>7886156</v>
      </c>
      <c r="J794" s="1">
        <v>0</v>
      </c>
      <c r="K794" s="1">
        <v>4620000</v>
      </c>
      <c r="L794" s="1">
        <v>0</v>
      </c>
      <c r="M794" s="1">
        <v>400000</v>
      </c>
      <c r="N794" s="1">
        <v>1903994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7628556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1359996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3263989</v>
      </c>
      <c r="AM794" s="1">
        <v>0</v>
      </c>
      <c r="AN794" s="1">
        <v>46399957</v>
      </c>
      <c r="AO794" s="1">
        <v>17766618</v>
      </c>
      <c r="AP794" s="1">
        <v>28633339</v>
      </c>
      <c r="AQ794" s="1">
        <v>9279991</v>
      </c>
      <c r="AR794" s="1">
        <v>1391999</v>
      </c>
      <c r="AS794" s="1">
        <v>0</v>
      </c>
      <c r="AT794" s="1">
        <f t="shared" si="86"/>
        <v>57071947</v>
      </c>
    </row>
    <row r="795" spans="1:46" x14ac:dyDescent="0.2">
      <c r="A795" s="1" t="str">
        <f>"00906"</f>
        <v>00906</v>
      </c>
      <c r="B795" s="1" t="str">
        <f>"حسين"</f>
        <v>حسين</v>
      </c>
      <c r="C795" s="1" t="str">
        <f>"خوهک"</f>
        <v>خوهک</v>
      </c>
      <c r="D795" s="1" t="str">
        <f t="shared" si="87"/>
        <v>قراردادي بهره بردار</v>
      </c>
      <c r="E795" s="1" t="str">
        <f t="shared" si="88"/>
        <v>پروژه بهره برداري نيروگاه بوشهر</v>
      </c>
      <c r="F795" s="1">
        <v>10572408</v>
      </c>
      <c r="G795" s="1">
        <v>4900486</v>
      </c>
      <c r="H795" s="1">
        <v>0</v>
      </c>
      <c r="I795" s="1">
        <v>7891578</v>
      </c>
      <c r="J795" s="1">
        <v>0</v>
      </c>
      <c r="K795" s="1">
        <v>3465000</v>
      </c>
      <c r="L795" s="1">
        <v>0</v>
      </c>
      <c r="M795" s="1">
        <v>400000</v>
      </c>
      <c r="N795" s="1">
        <v>1856679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11806844</v>
      </c>
      <c r="W795" s="1">
        <v>1100000</v>
      </c>
      <c r="X795" s="1">
        <v>1640546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1326199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7150319</v>
      </c>
      <c r="AM795" s="1">
        <v>0</v>
      </c>
      <c r="AN795" s="1">
        <v>52110059</v>
      </c>
      <c r="AO795" s="1">
        <v>6384490</v>
      </c>
      <c r="AP795" s="1">
        <v>45725569</v>
      </c>
      <c r="AQ795" s="1">
        <v>10422012</v>
      </c>
      <c r="AR795" s="1">
        <v>1563302</v>
      </c>
      <c r="AS795" s="1">
        <v>0</v>
      </c>
      <c r="AT795" s="1">
        <f t="shared" si="86"/>
        <v>64095373</v>
      </c>
    </row>
    <row r="796" spans="1:46" x14ac:dyDescent="0.2">
      <c r="A796" s="1" t="str">
        <f>"00907"</f>
        <v>00907</v>
      </c>
      <c r="B796" s="1" t="str">
        <f>"مقداد"</f>
        <v>مقداد</v>
      </c>
      <c r="C796" s="1" t="str">
        <f>"ديرنه"</f>
        <v>ديرنه</v>
      </c>
      <c r="D796" s="1" t="str">
        <f t="shared" si="87"/>
        <v>قراردادي بهره بردار</v>
      </c>
      <c r="E796" s="1" t="str">
        <f t="shared" si="88"/>
        <v>پروژه بهره برداري نيروگاه بوشهر</v>
      </c>
      <c r="F796" s="1">
        <v>12372478</v>
      </c>
      <c r="G796" s="1">
        <v>5218624</v>
      </c>
      <c r="H796" s="1">
        <v>0</v>
      </c>
      <c r="I796" s="1">
        <v>10097762</v>
      </c>
      <c r="J796" s="1">
        <v>0</v>
      </c>
      <c r="K796" s="1">
        <v>4620000</v>
      </c>
      <c r="L796" s="1">
        <v>0</v>
      </c>
      <c r="M796" s="1">
        <v>400000</v>
      </c>
      <c r="N796" s="1">
        <v>2291891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9451585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1637065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4845712</v>
      </c>
      <c r="AM796" s="1">
        <v>0</v>
      </c>
      <c r="AN796" s="1">
        <v>52035117</v>
      </c>
      <c r="AO796" s="1">
        <v>6371900</v>
      </c>
      <c r="AP796" s="1">
        <v>45663217</v>
      </c>
      <c r="AQ796" s="1">
        <v>10407023</v>
      </c>
      <c r="AR796" s="1">
        <v>1561054</v>
      </c>
      <c r="AS796" s="1">
        <v>0</v>
      </c>
      <c r="AT796" s="1">
        <f t="shared" si="86"/>
        <v>64003194</v>
      </c>
    </row>
    <row r="797" spans="1:46" x14ac:dyDescent="0.2">
      <c r="A797" s="1" t="str">
        <f>"00908"</f>
        <v>00908</v>
      </c>
      <c r="B797" s="1" t="str">
        <f>"حسين"</f>
        <v>حسين</v>
      </c>
      <c r="C797" s="1" t="str">
        <f>"شيخياني"</f>
        <v>شيخياني</v>
      </c>
      <c r="D797" s="1" t="str">
        <f t="shared" si="87"/>
        <v>قراردادي بهره بردار</v>
      </c>
      <c r="E797" s="1" t="str">
        <f t="shared" si="88"/>
        <v>پروژه بهره برداري نيروگاه بوشهر</v>
      </c>
      <c r="F797" s="1">
        <v>9995540</v>
      </c>
      <c r="G797" s="1">
        <v>4929815</v>
      </c>
      <c r="H797" s="1">
        <v>0</v>
      </c>
      <c r="I797" s="1">
        <v>7925514</v>
      </c>
      <c r="J797" s="1">
        <v>0</v>
      </c>
      <c r="K797" s="1">
        <v>4620000</v>
      </c>
      <c r="L797" s="1">
        <v>0</v>
      </c>
      <c r="M797" s="1">
        <v>400000</v>
      </c>
      <c r="N797" s="1">
        <v>1645188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1342000</v>
      </c>
      <c r="U797" s="1">
        <v>0</v>
      </c>
      <c r="V797" s="1">
        <v>11178832</v>
      </c>
      <c r="W797" s="1">
        <v>1100000</v>
      </c>
      <c r="X797" s="1">
        <v>1551032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1175134</v>
      </c>
      <c r="AF797" s="1">
        <v>1111269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6524066</v>
      </c>
      <c r="AM797" s="1">
        <v>0</v>
      </c>
      <c r="AN797" s="1">
        <v>53498390</v>
      </c>
      <c r="AO797" s="1">
        <v>18759938</v>
      </c>
      <c r="AP797" s="1">
        <v>34738452</v>
      </c>
      <c r="AQ797" s="1">
        <v>10209024</v>
      </c>
      <c r="AR797" s="1">
        <v>1531354</v>
      </c>
      <c r="AS797" s="1">
        <v>0</v>
      </c>
      <c r="AT797" s="1">
        <f t="shared" si="86"/>
        <v>65238768</v>
      </c>
    </row>
    <row r="798" spans="1:46" x14ac:dyDescent="0.2">
      <c r="A798" s="1" t="str">
        <f>"00909"</f>
        <v>00909</v>
      </c>
      <c r="B798" s="1" t="str">
        <f>"عبدالله"</f>
        <v>عبدالله</v>
      </c>
      <c r="C798" s="1" t="str">
        <f>"عالي پور"</f>
        <v>عالي پور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11045157</v>
      </c>
      <c r="G798" s="1">
        <v>20629356</v>
      </c>
      <c r="H798" s="1">
        <v>0</v>
      </c>
      <c r="I798" s="1">
        <v>9121460</v>
      </c>
      <c r="J798" s="1">
        <v>0</v>
      </c>
      <c r="K798" s="1">
        <v>3465000</v>
      </c>
      <c r="L798" s="1">
        <v>0</v>
      </c>
      <c r="M798" s="1">
        <v>400000</v>
      </c>
      <c r="N798" s="1">
        <v>2006043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8308301</v>
      </c>
      <c r="W798" s="1">
        <v>1100000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1432887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5043764</v>
      </c>
      <c r="AM798" s="1">
        <v>0</v>
      </c>
      <c r="AN798" s="1">
        <v>62551968</v>
      </c>
      <c r="AO798" s="1">
        <v>23322736</v>
      </c>
      <c r="AP798" s="1">
        <v>39229232</v>
      </c>
      <c r="AQ798" s="1">
        <v>12510394</v>
      </c>
      <c r="AR798" s="1">
        <v>1876559</v>
      </c>
      <c r="AS798" s="1">
        <v>0</v>
      </c>
      <c r="AT798" s="1">
        <f t="shared" si="86"/>
        <v>76938921</v>
      </c>
    </row>
    <row r="799" spans="1:46" x14ac:dyDescent="0.2">
      <c r="A799" s="1" t="str">
        <f>"00910"</f>
        <v>00910</v>
      </c>
      <c r="B799" s="1" t="str">
        <f>"مهدي"</f>
        <v>مهدي</v>
      </c>
      <c r="C799" s="1" t="str">
        <f>"كسرائي"</f>
        <v>كسرائي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11538865</v>
      </c>
      <c r="G799" s="1">
        <v>4616413</v>
      </c>
      <c r="H799" s="1">
        <v>0</v>
      </c>
      <c r="I799" s="1">
        <v>8383621</v>
      </c>
      <c r="J799" s="1">
        <v>0</v>
      </c>
      <c r="K799" s="1">
        <v>4620000</v>
      </c>
      <c r="L799" s="1">
        <v>0</v>
      </c>
      <c r="M799" s="1">
        <v>400000</v>
      </c>
      <c r="N799" s="1">
        <v>2174680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1342000</v>
      </c>
      <c r="U799" s="1">
        <v>0</v>
      </c>
      <c r="V799" s="1">
        <v>8932395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1553343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3417355</v>
      </c>
      <c r="AM799" s="1">
        <v>0</v>
      </c>
      <c r="AN799" s="1">
        <v>48078672</v>
      </c>
      <c r="AO799" s="1">
        <v>21684625</v>
      </c>
      <c r="AP799" s="1">
        <v>26394047</v>
      </c>
      <c r="AQ799" s="1">
        <v>9347334</v>
      </c>
      <c r="AR799" s="1">
        <v>1402100</v>
      </c>
      <c r="AS799" s="1">
        <v>0</v>
      </c>
      <c r="AT799" s="1">
        <f t="shared" si="86"/>
        <v>58828106</v>
      </c>
    </row>
    <row r="800" spans="1:46" x14ac:dyDescent="0.2">
      <c r="A800" s="1" t="str">
        <f>"00911"</f>
        <v>00911</v>
      </c>
      <c r="B800" s="1" t="str">
        <f>"مصيب"</f>
        <v>مصيب</v>
      </c>
      <c r="C800" s="1" t="str">
        <f>"كشاورز"</f>
        <v>كشاورز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10297643</v>
      </c>
      <c r="G800" s="1">
        <v>7518075</v>
      </c>
      <c r="H800" s="1">
        <v>0</v>
      </c>
      <c r="I800" s="1">
        <v>7751222</v>
      </c>
      <c r="J800" s="1">
        <v>0</v>
      </c>
      <c r="K800" s="1">
        <v>3465000</v>
      </c>
      <c r="L800" s="1">
        <v>0</v>
      </c>
      <c r="M800" s="1">
        <v>400000</v>
      </c>
      <c r="N800" s="1">
        <v>1850206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1342000</v>
      </c>
      <c r="U800" s="1">
        <v>0</v>
      </c>
      <c r="V800" s="1">
        <v>11592613</v>
      </c>
      <c r="W800" s="1">
        <v>1100000</v>
      </c>
      <c r="X800" s="1">
        <v>1597910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1321575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7054019</v>
      </c>
      <c r="AM800" s="1">
        <v>0</v>
      </c>
      <c r="AN800" s="1">
        <v>55290263</v>
      </c>
      <c r="AO800" s="1">
        <v>6653308</v>
      </c>
      <c r="AP800" s="1">
        <v>48636955</v>
      </c>
      <c r="AQ800" s="1">
        <v>10789653</v>
      </c>
      <c r="AR800" s="1">
        <v>1618448</v>
      </c>
      <c r="AS800" s="1">
        <v>0</v>
      </c>
      <c r="AT800" s="1">
        <f t="shared" si="86"/>
        <v>67698364</v>
      </c>
    </row>
    <row r="801" spans="1:46" x14ac:dyDescent="0.2">
      <c r="A801" s="1" t="str">
        <f>"00912"</f>
        <v>00912</v>
      </c>
      <c r="B801" s="1" t="str">
        <f>"مهدي"</f>
        <v>مهدي</v>
      </c>
      <c r="C801" s="1" t="str">
        <f>"مغداني"</f>
        <v>مغداني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11125221</v>
      </c>
      <c r="G801" s="1">
        <v>1112079</v>
      </c>
      <c r="H801" s="1">
        <v>0</v>
      </c>
      <c r="I801" s="1">
        <v>7766831</v>
      </c>
      <c r="J801" s="1">
        <v>0</v>
      </c>
      <c r="K801" s="1">
        <v>3465000</v>
      </c>
      <c r="L801" s="1">
        <v>0</v>
      </c>
      <c r="M801" s="1">
        <v>400000</v>
      </c>
      <c r="N801" s="1">
        <v>2002232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5016288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1430165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2145247</v>
      </c>
      <c r="AM801" s="1">
        <v>0</v>
      </c>
      <c r="AN801" s="1">
        <v>35563063</v>
      </c>
      <c r="AO801" s="1">
        <v>14992598</v>
      </c>
      <c r="AP801" s="1">
        <v>20570465</v>
      </c>
      <c r="AQ801" s="1">
        <v>7112613</v>
      </c>
      <c r="AR801" s="1">
        <v>1066892</v>
      </c>
      <c r="AS801" s="1">
        <v>0</v>
      </c>
      <c r="AT801" s="1">
        <f t="shared" si="86"/>
        <v>43742568</v>
      </c>
    </row>
    <row r="802" spans="1:46" x14ac:dyDescent="0.2">
      <c r="A802" s="1" t="str">
        <f>"00913"</f>
        <v>00913</v>
      </c>
      <c r="B802" s="1" t="str">
        <f>"امير"</f>
        <v>امير</v>
      </c>
      <c r="C802" s="1" t="str">
        <f>"محمدي"</f>
        <v>محمدي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14376361</v>
      </c>
      <c r="G802" s="1">
        <v>6197587</v>
      </c>
      <c r="H802" s="1">
        <v>0</v>
      </c>
      <c r="I802" s="1">
        <v>10706116</v>
      </c>
      <c r="J802" s="1">
        <v>0</v>
      </c>
      <c r="K802" s="1">
        <v>0</v>
      </c>
      <c r="L802" s="1">
        <v>0</v>
      </c>
      <c r="M802" s="1">
        <v>400000</v>
      </c>
      <c r="N802" s="1">
        <v>2307503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1342000</v>
      </c>
      <c r="U802" s="1">
        <v>0</v>
      </c>
      <c r="V802" s="1">
        <v>6790273</v>
      </c>
      <c r="W802" s="1">
        <v>1100000</v>
      </c>
      <c r="X802" s="1">
        <v>590246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1648218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3296434</v>
      </c>
      <c r="AM802" s="1">
        <v>0</v>
      </c>
      <c r="AN802" s="1">
        <v>48754738</v>
      </c>
      <c r="AO802" s="1">
        <v>9351343</v>
      </c>
      <c r="AP802" s="1">
        <v>39403395</v>
      </c>
      <c r="AQ802" s="1">
        <v>9482548</v>
      </c>
      <c r="AR802" s="1">
        <v>1422382</v>
      </c>
      <c r="AS802" s="1">
        <v>0</v>
      </c>
      <c r="AT802" s="1">
        <f t="shared" si="86"/>
        <v>59659668</v>
      </c>
    </row>
    <row r="803" spans="1:46" x14ac:dyDescent="0.2">
      <c r="A803" s="1" t="str">
        <f>"00914"</f>
        <v>00914</v>
      </c>
      <c r="B803" s="1" t="str">
        <f>"يعقوب"</f>
        <v>يعقوب</v>
      </c>
      <c r="C803" s="1" t="str">
        <f>"پذيرا"</f>
        <v>پذيرا</v>
      </c>
      <c r="D803" s="1" t="str">
        <f>"قراردادي کارگري"</f>
        <v>قراردادي کارگري</v>
      </c>
      <c r="E803" s="1" t="str">
        <f>"پروژه تعميرات نيروگاه بوشهر"</f>
        <v>پروژه تعميرات نيروگاه بوشهر</v>
      </c>
      <c r="F803" s="1">
        <v>5032131</v>
      </c>
      <c r="G803" s="1">
        <v>17018487</v>
      </c>
      <c r="H803" s="1">
        <v>0</v>
      </c>
      <c r="I803" s="1">
        <v>3170243</v>
      </c>
      <c r="J803" s="1">
        <v>0</v>
      </c>
      <c r="K803" s="1">
        <v>0</v>
      </c>
      <c r="L803" s="1">
        <v>3500010</v>
      </c>
      <c r="M803" s="1">
        <v>400000</v>
      </c>
      <c r="N803" s="1">
        <v>2648491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3555197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2222538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38647097</v>
      </c>
      <c r="AO803" s="1">
        <v>3971580</v>
      </c>
      <c r="AP803" s="1">
        <v>34675517</v>
      </c>
      <c r="AQ803" s="1">
        <v>7284912</v>
      </c>
      <c r="AR803" s="1">
        <v>1092737</v>
      </c>
      <c r="AS803" s="1">
        <v>0</v>
      </c>
      <c r="AT803" s="1">
        <f t="shared" si="86"/>
        <v>47024746</v>
      </c>
    </row>
    <row r="804" spans="1:46" x14ac:dyDescent="0.2">
      <c r="A804" s="1" t="str">
        <f>"00916"</f>
        <v>00916</v>
      </c>
      <c r="B804" s="1" t="str">
        <f>"عبدالرحيم"</f>
        <v>عبدالرحيم</v>
      </c>
      <c r="C804" s="1" t="str">
        <f>"آب يار"</f>
        <v>آب يار</v>
      </c>
      <c r="D804" s="1" t="str">
        <f t="shared" ref="D804:D835" si="89">"قراردادي بهره بردار"</f>
        <v>قراردادي بهره بردار</v>
      </c>
      <c r="E804" s="1" t="str">
        <f t="shared" ref="E804:E835" si="90">"پروژه بهره برداري نيروگاه بوشهر"</f>
        <v>پروژه بهره برداري نيروگاه بوشهر</v>
      </c>
      <c r="F804" s="1">
        <v>11283074</v>
      </c>
      <c r="G804" s="1">
        <v>14790694</v>
      </c>
      <c r="H804" s="1">
        <v>0</v>
      </c>
      <c r="I804" s="1">
        <v>10907268</v>
      </c>
      <c r="J804" s="1">
        <v>0</v>
      </c>
      <c r="K804" s="1">
        <v>4620000</v>
      </c>
      <c r="L804" s="1">
        <v>0</v>
      </c>
      <c r="M804" s="1">
        <v>400000</v>
      </c>
      <c r="N804" s="1">
        <v>2124420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6247349</v>
      </c>
      <c r="W804" s="1">
        <v>1100000</v>
      </c>
      <c r="X804" s="1">
        <v>1750822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1517443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7937251</v>
      </c>
      <c r="AM804" s="1">
        <v>0</v>
      </c>
      <c r="AN804" s="1">
        <v>64900859</v>
      </c>
      <c r="AO804" s="1">
        <v>11288957</v>
      </c>
      <c r="AP804" s="1">
        <v>53611902</v>
      </c>
      <c r="AQ804" s="1">
        <v>12535664</v>
      </c>
      <c r="AR804" s="1">
        <v>1880350</v>
      </c>
      <c r="AS804" s="1">
        <v>0</v>
      </c>
      <c r="AT804" s="1">
        <f t="shared" si="86"/>
        <v>79316873</v>
      </c>
    </row>
    <row r="805" spans="1:46" x14ac:dyDescent="0.2">
      <c r="A805" s="1" t="str">
        <f>"00917"</f>
        <v>00917</v>
      </c>
      <c r="B805" s="1" t="str">
        <f>"ميثم"</f>
        <v>ميثم</v>
      </c>
      <c r="C805" s="1" t="str">
        <f>"آبائي"</f>
        <v>آبائي</v>
      </c>
      <c r="D805" s="1" t="str">
        <f t="shared" si="89"/>
        <v>قراردادي بهره بردار</v>
      </c>
      <c r="E805" s="1" t="str">
        <f t="shared" si="90"/>
        <v>پروژه بهره برداري نيروگاه بوشهر</v>
      </c>
      <c r="F805" s="1">
        <v>11491983</v>
      </c>
      <c r="G805" s="1">
        <v>21092736</v>
      </c>
      <c r="H805" s="1">
        <v>0</v>
      </c>
      <c r="I805" s="1">
        <v>11194617</v>
      </c>
      <c r="J805" s="1">
        <v>0</v>
      </c>
      <c r="K805" s="1">
        <v>4620000</v>
      </c>
      <c r="L805" s="1">
        <v>0</v>
      </c>
      <c r="M805" s="1">
        <v>400000</v>
      </c>
      <c r="N805" s="1">
        <v>2202364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1342000</v>
      </c>
      <c r="U805" s="1">
        <v>0</v>
      </c>
      <c r="V805" s="1">
        <v>6492942</v>
      </c>
      <c r="W805" s="1">
        <v>1100000</v>
      </c>
      <c r="X805" s="1">
        <v>1783239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1573119</v>
      </c>
      <c r="AF805" s="1">
        <v>1111269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8166948</v>
      </c>
      <c r="AM805" s="1">
        <v>0</v>
      </c>
      <c r="AN805" s="1">
        <v>72571217</v>
      </c>
      <c r="AO805" s="1">
        <v>29391205</v>
      </c>
      <c r="AP805" s="1">
        <v>43180012</v>
      </c>
      <c r="AQ805" s="1">
        <v>14023590</v>
      </c>
      <c r="AR805" s="1">
        <v>2103538</v>
      </c>
      <c r="AS805" s="1">
        <v>0</v>
      </c>
      <c r="AT805" s="1">
        <f t="shared" si="86"/>
        <v>88698345</v>
      </c>
    </row>
    <row r="806" spans="1:46" x14ac:dyDescent="0.2">
      <c r="A806" s="1" t="str">
        <f>"00918"</f>
        <v>00918</v>
      </c>
      <c r="B806" s="1" t="str">
        <f>"محمدعلي"</f>
        <v>محمدعلي</v>
      </c>
      <c r="C806" s="1" t="str">
        <f>"آبادي"</f>
        <v>آبادي</v>
      </c>
      <c r="D806" s="1" t="str">
        <f t="shared" si="89"/>
        <v>قراردادي بهره بردار</v>
      </c>
      <c r="E806" s="1" t="str">
        <f t="shared" si="90"/>
        <v>پروژه بهره برداري نيروگاه بوشهر</v>
      </c>
      <c r="F806" s="1">
        <v>11619334</v>
      </c>
      <c r="G806" s="1">
        <v>0</v>
      </c>
      <c r="H806" s="1">
        <v>0</v>
      </c>
      <c r="I806" s="1">
        <v>11687102</v>
      </c>
      <c r="J806" s="1">
        <v>0</v>
      </c>
      <c r="K806" s="1">
        <v>4620000</v>
      </c>
      <c r="L806" s="1">
        <v>0</v>
      </c>
      <c r="M806" s="1">
        <v>400000</v>
      </c>
      <c r="N806" s="1">
        <v>2257127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1342000</v>
      </c>
      <c r="U806" s="1">
        <v>0</v>
      </c>
      <c r="V806" s="1">
        <v>6856416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1069253</v>
      </c>
      <c r="AD806" s="1">
        <v>0</v>
      </c>
      <c r="AE806" s="1">
        <v>1612234</v>
      </c>
      <c r="AF806" s="1">
        <v>1111269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8322500</v>
      </c>
      <c r="AM806" s="1">
        <v>0</v>
      </c>
      <c r="AN806" s="1">
        <v>51997235</v>
      </c>
      <c r="AO806" s="1">
        <v>7035461</v>
      </c>
      <c r="AP806" s="1">
        <v>44961774</v>
      </c>
      <c r="AQ806" s="1">
        <v>9908793</v>
      </c>
      <c r="AR806" s="1">
        <v>1486319</v>
      </c>
      <c r="AS806" s="1">
        <v>0</v>
      </c>
      <c r="AT806" s="1">
        <f t="shared" si="86"/>
        <v>63392347</v>
      </c>
    </row>
    <row r="807" spans="1:46" x14ac:dyDescent="0.2">
      <c r="A807" s="1" t="str">
        <f>"00919"</f>
        <v>00919</v>
      </c>
      <c r="B807" s="1" t="str">
        <f>"اکبر"</f>
        <v>اکبر</v>
      </c>
      <c r="C807" s="1" t="str">
        <f>"آذربخش"</f>
        <v>آذربخش</v>
      </c>
      <c r="D807" s="1" t="str">
        <f t="shared" si="89"/>
        <v>قراردادي بهره بردار</v>
      </c>
      <c r="E807" s="1" t="str">
        <f t="shared" si="90"/>
        <v>پروژه بهره برداري نيروگاه بوشهر</v>
      </c>
      <c r="F807" s="1">
        <v>9923669</v>
      </c>
      <c r="G807" s="1">
        <v>12529867</v>
      </c>
      <c r="H807" s="1">
        <v>0</v>
      </c>
      <c r="I807" s="1">
        <v>9306187</v>
      </c>
      <c r="J807" s="1">
        <v>0</v>
      </c>
      <c r="K807" s="1">
        <v>3465000</v>
      </c>
      <c r="L807" s="1">
        <v>0</v>
      </c>
      <c r="M807" s="1">
        <v>400000</v>
      </c>
      <c r="N807" s="1">
        <v>1813952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1342000</v>
      </c>
      <c r="U807" s="1">
        <v>0</v>
      </c>
      <c r="V807" s="1">
        <v>5402671</v>
      </c>
      <c r="W807" s="1">
        <v>1100000</v>
      </c>
      <c r="X807" s="1">
        <v>1539880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1295680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6864140</v>
      </c>
      <c r="AM807" s="1">
        <v>0</v>
      </c>
      <c r="AN807" s="1">
        <v>54983046</v>
      </c>
      <c r="AO807" s="1">
        <v>6601696</v>
      </c>
      <c r="AP807" s="1">
        <v>48381350</v>
      </c>
      <c r="AQ807" s="1">
        <v>10728209</v>
      </c>
      <c r="AR807" s="1">
        <v>1609231</v>
      </c>
      <c r="AS807" s="1">
        <v>0</v>
      </c>
      <c r="AT807" s="1">
        <f t="shared" si="86"/>
        <v>67320486</v>
      </c>
    </row>
    <row r="808" spans="1:46" x14ac:dyDescent="0.2">
      <c r="A808" s="1" t="str">
        <f>"00920"</f>
        <v>00920</v>
      </c>
      <c r="B808" s="1" t="str">
        <f>"احمد"</f>
        <v>احمد</v>
      </c>
      <c r="C808" s="1" t="str">
        <f>"اسماعيلي"</f>
        <v>اسماعيلي</v>
      </c>
      <c r="D808" s="1" t="str">
        <f t="shared" si="89"/>
        <v>قراردادي بهره بردار</v>
      </c>
      <c r="E808" s="1" t="str">
        <f t="shared" si="90"/>
        <v>پروژه بهره برداري نيروگاه بوشهر</v>
      </c>
      <c r="F808" s="1">
        <v>11782696</v>
      </c>
      <c r="G808" s="1">
        <v>19322837</v>
      </c>
      <c r="H808" s="1">
        <v>0</v>
      </c>
      <c r="I808" s="1">
        <v>11797224</v>
      </c>
      <c r="J808" s="1">
        <v>0</v>
      </c>
      <c r="K808" s="1">
        <v>3465000</v>
      </c>
      <c r="L808" s="1">
        <v>0</v>
      </c>
      <c r="M808" s="1">
        <v>400000</v>
      </c>
      <c r="N808" s="1">
        <v>2311086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6665350</v>
      </c>
      <c r="W808" s="1">
        <v>1100000</v>
      </c>
      <c r="X808" s="1">
        <v>1828349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1650776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8487135</v>
      </c>
      <c r="AM808" s="1">
        <v>0</v>
      </c>
      <c r="AN808" s="1">
        <v>68810453</v>
      </c>
      <c r="AO808" s="1">
        <v>10144367</v>
      </c>
      <c r="AP808" s="1">
        <v>58666086</v>
      </c>
      <c r="AQ808" s="1">
        <v>13762091</v>
      </c>
      <c r="AR808" s="1">
        <v>2064314</v>
      </c>
      <c r="AS808" s="1">
        <v>0</v>
      </c>
      <c r="AT808" s="1">
        <f t="shared" si="86"/>
        <v>84636858</v>
      </c>
    </row>
    <row r="809" spans="1:46" x14ac:dyDescent="0.2">
      <c r="A809" s="1" t="str">
        <f>"00921"</f>
        <v>00921</v>
      </c>
      <c r="B809" s="1" t="str">
        <f>"حسين"</f>
        <v>حسين</v>
      </c>
      <c r="C809" s="1" t="str">
        <f>"اسماعيلي فرد"</f>
        <v>اسماعيلي فرد</v>
      </c>
      <c r="D809" s="1" t="str">
        <f t="shared" si="89"/>
        <v>قراردادي بهره بردار</v>
      </c>
      <c r="E809" s="1" t="str">
        <f t="shared" si="90"/>
        <v>پروژه بهره برداري نيروگاه بوشهر</v>
      </c>
      <c r="F809" s="1">
        <v>21090131</v>
      </c>
      <c r="G809" s="1">
        <v>25243614</v>
      </c>
      <c r="H809" s="1">
        <v>0</v>
      </c>
      <c r="I809" s="1">
        <v>17814889</v>
      </c>
      <c r="J809" s="1">
        <v>0</v>
      </c>
      <c r="K809" s="1">
        <v>0</v>
      </c>
      <c r="L809" s="1">
        <v>0</v>
      </c>
      <c r="M809" s="1">
        <v>400000</v>
      </c>
      <c r="N809" s="1">
        <v>3118356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1342000</v>
      </c>
      <c r="U809" s="1">
        <v>0</v>
      </c>
      <c r="V809" s="1">
        <v>10876636</v>
      </c>
      <c r="W809" s="1">
        <v>1100000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2227396</v>
      </c>
      <c r="AF809" s="1">
        <v>2222538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4632985</v>
      </c>
      <c r="AM809" s="1">
        <v>0</v>
      </c>
      <c r="AN809" s="1">
        <v>90068545</v>
      </c>
      <c r="AO809" s="1">
        <v>15149427</v>
      </c>
      <c r="AP809" s="1">
        <v>74919118</v>
      </c>
      <c r="AQ809" s="1">
        <v>15039174</v>
      </c>
      <c r="AR809" s="1">
        <v>2255876</v>
      </c>
      <c r="AS809" s="1">
        <v>0</v>
      </c>
      <c r="AT809" s="1">
        <f t="shared" si="86"/>
        <v>107363595</v>
      </c>
    </row>
    <row r="810" spans="1:46" x14ac:dyDescent="0.2">
      <c r="A810" s="1" t="str">
        <f>"00922"</f>
        <v>00922</v>
      </c>
      <c r="B810" s="1" t="str">
        <f>"رضا"</f>
        <v>رضا</v>
      </c>
      <c r="C810" s="1" t="str">
        <f>"اسماعيلي نژاد"</f>
        <v>اسماعيلي نژاد</v>
      </c>
      <c r="D810" s="1" t="str">
        <f t="shared" si="89"/>
        <v>قراردادي بهره بردار</v>
      </c>
      <c r="E810" s="1" t="str">
        <f t="shared" si="90"/>
        <v>پروژه بهره برداري نيروگاه بوشهر</v>
      </c>
      <c r="F810" s="1">
        <v>21838821</v>
      </c>
      <c r="G810" s="1">
        <v>13272930</v>
      </c>
      <c r="H810" s="1">
        <v>0</v>
      </c>
      <c r="I810" s="1">
        <v>20387912</v>
      </c>
      <c r="J810" s="1">
        <v>0</v>
      </c>
      <c r="K810" s="1">
        <v>0</v>
      </c>
      <c r="L810" s="1">
        <v>0</v>
      </c>
      <c r="M810" s="1">
        <v>400000</v>
      </c>
      <c r="N810" s="1">
        <v>3380397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12078497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2414569</v>
      </c>
      <c r="AF810" s="1">
        <v>1111269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5070595</v>
      </c>
      <c r="AM810" s="1">
        <v>0</v>
      </c>
      <c r="AN810" s="1">
        <v>81054990</v>
      </c>
      <c r="AO810" s="1">
        <v>13955246</v>
      </c>
      <c r="AP810" s="1">
        <v>67099744</v>
      </c>
      <c r="AQ810" s="1">
        <v>15039174</v>
      </c>
      <c r="AR810" s="1">
        <v>2255876</v>
      </c>
      <c r="AS810" s="1">
        <v>0</v>
      </c>
      <c r="AT810" s="1">
        <f t="shared" si="86"/>
        <v>98350040</v>
      </c>
    </row>
    <row r="811" spans="1:46" x14ac:dyDescent="0.2">
      <c r="A811" s="1" t="str">
        <f>"00923"</f>
        <v>00923</v>
      </c>
      <c r="B811" s="1" t="str">
        <f>"قاسم"</f>
        <v>قاسم</v>
      </c>
      <c r="C811" s="1" t="str">
        <f>"اکراميان"</f>
        <v>اکراميان</v>
      </c>
      <c r="D811" s="1" t="str">
        <f t="shared" si="89"/>
        <v>قراردادي بهره بردار</v>
      </c>
      <c r="E811" s="1" t="str">
        <f t="shared" si="90"/>
        <v>پروژه بهره برداري نيروگاه بوشهر</v>
      </c>
      <c r="F811" s="1">
        <v>14075721</v>
      </c>
      <c r="G811" s="1">
        <v>19031937</v>
      </c>
      <c r="H811" s="1">
        <v>0</v>
      </c>
      <c r="I811" s="1">
        <v>15127000</v>
      </c>
      <c r="J811" s="1">
        <v>0</v>
      </c>
      <c r="K811" s="1">
        <v>4620000</v>
      </c>
      <c r="L811" s="1">
        <v>0</v>
      </c>
      <c r="M811" s="1">
        <v>400000</v>
      </c>
      <c r="N811" s="1">
        <v>2762076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1342000</v>
      </c>
      <c r="U811" s="1">
        <v>0</v>
      </c>
      <c r="V811" s="1">
        <v>8485239</v>
      </c>
      <c r="W811" s="1">
        <v>1100000</v>
      </c>
      <c r="X811" s="1">
        <v>2184164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1972912</v>
      </c>
      <c r="AF811" s="1">
        <v>1111269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10141450</v>
      </c>
      <c r="AM811" s="1">
        <v>0</v>
      </c>
      <c r="AN811" s="1">
        <v>82353768</v>
      </c>
      <c r="AO811" s="1">
        <v>31551450</v>
      </c>
      <c r="AP811" s="1">
        <v>50802318</v>
      </c>
      <c r="AQ811" s="1">
        <v>15039174</v>
      </c>
      <c r="AR811" s="1">
        <v>2255876</v>
      </c>
      <c r="AS811" s="1">
        <v>0</v>
      </c>
      <c r="AT811" s="1">
        <f t="shared" si="86"/>
        <v>99648818</v>
      </c>
    </row>
    <row r="812" spans="1:46" x14ac:dyDescent="0.2">
      <c r="A812" s="1" t="str">
        <f>"00924"</f>
        <v>00924</v>
      </c>
      <c r="B812" s="1" t="str">
        <f>"بهنام"</f>
        <v>بهنام</v>
      </c>
      <c r="C812" s="1" t="str">
        <f>"اميني"</f>
        <v>اميني</v>
      </c>
      <c r="D812" s="1" t="str">
        <f t="shared" si="89"/>
        <v>قراردادي بهره بردار</v>
      </c>
      <c r="E812" s="1" t="str">
        <f t="shared" si="90"/>
        <v>پروژه بهره برداري نيروگاه بوشهر</v>
      </c>
      <c r="F812" s="1">
        <v>12154329</v>
      </c>
      <c r="G812" s="1">
        <v>27200823</v>
      </c>
      <c r="H812" s="1">
        <v>0</v>
      </c>
      <c r="I812" s="1">
        <v>12861056</v>
      </c>
      <c r="J812" s="1">
        <v>0</v>
      </c>
      <c r="K812" s="1">
        <v>4620000</v>
      </c>
      <c r="L812" s="1">
        <v>0</v>
      </c>
      <c r="M812" s="1">
        <v>400000</v>
      </c>
      <c r="N812" s="1">
        <v>2451882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6956707</v>
      </c>
      <c r="W812" s="1">
        <v>1100000</v>
      </c>
      <c r="X812" s="1">
        <v>1886017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1751344</v>
      </c>
      <c r="AF812" s="1">
        <v>4445076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8900331</v>
      </c>
      <c r="AM812" s="1">
        <v>0</v>
      </c>
      <c r="AN812" s="1">
        <v>84727565</v>
      </c>
      <c r="AO812" s="1">
        <v>12204578</v>
      </c>
      <c r="AP812" s="1">
        <v>72522987</v>
      </c>
      <c r="AQ812" s="1">
        <v>15039174</v>
      </c>
      <c r="AR812" s="1">
        <v>2255876</v>
      </c>
      <c r="AS812" s="1">
        <v>0</v>
      </c>
      <c r="AT812" s="1">
        <f t="shared" si="86"/>
        <v>102022615</v>
      </c>
    </row>
    <row r="813" spans="1:46" x14ac:dyDescent="0.2">
      <c r="A813" s="1" t="str">
        <f>"00925"</f>
        <v>00925</v>
      </c>
      <c r="B813" s="1" t="str">
        <f>"سياوش"</f>
        <v>سياوش</v>
      </c>
      <c r="C813" s="1" t="str">
        <f>"ايرانپور"</f>
        <v>ايرانپور</v>
      </c>
      <c r="D813" s="1" t="str">
        <f t="shared" si="89"/>
        <v>قراردادي بهره بردار</v>
      </c>
      <c r="E813" s="1" t="str">
        <f t="shared" si="90"/>
        <v>پروژه بهره برداري نيروگاه بوشهر</v>
      </c>
      <c r="F813" s="1">
        <v>18550491</v>
      </c>
      <c r="G813" s="1">
        <v>29656537</v>
      </c>
      <c r="H813" s="1">
        <v>0</v>
      </c>
      <c r="I813" s="1">
        <v>18530470</v>
      </c>
      <c r="J813" s="1">
        <v>0</v>
      </c>
      <c r="K813" s="1">
        <v>5500000</v>
      </c>
      <c r="L813" s="1">
        <v>0</v>
      </c>
      <c r="M813" s="1">
        <v>400000</v>
      </c>
      <c r="N813" s="1">
        <v>2788220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10577706</v>
      </c>
      <c r="W813" s="1">
        <v>1100000</v>
      </c>
      <c r="X813" s="1">
        <v>2878524</v>
      </c>
      <c r="Y813" s="1">
        <v>0</v>
      </c>
      <c r="Z813" s="1">
        <v>0</v>
      </c>
      <c r="AA813" s="1">
        <v>0</v>
      </c>
      <c r="AB813" s="1">
        <v>0</v>
      </c>
      <c r="AC813" s="1">
        <v>2345085</v>
      </c>
      <c r="AD813" s="1">
        <v>0</v>
      </c>
      <c r="AE813" s="1">
        <v>1991585</v>
      </c>
      <c r="AF813" s="1">
        <v>1111269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10743268</v>
      </c>
      <c r="AM813" s="1">
        <v>0</v>
      </c>
      <c r="AN813" s="1">
        <v>106173155</v>
      </c>
      <c r="AO813" s="1">
        <v>34547032</v>
      </c>
      <c r="AP813" s="1">
        <v>71626123</v>
      </c>
      <c r="AQ813" s="1">
        <v>15039174</v>
      </c>
      <c r="AR813" s="1">
        <v>2255876</v>
      </c>
      <c r="AS813" s="1">
        <v>0</v>
      </c>
      <c r="AT813" s="1">
        <f t="shared" si="86"/>
        <v>123468205</v>
      </c>
    </row>
    <row r="814" spans="1:46" x14ac:dyDescent="0.2">
      <c r="A814" s="1" t="str">
        <f>"00926"</f>
        <v>00926</v>
      </c>
      <c r="B814" s="1" t="str">
        <f>"حسين"</f>
        <v>حسين</v>
      </c>
      <c r="C814" s="1" t="str">
        <f>"بادسار"</f>
        <v>بادسار</v>
      </c>
      <c r="D814" s="1" t="str">
        <f t="shared" si="89"/>
        <v>قراردادي بهره بردار</v>
      </c>
      <c r="E814" s="1" t="str">
        <f t="shared" si="90"/>
        <v>پروژه بهره برداري نيروگاه بوشهر</v>
      </c>
      <c r="F814" s="1">
        <v>11432755</v>
      </c>
      <c r="G814" s="1">
        <v>14671129</v>
      </c>
      <c r="H814" s="1">
        <v>0</v>
      </c>
      <c r="I814" s="1">
        <v>10712137</v>
      </c>
      <c r="J814" s="1">
        <v>0</v>
      </c>
      <c r="K814" s="1">
        <v>4620000</v>
      </c>
      <c r="L814" s="1">
        <v>0</v>
      </c>
      <c r="M814" s="1">
        <v>400000</v>
      </c>
      <c r="N814" s="1">
        <v>2178954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1342000</v>
      </c>
      <c r="U814" s="1">
        <v>0</v>
      </c>
      <c r="V814" s="1">
        <v>6541006</v>
      </c>
      <c r="W814" s="1">
        <v>1100000</v>
      </c>
      <c r="X814" s="1">
        <v>1774048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1556396</v>
      </c>
      <c r="AF814" s="1">
        <v>3333807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8099013</v>
      </c>
      <c r="AM814" s="1">
        <v>0</v>
      </c>
      <c r="AN814" s="1">
        <v>67761245</v>
      </c>
      <c r="AO814" s="1">
        <v>9451412</v>
      </c>
      <c r="AP814" s="1">
        <v>58309833</v>
      </c>
      <c r="AQ814" s="1">
        <v>12617088</v>
      </c>
      <c r="AR814" s="1">
        <v>1892563</v>
      </c>
      <c r="AS814" s="1">
        <v>0</v>
      </c>
      <c r="AT814" s="1">
        <f t="shared" si="86"/>
        <v>82270896</v>
      </c>
    </row>
    <row r="815" spans="1:46" x14ac:dyDescent="0.2">
      <c r="A815" s="1" t="str">
        <f>"00927"</f>
        <v>00927</v>
      </c>
      <c r="B815" s="1" t="str">
        <f>"محمدمهدي"</f>
        <v>محمدمهدي</v>
      </c>
      <c r="C815" s="1" t="str">
        <f>"باروني"</f>
        <v>باروني</v>
      </c>
      <c r="D815" s="1" t="str">
        <f t="shared" si="89"/>
        <v>قراردادي بهره بردار</v>
      </c>
      <c r="E815" s="1" t="str">
        <f t="shared" si="90"/>
        <v>پروژه بهره برداري نيروگاه بوشهر</v>
      </c>
      <c r="F815" s="1">
        <v>10754205</v>
      </c>
      <c r="G815" s="1">
        <v>17352875</v>
      </c>
      <c r="H815" s="1">
        <v>0</v>
      </c>
      <c r="I815" s="1">
        <v>10937346</v>
      </c>
      <c r="J815" s="1">
        <v>0</v>
      </c>
      <c r="K815" s="1">
        <v>0</v>
      </c>
      <c r="L815" s="1">
        <v>0</v>
      </c>
      <c r="M815" s="1">
        <v>400000</v>
      </c>
      <c r="N815" s="1">
        <v>1937886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6192226</v>
      </c>
      <c r="W815" s="1">
        <v>1100000</v>
      </c>
      <c r="X815" s="1">
        <v>1668756</v>
      </c>
      <c r="Y815" s="1">
        <v>0</v>
      </c>
      <c r="Z815" s="1">
        <v>0</v>
      </c>
      <c r="AA815" s="1">
        <v>0</v>
      </c>
      <c r="AB815" s="1">
        <v>0</v>
      </c>
      <c r="AC815" s="1">
        <v>1078970</v>
      </c>
      <c r="AD815" s="1">
        <v>0</v>
      </c>
      <c r="AE815" s="1">
        <v>1384205</v>
      </c>
      <c r="AF815" s="1">
        <v>2222538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7378876</v>
      </c>
      <c r="AM815" s="1">
        <v>0</v>
      </c>
      <c r="AN815" s="1">
        <v>62407883</v>
      </c>
      <c r="AO815" s="1">
        <v>10815740</v>
      </c>
      <c r="AP815" s="1">
        <v>51592143</v>
      </c>
      <c r="AQ815" s="1">
        <v>12037069</v>
      </c>
      <c r="AR815" s="1">
        <v>1805560</v>
      </c>
      <c r="AS815" s="1">
        <v>0</v>
      </c>
      <c r="AT815" s="1">
        <f t="shared" si="86"/>
        <v>76250512</v>
      </c>
    </row>
    <row r="816" spans="1:46" x14ac:dyDescent="0.2">
      <c r="A816" s="1" t="str">
        <f>"00928"</f>
        <v>00928</v>
      </c>
      <c r="B816" s="1" t="str">
        <f>"احد"</f>
        <v>احد</v>
      </c>
      <c r="C816" s="1" t="str">
        <f>"باصري"</f>
        <v>باصري</v>
      </c>
      <c r="D816" s="1" t="str">
        <f t="shared" si="89"/>
        <v>قراردادي بهره بردار</v>
      </c>
      <c r="E816" s="1" t="str">
        <f t="shared" si="90"/>
        <v>پروژه بهره برداري نيروگاه بوشهر</v>
      </c>
      <c r="F816" s="1">
        <v>20760082</v>
      </c>
      <c r="G816" s="1">
        <v>6814763</v>
      </c>
      <c r="H816" s="1">
        <v>0</v>
      </c>
      <c r="I816" s="1">
        <v>18654758</v>
      </c>
      <c r="J816" s="1">
        <v>0</v>
      </c>
      <c r="K816" s="1">
        <v>0</v>
      </c>
      <c r="L816" s="1">
        <v>0</v>
      </c>
      <c r="M816" s="1">
        <v>400000</v>
      </c>
      <c r="N816" s="1">
        <v>3002838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1342000</v>
      </c>
      <c r="U816" s="1">
        <v>0</v>
      </c>
      <c r="V816" s="1">
        <v>11162701</v>
      </c>
      <c r="W816" s="1">
        <v>1100000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2144884</v>
      </c>
      <c r="AF816" s="1">
        <v>2222538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4504257</v>
      </c>
      <c r="AM816" s="1">
        <v>0</v>
      </c>
      <c r="AN816" s="1">
        <v>72108821</v>
      </c>
      <c r="AO816" s="1">
        <v>17431648</v>
      </c>
      <c r="AP816" s="1">
        <v>54677173</v>
      </c>
      <c r="AQ816" s="1">
        <v>13708857</v>
      </c>
      <c r="AR816" s="1">
        <v>2056328</v>
      </c>
      <c r="AS816" s="1">
        <v>0</v>
      </c>
      <c r="AT816" s="1">
        <f t="shared" si="86"/>
        <v>87874006</v>
      </c>
    </row>
    <row r="817" spans="1:46" x14ac:dyDescent="0.2">
      <c r="A817" s="1" t="str">
        <f>"00929"</f>
        <v>00929</v>
      </c>
      <c r="B817" s="1" t="str">
        <f>"علي اصغر"</f>
        <v>علي اصغر</v>
      </c>
      <c r="C817" s="1" t="str">
        <f>"بوستان"</f>
        <v>بوستان</v>
      </c>
      <c r="D817" s="1" t="str">
        <f t="shared" si="89"/>
        <v>قراردادي بهره بردار</v>
      </c>
      <c r="E817" s="1" t="str">
        <f t="shared" si="90"/>
        <v>پروژه بهره برداري نيروگاه بوشهر</v>
      </c>
      <c r="F817" s="1">
        <v>15753760</v>
      </c>
      <c r="G817" s="1">
        <v>27470429</v>
      </c>
      <c r="H817" s="1">
        <v>0</v>
      </c>
      <c r="I817" s="1">
        <v>15612909</v>
      </c>
      <c r="J817" s="1">
        <v>0</v>
      </c>
      <c r="K817" s="1">
        <v>4620000</v>
      </c>
      <c r="L817" s="1">
        <v>0</v>
      </c>
      <c r="M817" s="1">
        <v>400000</v>
      </c>
      <c r="N817" s="1">
        <v>3143890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9475835</v>
      </c>
      <c r="W817" s="1">
        <v>1100000</v>
      </c>
      <c r="X817" s="1">
        <v>2444549</v>
      </c>
      <c r="Y817" s="1">
        <v>0</v>
      </c>
      <c r="Z817" s="1">
        <v>5263711</v>
      </c>
      <c r="AA817" s="1">
        <v>0</v>
      </c>
      <c r="AB817" s="1">
        <v>0</v>
      </c>
      <c r="AC817" s="1">
        <v>0</v>
      </c>
      <c r="AD817" s="1">
        <v>0</v>
      </c>
      <c r="AE817" s="1">
        <v>2245636</v>
      </c>
      <c r="AF817" s="1">
        <v>4445076</v>
      </c>
      <c r="AG817" s="1">
        <v>3001500</v>
      </c>
      <c r="AH817" s="1">
        <v>0</v>
      </c>
      <c r="AI817" s="1">
        <v>0</v>
      </c>
      <c r="AJ817" s="1">
        <v>0</v>
      </c>
      <c r="AK817" s="1">
        <v>0</v>
      </c>
      <c r="AL817" s="1">
        <v>11463036</v>
      </c>
      <c r="AM817" s="1">
        <v>0</v>
      </c>
      <c r="AN817" s="1">
        <v>106440331</v>
      </c>
      <c r="AO817" s="1">
        <v>8344800</v>
      </c>
      <c r="AP817" s="1">
        <v>98095531</v>
      </c>
      <c r="AQ817" s="1">
        <v>15039174</v>
      </c>
      <c r="AR817" s="1">
        <v>2255876</v>
      </c>
      <c r="AS817" s="1">
        <v>0</v>
      </c>
      <c r="AT817" s="1">
        <f t="shared" si="86"/>
        <v>123735381</v>
      </c>
    </row>
    <row r="818" spans="1:46" x14ac:dyDescent="0.2">
      <c r="A818" s="1" t="str">
        <f>"00930"</f>
        <v>00930</v>
      </c>
      <c r="B818" s="1" t="str">
        <f>"فيض اله"</f>
        <v>فيض اله</v>
      </c>
      <c r="C818" s="1" t="str">
        <f>"بهي مقدم"</f>
        <v>بهي مقدم</v>
      </c>
      <c r="D818" s="1" t="str">
        <f t="shared" si="89"/>
        <v>قراردادي بهره بردار</v>
      </c>
      <c r="E818" s="1" t="str">
        <f t="shared" si="90"/>
        <v>پروژه بهره برداري نيروگاه بوشهر</v>
      </c>
      <c r="F818" s="1">
        <v>8990560</v>
      </c>
      <c r="G818" s="1">
        <v>11265357</v>
      </c>
      <c r="H818" s="1">
        <v>0</v>
      </c>
      <c r="I818" s="1">
        <v>8222348</v>
      </c>
      <c r="J818" s="1">
        <v>0</v>
      </c>
      <c r="K818" s="1">
        <v>4620000</v>
      </c>
      <c r="L818" s="1">
        <v>0</v>
      </c>
      <c r="M818" s="1">
        <v>400000</v>
      </c>
      <c r="N818" s="1">
        <v>1616743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1342000</v>
      </c>
      <c r="U818" s="1">
        <v>0</v>
      </c>
      <c r="V818" s="1">
        <v>4967757</v>
      </c>
      <c r="W818" s="1">
        <v>1100000</v>
      </c>
      <c r="X818" s="1">
        <v>1395087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1154817</v>
      </c>
      <c r="AF818" s="1">
        <v>3333807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6161619</v>
      </c>
      <c r="AM818" s="1">
        <v>0</v>
      </c>
      <c r="AN818" s="1">
        <v>54570095</v>
      </c>
      <c r="AO818" s="1">
        <v>6305621</v>
      </c>
      <c r="AP818" s="1">
        <v>48264474</v>
      </c>
      <c r="AQ818" s="1">
        <v>9978858</v>
      </c>
      <c r="AR818" s="1">
        <v>1496829</v>
      </c>
      <c r="AS818" s="1">
        <v>0</v>
      </c>
      <c r="AT818" s="1">
        <f t="shared" si="86"/>
        <v>66045782</v>
      </c>
    </row>
    <row r="819" spans="1:46" x14ac:dyDescent="0.2">
      <c r="A819" s="1" t="str">
        <f>"00931"</f>
        <v>00931</v>
      </c>
      <c r="B819" s="1" t="str">
        <f>"محمدجواد"</f>
        <v>محمدجواد</v>
      </c>
      <c r="C819" s="1" t="str">
        <f>"پرهيزکار"</f>
        <v>پرهيزکار</v>
      </c>
      <c r="D819" s="1" t="str">
        <f t="shared" si="89"/>
        <v>قراردادي بهره بردار</v>
      </c>
      <c r="E819" s="1" t="str">
        <f t="shared" si="90"/>
        <v>پروژه بهره برداري نيروگاه بوشهر</v>
      </c>
      <c r="F819" s="1">
        <v>21267315</v>
      </c>
      <c r="G819" s="1">
        <v>9345601</v>
      </c>
      <c r="H819" s="1">
        <v>0</v>
      </c>
      <c r="I819" s="1">
        <v>18670380</v>
      </c>
      <c r="J819" s="1">
        <v>0</v>
      </c>
      <c r="K819" s="1">
        <v>0</v>
      </c>
      <c r="L819" s="1">
        <v>0</v>
      </c>
      <c r="M819" s="1">
        <v>400000</v>
      </c>
      <c r="N819" s="1">
        <v>3180369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11787674</v>
      </c>
      <c r="W819" s="1">
        <v>1100000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2271693</v>
      </c>
      <c r="AF819" s="1">
        <v>1111269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4770554</v>
      </c>
      <c r="AM819" s="1">
        <v>0</v>
      </c>
      <c r="AN819" s="1">
        <v>73904855</v>
      </c>
      <c r="AO819" s="1">
        <v>17522550</v>
      </c>
      <c r="AP819" s="1">
        <v>56382305</v>
      </c>
      <c r="AQ819" s="1">
        <v>14558717</v>
      </c>
      <c r="AR819" s="1">
        <v>2183808</v>
      </c>
      <c r="AS819" s="1">
        <v>0</v>
      </c>
      <c r="AT819" s="1">
        <f t="shared" si="86"/>
        <v>90647380</v>
      </c>
    </row>
    <row r="820" spans="1:46" x14ac:dyDescent="0.2">
      <c r="A820" s="1" t="str">
        <f>"00932"</f>
        <v>00932</v>
      </c>
      <c r="B820" s="1" t="str">
        <f>"مختار"</f>
        <v>مختار</v>
      </c>
      <c r="C820" s="1" t="str">
        <f>"جعفري"</f>
        <v>جعفري</v>
      </c>
      <c r="D820" s="1" t="str">
        <f t="shared" si="89"/>
        <v>قراردادي بهره بردار</v>
      </c>
      <c r="E820" s="1" t="str">
        <f t="shared" si="90"/>
        <v>پروژه بهره برداري نيروگاه بوشهر</v>
      </c>
      <c r="F820" s="1">
        <v>11155937</v>
      </c>
      <c r="G820" s="1">
        <v>14181049</v>
      </c>
      <c r="H820" s="1">
        <v>0</v>
      </c>
      <c r="I820" s="1">
        <v>10540587</v>
      </c>
      <c r="J820" s="1">
        <v>0</v>
      </c>
      <c r="K820" s="1">
        <v>4620000</v>
      </c>
      <c r="L820" s="1">
        <v>0</v>
      </c>
      <c r="M820" s="1">
        <v>400000</v>
      </c>
      <c r="N820" s="1">
        <v>2076347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6114634</v>
      </c>
      <c r="W820" s="1">
        <v>1100000</v>
      </c>
      <c r="X820" s="1">
        <v>1731094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1483105</v>
      </c>
      <c r="AF820" s="1">
        <v>1111269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7796096</v>
      </c>
      <c r="AM820" s="1">
        <v>0</v>
      </c>
      <c r="AN820" s="1">
        <v>62310118</v>
      </c>
      <c r="AO820" s="1">
        <v>28006094</v>
      </c>
      <c r="AP820" s="1">
        <v>34304024</v>
      </c>
      <c r="AQ820" s="1">
        <v>12239770</v>
      </c>
      <c r="AR820" s="1">
        <v>1835965</v>
      </c>
      <c r="AS820" s="1">
        <v>0</v>
      </c>
      <c r="AT820" s="1">
        <f t="shared" si="86"/>
        <v>76385853</v>
      </c>
    </row>
    <row r="821" spans="1:46" x14ac:dyDescent="0.2">
      <c r="A821" s="1" t="str">
        <f>"00933"</f>
        <v>00933</v>
      </c>
      <c r="B821" s="1" t="str">
        <f>"پيام"</f>
        <v>پيام</v>
      </c>
      <c r="C821" s="1" t="str">
        <f>"جعفري زاده"</f>
        <v>جعفري زاده</v>
      </c>
      <c r="D821" s="1" t="str">
        <f t="shared" si="89"/>
        <v>قراردادي بهره بردار</v>
      </c>
      <c r="E821" s="1" t="str">
        <f t="shared" si="90"/>
        <v>پروژه بهره برداري نيروگاه بوشهر</v>
      </c>
      <c r="F821" s="1">
        <v>11079612</v>
      </c>
      <c r="G821" s="1">
        <v>18923631</v>
      </c>
      <c r="H821" s="1">
        <v>0</v>
      </c>
      <c r="I821" s="1">
        <v>10738794</v>
      </c>
      <c r="J821" s="1">
        <v>0</v>
      </c>
      <c r="K821" s="1">
        <v>4620000</v>
      </c>
      <c r="L821" s="1">
        <v>0</v>
      </c>
      <c r="M821" s="1">
        <v>400000</v>
      </c>
      <c r="N821" s="1">
        <v>2055175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6317076</v>
      </c>
      <c r="W821" s="1">
        <v>1100000</v>
      </c>
      <c r="X821" s="1">
        <v>1719250</v>
      </c>
      <c r="Y821" s="1">
        <v>0</v>
      </c>
      <c r="Z821" s="1">
        <v>0</v>
      </c>
      <c r="AA821" s="1">
        <v>0</v>
      </c>
      <c r="AB821" s="1">
        <v>0</v>
      </c>
      <c r="AC821" s="1">
        <v>1076963</v>
      </c>
      <c r="AD821" s="1">
        <v>0</v>
      </c>
      <c r="AE821" s="1">
        <v>1467983</v>
      </c>
      <c r="AF821" s="1">
        <v>1111269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7727829</v>
      </c>
      <c r="AM821" s="1">
        <v>0</v>
      </c>
      <c r="AN821" s="1">
        <v>68337582</v>
      </c>
      <c r="AO821" s="1">
        <v>28970690</v>
      </c>
      <c r="AP821" s="1">
        <v>39366892</v>
      </c>
      <c r="AQ821" s="1">
        <v>13445263</v>
      </c>
      <c r="AR821" s="1">
        <v>2016789</v>
      </c>
      <c r="AS821" s="1">
        <v>0</v>
      </c>
      <c r="AT821" s="1">
        <f t="shared" si="86"/>
        <v>83799634</v>
      </c>
    </row>
    <row r="822" spans="1:46" x14ac:dyDescent="0.2">
      <c r="A822" s="1" t="str">
        <f>"00934"</f>
        <v>00934</v>
      </c>
      <c r="B822" s="1" t="str">
        <f>"اميد"</f>
        <v>اميد</v>
      </c>
      <c r="C822" s="1" t="str">
        <f>"جوکار"</f>
        <v>جوکار</v>
      </c>
      <c r="D822" s="1" t="str">
        <f t="shared" si="89"/>
        <v>قراردادي بهره بردار</v>
      </c>
      <c r="E822" s="1" t="str">
        <f t="shared" si="90"/>
        <v>پروژه بهره برداري نيروگاه بوشهر</v>
      </c>
      <c r="F822" s="1">
        <v>23852120</v>
      </c>
      <c r="G822" s="1">
        <v>27462436</v>
      </c>
      <c r="H822" s="1">
        <v>0</v>
      </c>
      <c r="I822" s="1">
        <v>22154570</v>
      </c>
      <c r="J822" s="1">
        <v>0</v>
      </c>
      <c r="K822" s="1">
        <v>0</v>
      </c>
      <c r="L822" s="1">
        <v>0</v>
      </c>
      <c r="M822" s="1">
        <v>400000</v>
      </c>
      <c r="N822" s="1">
        <v>4085051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1342000</v>
      </c>
      <c r="U822" s="1">
        <v>0</v>
      </c>
      <c r="V822" s="1">
        <v>13735834</v>
      </c>
      <c r="W822" s="1">
        <v>1100000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2917894</v>
      </c>
      <c r="AF822" s="1">
        <v>2222538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6069219</v>
      </c>
      <c r="AM822" s="1">
        <v>0</v>
      </c>
      <c r="AN822" s="1">
        <v>105341662</v>
      </c>
      <c r="AO822" s="1">
        <v>15047491</v>
      </c>
      <c r="AP822" s="1">
        <v>90294171</v>
      </c>
      <c r="AQ822" s="1">
        <v>15039174</v>
      </c>
      <c r="AR822" s="1">
        <v>2255876</v>
      </c>
      <c r="AS822" s="1">
        <v>0</v>
      </c>
      <c r="AT822" s="1">
        <f t="shared" si="86"/>
        <v>122636712</v>
      </c>
    </row>
    <row r="823" spans="1:46" x14ac:dyDescent="0.2">
      <c r="A823" s="1" t="str">
        <f>"00935"</f>
        <v>00935</v>
      </c>
      <c r="B823" s="1" t="str">
        <f>"حسين"</f>
        <v>حسين</v>
      </c>
      <c r="C823" s="1" t="str">
        <f>"چغادکي نژاد"</f>
        <v>چغادکي نژاد</v>
      </c>
      <c r="D823" s="1" t="str">
        <f t="shared" si="89"/>
        <v>قراردادي بهره بردار</v>
      </c>
      <c r="E823" s="1" t="str">
        <f t="shared" si="90"/>
        <v>پروژه بهره برداري نيروگاه بوشهر</v>
      </c>
      <c r="F823" s="1">
        <v>10828313</v>
      </c>
      <c r="G823" s="1">
        <v>13690556</v>
      </c>
      <c r="H823" s="1">
        <v>0</v>
      </c>
      <c r="I823" s="1">
        <v>10288341</v>
      </c>
      <c r="J823" s="1">
        <v>0</v>
      </c>
      <c r="K823" s="1">
        <v>4620000</v>
      </c>
      <c r="L823" s="1">
        <v>0</v>
      </c>
      <c r="M823" s="1">
        <v>400000</v>
      </c>
      <c r="N823" s="1">
        <v>1955780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5903141</v>
      </c>
      <c r="W823" s="1">
        <v>1100000</v>
      </c>
      <c r="X823" s="1">
        <v>1680255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1396986</v>
      </c>
      <c r="AF823" s="1">
        <v>2222538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7439451</v>
      </c>
      <c r="AM823" s="1">
        <v>0</v>
      </c>
      <c r="AN823" s="1">
        <v>61525361</v>
      </c>
      <c r="AO823" s="1">
        <v>8680549</v>
      </c>
      <c r="AP823" s="1">
        <v>52844812</v>
      </c>
      <c r="AQ823" s="1">
        <v>11860565</v>
      </c>
      <c r="AR823" s="1">
        <v>1779085</v>
      </c>
      <c r="AS823" s="1">
        <v>0</v>
      </c>
      <c r="AT823" s="1">
        <f t="shared" si="86"/>
        <v>75165011</v>
      </c>
    </row>
    <row r="824" spans="1:46" x14ac:dyDescent="0.2">
      <c r="A824" s="1" t="str">
        <f>"00936"</f>
        <v>00936</v>
      </c>
      <c r="B824" s="1" t="str">
        <f>"سيدمحمد"</f>
        <v>سيدمحمد</v>
      </c>
      <c r="C824" s="1" t="str">
        <f>"حسيني"</f>
        <v>حسيني</v>
      </c>
      <c r="D824" s="1" t="str">
        <f t="shared" si="89"/>
        <v>قراردادي بهره بردار</v>
      </c>
      <c r="E824" s="1" t="str">
        <f t="shared" si="90"/>
        <v>پروژه بهره برداري نيروگاه بوشهر</v>
      </c>
      <c r="F824" s="1">
        <v>22075067</v>
      </c>
      <c r="G824" s="1">
        <v>26021750</v>
      </c>
      <c r="H824" s="1">
        <v>0</v>
      </c>
      <c r="I824" s="1">
        <v>20560612</v>
      </c>
      <c r="J824" s="1">
        <v>0</v>
      </c>
      <c r="K824" s="1">
        <v>5500000</v>
      </c>
      <c r="L824" s="1">
        <v>0</v>
      </c>
      <c r="M824" s="1">
        <v>400000</v>
      </c>
      <c r="N824" s="1">
        <v>3463082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1342000</v>
      </c>
      <c r="U824" s="1">
        <v>0</v>
      </c>
      <c r="V824" s="1">
        <v>12623623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2473630</v>
      </c>
      <c r="AF824" s="1">
        <v>2222538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5145151</v>
      </c>
      <c r="AM824" s="1">
        <v>0</v>
      </c>
      <c r="AN824" s="1">
        <v>102927453</v>
      </c>
      <c r="AO824" s="1">
        <v>18783922</v>
      </c>
      <c r="AP824" s="1">
        <v>84143531</v>
      </c>
      <c r="AQ824" s="1">
        <v>15039174</v>
      </c>
      <c r="AR824" s="1">
        <v>2255876</v>
      </c>
      <c r="AS824" s="1">
        <v>0</v>
      </c>
      <c r="AT824" s="1">
        <f t="shared" si="86"/>
        <v>120222503</v>
      </c>
    </row>
    <row r="825" spans="1:46" x14ac:dyDescent="0.2">
      <c r="A825" s="1" t="str">
        <f>"00937"</f>
        <v>00937</v>
      </c>
      <c r="B825" s="1" t="str">
        <f>"سيدمسلم"</f>
        <v>سيدمسلم</v>
      </c>
      <c r="C825" s="1" t="str">
        <f>"حسيني"</f>
        <v>حسيني</v>
      </c>
      <c r="D825" s="1" t="str">
        <f t="shared" si="89"/>
        <v>قراردادي بهره بردار</v>
      </c>
      <c r="E825" s="1" t="str">
        <f t="shared" si="90"/>
        <v>پروژه بهره برداري نيروگاه بوشهر</v>
      </c>
      <c r="F825" s="1">
        <v>11176164</v>
      </c>
      <c r="G825" s="1">
        <v>14204410</v>
      </c>
      <c r="H825" s="1">
        <v>0</v>
      </c>
      <c r="I825" s="1">
        <v>10471045</v>
      </c>
      <c r="J825" s="1">
        <v>0</v>
      </c>
      <c r="K825" s="1">
        <v>0</v>
      </c>
      <c r="L825" s="1">
        <v>0</v>
      </c>
      <c r="M825" s="1">
        <v>400000</v>
      </c>
      <c r="N825" s="1">
        <v>2083606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6194405</v>
      </c>
      <c r="W825" s="1">
        <v>1100000</v>
      </c>
      <c r="X825" s="1">
        <v>1734232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1488290</v>
      </c>
      <c r="AF825" s="1">
        <v>1111269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7817719</v>
      </c>
      <c r="AM825" s="1">
        <v>0</v>
      </c>
      <c r="AN825" s="1">
        <v>57781140</v>
      </c>
      <c r="AO825" s="1">
        <v>8160144</v>
      </c>
      <c r="AP825" s="1">
        <v>49620996</v>
      </c>
      <c r="AQ825" s="1">
        <v>11333974</v>
      </c>
      <c r="AR825" s="1">
        <v>1700096</v>
      </c>
      <c r="AS825" s="1">
        <v>0</v>
      </c>
      <c r="AT825" s="1">
        <f t="shared" si="86"/>
        <v>70815210</v>
      </c>
    </row>
    <row r="826" spans="1:46" x14ac:dyDescent="0.2">
      <c r="A826" s="1" t="str">
        <f>"00938"</f>
        <v>00938</v>
      </c>
      <c r="B826" s="1" t="str">
        <f>"فرشاد"</f>
        <v>فرشاد</v>
      </c>
      <c r="C826" s="1" t="str">
        <f>"خدري"</f>
        <v>خدري</v>
      </c>
      <c r="D826" s="1" t="str">
        <f t="shared" si="89"/>
        <v>قراردادي بهره بردار</v>
      </c>
      <c r="E826" s="1" t="str">
        <f t="shared" si="90"/>
        <v>پروژه بهره برداري نيروگاه بوشهر</v>
      </c>
      <c r="F826" s="1">
        <v>11993616</v>
      </c>
      <c r="G826" s="1">
        <v>16030184</v>
      </c>
      <c r="H826" s="1">
        <v>0</v>
      </c>
      <c r="I826" s="1">
        <v>12309394</v>
      </c>
      <c r="J826" s="1">
        <v>0</v>
      </c>
      <c r="K826" s="1">
        <v>4620000</v>
      </c>
      <c r="L826" s="1">
        <v>0</v>
      </c>
      <c r="M826" s="1">
        <v>400000</v>
      </c>
      <c r="N826" s="1">
        <v>2391878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1342000</v>
      </c>
      <c r="U826" s="1">
        <v>0</v>
      </c>
      <c r="V826" s="1">
        <v>7146930</v>
      </c>
      <c r="W826" s="1">
        <v>1100000</v>
      </c>
      <c r="X826" s="1">
        <v>1861078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1708486</v>
      </c>
      <c r="AF826" s="1">
        <v>2222538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8723538</v>
      </c>
      <c r="AM826" s="1">
        <v>0</v>
      </c>
      <c r="AN826" s="1">
        <v>71849642</v>
      </c>
      <c r="AO826" s="1">
        <v>10274178</v>
      </c>
      <c r="AP826" s="1">
        <v>61575464</v>
      </c>
      <c r="AQ826" s="1">
        <v>13657021</v>
      </c>
      <c r="AR826" s="1">
        <v>2048553</v>
      </c>
      <c r="AS826" s="1">
        <v>0</v>
      </c>
      <c r="AT826" s="1">
        <f t="shared" si="86"/>
        <v>87555216</v>
      </c>
    </row>
    <row r="827" spans="1:46" x14ac:dyDescent="0.2">
      <c r="A827" s="1" t="str">
        <f>"00939"</f>
        <v>00939</v>
      </c>
      <c r="B827" s="1" t="str">
        <f>"مهدي"</f>
        <v>مهدي</v>
      </c>
      <c r="C827" s="1" t="str">
        <f>"خليلي"</f>
        <v>خليلي</v>
      </c>
      <c r="D827" s="1" t="str">
        <f t="shared" si="89"/>
        <v>قراردادي بهره بردار</v>
      </c>
      <c r="E827" s="1" t="str">
        <f t="shared" si="90"/>
        <v>پروژه بهره برداري نيروگاه بوشهر</v>
      </c>
      <c r="F827" s="1">
        <v>11482500</v>
      </c>
      <c r="G827" s="1">
        <v>16730434</v>
      </c>
      <c r="H827" s="1">
        <v>0</v>
      </c>
      <c r="I827" s="1">
        <v>11179751</v>
      </c>
      <c r="J827" s="1">
        <v>0</v>
      </c>
      <c r="K827" s="1">
        <v>4620000</v>
      </c>
      <c r="L827" s="1">
        <v>0</v>
      </c>
      <c r="M827" s="1">
        <v>400000</v>
      </c>
      <c r="N827" s="1">
        <v>2198866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1342000</v>
      </c>
      <c r="U827" s="1">
        <v>0</v>
      </c>
      <c r="V827" s="1">
        <v>6485314</v>
      </c>
      <c r="W827" s="1">
        <v>1100000</v>
      </c>
      <c r="X827" s="1">
        <v>1781767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1570619</v>
      </c>
      <c r="AF827" s="1">
        <v>2222538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8156607</v>
      </c>
      <c r="AM827" s="1">
        <v>0</v>
      </c>
      <c r="AN827" s="1">
        <v>69270396</v>
      </c>
      <c r="AO827" s="1">
        <v>28760217</v>
      </c>
      <c r="AP827" s="1">
        <v>40510179</v>
      </c>
      <c r="AQ827" s="1">
        <v>13141172</v>
      </c>
      <c r="AR827" s="1">
        <v>1971176</v>
      </c>
      <c r="AS827" s="1">
        <v>0</v>
      </c>
      <c r="AT827" s="1">
        <f t="shared" si="86"/>
        <v>84382744</v>
      </c>
    </row>
    <row r="828" spans="1:46" x14ac:dyDescent="0.2">
      <c r="A828" s="1" t="str">
        <f>"00940"</f>
        <v>00940</v>
      </c>
      <c r="B828" s="1" t="str">
        <f>"رسول"</f>
        <v>رسول</v>
      </c>
      <c r="C828" s="1" t="str">
        <f>"خورسند نژاد"</f>
        <v>خورسند نژاد</v>
      </c>
      <c r="D828" s="1" t="str">
        <f t="shared" si="89"/>
        <v>قراردادي بهره بردار</v>
      </c>
      <c r="E828" s="1" t="str">
        <f t="shared" si="90"/>
        <v>پروژه بهره برداري نيروگاه بوشهر</v>
      </c>
      <c r="F828" s="1">
        <v>22087227</v>
      </c>
      <c r="G828" s="1">
        <v>28430883</v>
      </c>
      <c r="H828" s="1">
        <v>0</v>
      </c>
      <c r="I828" s="1">
        <v>22405876</v>
      </c>
      <c r="J828" s="1">
        <v>0</v>
      </c>
      <c r="K828" s="1">
        <v>0</v>
      </c>
      <c r="L828" s="1">
        <v>0</v>
      </c>
      <c r="M828" s="1">
        <v>400000</v>
      </c>
      <c r="N828" s="1">
        <v>3467339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12675683</v>
      </c>
      <c r="W828" s="1">
        <v>1100000</v>
      </c>
      <c r="X828" s="1">
        <v>3427328</v>
      </c>
      <c r="Y828" s="1">
        <v>0</v>
      </c>
      <c r="Z828" s="1">
        <v>0</v>
      </c>
      <c r="AA828" s="1">
        <v>0</v>
      </c>
      <c r="AB828" s="1">
        <v>0</v>
      </c>
      <c r="AC828" s="1">
        <v>2345085</v>
      </c>
      <c r="AD828" s="1">
        <v>0</v>
      </c>
      <c r="AE828" s="1">
        <v>2476671</v>
      </c>
      <c r="AF828" s="1">
        <v>2222538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13065510</v>
      </c>
      <c r="AM828" s="1">
        <v>0</v>
      </c>
      <c r="AN828" s="1">
        <v>114104140</v>
      </c>
      <c r="AO828" s="1">
        <v>37188152</v>
      </c>
      <c r="AP828" s="1">
        <v>76915988</v>
      </c>
      <c r="AQ828" s="1">
        <v>15039174</v>
      </c>
      <c r="AR828" s="1">
        <v>2255876</v>
      </c>
      <c r="AS828" s="1">
        <v>0</v>
      </c>
      <c r="AT828" s="1">
        <f t="shared" si="86"/>
        <v>131399190</v>
      </c>
    </row>
    <row r="829" spans="1:46" x14ac:dyDescent="0.2">
      <c r="A829" s="1" t="str">
        <f>"00941"</f>
        <v>00941</v>
      </c>
      <c r="B829" s="1" t="str">
        <f>"عباس"</f>
        <v>عباس</v>
      </c>
      <c r="C829" s="1" t="str">
        <f>"دريسي"</f>
        <v>دريسي</v>
      </c>
      <c r="D829" s="1" t="str">
        <f t="shared" si="89"/>
        <v>قراردادي بهره بردار</v>
      </c>
      <c r="E829" s="1" t="str">
        <f t="shared" si="90"/>
        <v>پروژه بهره برداري نيروگاه بوشهر</v>
      </c>
      <c r="F829" s="1">
        <v>11452101</v>
      </c>
      <c r="G829" s="1">
        <v>22178538</v>
      </c>
      <c r="H829" s="1">
        <v>0</v>
      </c>
      <c r="I829" s="1">
        <v>11137431</v>
      </c>
      <c r="J829" s="1">
        <v>0</v>
      </c>
      <c r="K829" s="1">
        <v>4620000</v>
      </c>
      <c r="L829" s="1">
        <v>0</v>
      </c>
      <c r="M829" s="1">
        <v>400000</v>
      </c>
      <c r="N829" s="1">
        <v>2187154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1342000</v>
      </c>
      <c r="U829" s="1">
        <v>0</v>
      </c>
      <c r="V829" s="1">
        <v>6375346</v>
      </c>
      <c r="W829" s="1">
        <v>1100000</v>
      </c>
      <c r="X829" s="1">
        <v>1777050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1562253</v>
      </c>
      <c r="AF829" s="1">
        <v>1111269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8122390</v>
      </c>
      <c r="AM829" s="1">
        <v>0</v>
      </c>
      <c r="AN829" s="1">
        <v>73365532</v>
      </c>
      <c r="AO829" s="1">
        <v>14876773</v>
      </c>
      <c r="AP829" s="1">
        <v>58488759</v>
      </c>
      <c r="AQ829" s="1">
        <v>14182453</v>
      </c>
      <c r="AR829" s="1">
        <v>2127368</v>
      </c>
      <c r="AS829" s="1">
        <v>0</v>
      </c>
      <c r="AT829" s="1">
        <f t="shared" si="86"/>
        <v>89675353</v>
      </c>
    </row>
    <row r="830" spans="1:46" x14ac:dyDescent="0.2">
      <c r="A830" s="1" t="str">
        <f>"00942"</f>
        <v>00942</v>
      </c>
      <c r="B830" s="1" t="str">
        <f>"سعيد"</f>
        <v>سعيد</v>
      </c>
      <c r="C830" s="1" t="str">
        <f>"دشتي"</f>
        <v>دشتي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13757832</v>
      </c>
      <c r="G830" s="1">
        <v>19643321</v>
      </c>
      <c r="H830" s="1">
        <v>0</v>
      </c>
      <c r="I830" s="1">
        <v>15930589</v>
      </c>
      <c r="J830" s="1">
        <v>0</v>
      </c>
      <c r="K830" s="1">
        <v>4620000</v>
      </c>
      <c r="L830" s="1">
        <v>0</v>
      </c>
      <c r="M830" s="1">
        <v>400000</v>
      </c>
      <c r="N830" s="1">
        <v>2754173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1342000</v>
      </c>
      <c r="U830" s="1">
        <v>0</v>
      </c>
      <c r="V830" s="1">
        <v>8757819</v>
      </c>
      <c r="W830" s="1">
        <v>1100000</v>
      </c>
      <c r="X830" s="1">
        <v>2134836</v>
      </c>
      <c r="Y830" s="1">
        <v>0</v>
      </c>
      <c r="Z830" s="1">
        <v>0</v>
      </c>
      <c r="AA830" s="1">
        <v>0</v>
      </c>
      <c r="AB830" s="1">
        <v>0</v>
      </c>
      <c r="AC830" s="1">
        <v>1056157</v>
      </c>
      <c r="AD830" s="1">
        <v>0</v>
      </c>
      <c r="AE830" s="1">
        <v>1967265</v>
      </c>
      <c r="AF830" s="1">
        <v>2222538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10029147</v>
      </c>
      <c r="AM830" s="1">
        <v>0</v>
      </c>
      <c r="AN830" s="1">
        <v>85715677</v>
      </c>
      <c r="AO830" s="1">
        <v>14096027</v>
      </c>
      <c r="AP830" s="1">
        <v>71619650</v>
      </c>
      <c r="AQ830" s="1">
        <v>15039174</v>
      </c>
      <c r="AR830" s="1">
        <v>2255876</v>
      </c>
      <c r="AS830" s="1">
        <v>0</v>
      </c>
      <c r="AT830" s="1">
        <f t="shared" si="86"/>
        <v>103010727</v>
      </c>
    </row>
    <row r="831" spans="1:46" x14ac:dyDescent="0.2">
      <c r="A831" s="1" t="str">
        <f>"00943"</f>
        <v>00943</v>
      </c>
      <c r="B831" s="1" t="str">
        <f>"يحيي"</f>
        <v>يحيي</v>
      </c>
      <c r="C831" s="1" t="str">
        <f>"دهقان"</f>
        <v>دهقان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20782664</v>
      </c>
      <c r="G831" s="1">
        <v>0</v>
      </c>
      <c r="H831" s="1">
        <v>0</v>
      </c>
      <c r="I831" s="1">
        <v>18049470</v>
      </c>
      <c r="J831" s="1">
        <v>0</v>
      </c>
      <c r="K831" s="1">
        <v>5500000</v>
      </c>
      <c r="L831" s="1">
        <v>0</v>
      </c>
      <c r="M831" s="1">
        <v>400000</v>
      </c>
      <c r="N831" s="1">
        <v>3010741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1342000</v>
      </c>
      <c r="U831" s="1">
        <v>0</v>
      </c>
      <c r="V831" s="1">
        <v>10783798</v>
      </c>
      <c r="W831" s="1">
        <v>1100000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2150530</v>
      </c>
      <c r="AF831" s="1">
        <v>1111269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4473102</v>
      </c>
      <c r="AM831" s="1">
        <v>0</v>
      </c>
      <c r="AN831" s="1">
        <v>68703574</v>
      </c>
      <c r="AO831" s="1">
        <v>31180045</v>
      </c>
      <c r="AP831" s="1">
        <v>37523529</v>
      </c>
      <c r="AQ831" s="1">
        <v>13250061</v>
      </c>
      <c r="AR831" s="1">
        <v>1987509</v>
      </c>
      <c r="AS831" s="1">
        <v>0</v>
      </c>
      <c r="AT831" s="1">
        <f t="shared" si="86"/>
        <v>83941144</v>
      </c>
    </row>
    <row r="832" spans="1:46" x14ac:dyDescent="0.2">
      <c r="A832" s="1" t="str">
        <f>"00944"</f>
        <v>00944</v>
      </c>
      <c r="B832" s="1" t="str">
        <f>"علي"</f>
        <v>علي</v>
      </c>
      <c r="C832" s="1" t="str">
        <f>"دهقاني"</f>
        <v>دهقاني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10631628</v>
      </c>
      <c r="G832" s="1">
        <v>17991244</v>
      </c>
      <c r="H832" s="1">
        <v>0</v>
      </c>
      <c r="I832" s="1">
        <v>9884894</v>
      </c>
      <c r="J832" s="1">
        <v>0</v>
      </c>
      <c r="K832" s="1">
        <v>0</v>
      </c>
      <c r="L832" s="1">
        <v>0</v>
      </c>
      <c r="M832" s="1">
        <v>400000</v>
      </c>
      <c r="N832" s="1">
        <v>1882115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1342000</v>
      </c>
      <c r="U832" s="1">
        <v>0</v>
      </c>
      <c r="V832" s="1">
        <v>5728635</v>
      </c>
      <c r="W832" s="1">
        <v>1100000</v>
      </c>
      <c r="X832" s="1">
        <v>1649735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1344368</v>
      </c>
      <c r="AF832" s="1">
        <v>1111269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7222591</v>
      </c>
      <c r="AM832" s="1">
        <v>0</v>
      </c>
      <c r="AN832" s="1">
        <v>60288479</v>
      </c>
      <c r="AO832" s="1">
        <v>32037528</v>
      </c>
      <c r="AP832" s="1">
        <v>28250951</v>
      </c>
      <c r="AQ832" s="1">
        <v>11567042</v>
      </c>
      <c r="AR832" s="1">
        <v>1735056</v>
      </c>
      <c r="AS832" s="1">
        <v>0</v>
      </c>
      <c r="AT832" s="1">
        <f t="shared" si="86"/>
        <v>73590577</v>
      </c>
    </row>
    <row r="833" spans="1:46" x14ac:dyDescent="0.2">
      <c r="A833" s="1" t="str">
        <f>"00945"</f>
        <v>00945</v>
      </c>
      <c r="B833" s="1" t="str">
        <f>"محسن"</f>
        <v>محسن</v>
      </c>
      <c r="C833" s="1" t="str">
        <f>"رجبي کرهرودي"</f>
        <v>رجبي کرهرودي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10444062</v>
      </c>
      <c r="G833" s="1">
        <v>13608170</v>
      </c>
      <c r="H833" s="1">
        <v>0</v>
      </c>
      <c r="I833" s="1">
        <v>10304297</v>
      </c>
      <c r="J833" s="1">
        <v>0</v>
      </c>
      <c r="K833" s="1">
        <v>0</v>
      </c>
      <c r="L833" s="1">
        <v>0</v>
      </c>
      <c r="M833" s="1">
        <v>400000</v>
      </c>
      <c r="N833" s="1">
        <v>1820220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1342000</v>
      </c>
      <c r="U833" s="1">
        <v>0</v>
      </c>
      <c r="V833" s="1">
        <v>5597687</v>
      </c>
      <c r="W833" s="1">
        <v>1100000</v>
      </c>
      <c r="X833" s="1">
        <v>1620630</v>
      </c>
      <c r="Y833" s="1">
        <v>0</v>
      </c>
      <c r="Z833" s="1">
        <v>0</v>
      </c>
      <c r="AA833" s="1">
        <v>0</v>
      </c>
      <c r="AB833" s="1">
        <v>0</v>
      </c>
      <c r="AC833" s="1">
        <v>1084356</v>
      </c>
      <c r="AD833" s="1">
        <v>0</v>
      </c>
      <c r="AE833" s="1">
        <v>1300157</v>
      </c>
      <c r="AF833" s="1">
        <v>1111269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7033691</v>
      </c>
      <c r="AM833" s="1">
        <v>0</v>
      </c>
      <c r="AN833" s="1">
        <v>56766539</v>
      </c>
      <c r="AO833" s="1">
        <v>9881727</v>
      </c>
      <c r="AP833" s="1">
        <v>46884812</v>
      </c>
      <c r="AQ833" s="1">
        <v>10862654</v>
      </c>
      <c r="AR833" s="1">
        <v>1629398</v>
      </c>
      <c r="AS833" s="1">
        <v>0</v>
      </c>
      <c r="AT833" s="1">
        <f t="shared" si="86"/>
        <v>69258591</v>
      </c>
    </row>
    <row r="834" spans="1:46" x14ac:dyDescent="0.2">
      <c r="A834" s="1" t="str">
        <f>"00946"</f>
        <v>00946</v>
      </c>
      <c r="B834" s="1" t="str">
        <f>"فتح اله"</f>
        <v>فتح اله</v>
      </c>
      <c r="C834" s="1" t="str">
        <f>"روانان"</f>
        <v>روانان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10679757</v>
      </c>
      <c r="G834" s="1">
        <v>13391837</v>
      </c>
      <c r="H834" s="1">
        <v>0</v>
      </c>
      <c r="I834" s="1">
        <v>10265210</v>
      </c>
      <c r="J834" s="1">
        <v>0</v>
      </c>
      <c r="K834" s="1">
        <v>4620000</v>
      </c>
      <c r="L834" s="1">
        <v>0</v>
      </c>
      <c r="M834" s="1">
        <v>400000</v>
      </c>
      <c r="N834" s="1">
        <v>1900211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5508699</v>
      </c>
      <c r="W834" s="1">
        <v>1100000</v>
      </c>
      <c r="X834" s="1">
        <v>1657204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1357294</v>
      </c>
      <c r="AF834" s="1">
        <v>1111269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7275807</v>
      </c>
      <c r="AM834" s="1">
        <v>0</v>
      </c>
      <c r="AN834" s="1">
        <v>59267288</v>
      </c>
      <c r="AO834" s="1">
        <v>8348673</v>
      </c>
      <c r="AP834" s="1">
        <v>50918615</v>
      </c>
      <c r="AQ834" s="1">
        <v>11631204</v>
      </c>
      <c r="AR834" s="1">
        <v>1744681</v>
      </c>
      <c r="AS834" s="1">
        <v>0</v>
      </c>
      <c r="AT834" s="1">
        <f t="shared" si="86"/>
        <v>72643173</v>
      </c>
    </row>
    <row r="835" spans="1:46" x14ac:dyDescent="0.2">
      <c r="A835" s="1" t="str">
        <f>"00947"</f>
        <v>00947</v>
      </c>
      <c r="B835" s="1" t="str">
        <f>"عليرضا"</f>
        <v>عليرضا</v>
      </c>
      <c r="C835" s="1" t="str">
        <f>"زارع پور"</f>
        <v>زارع پور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12818061</v>
      </c>
      <c r="G835" s="1">
        <v>17720989</v>
      </c>
      <c r="H835" s="1">
        <v>0</v>
      </c>
      <c r="I835" s="1">
        <v>13968741</v>
      </c>
      <c r="J835" s="1">
        <v>0</v>
      </c>
      <c r="K835" s="1">
        <v>4620000</v>
      </c>
      <c r="L835" s="1">
        <v>0</v>
      </c>
      <c r="M835" s="1">
        <v>400000</v>
      </c>
      <c r="N835" s="1">
        <v>2425253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7900763</v>
      </c>
      <c r="W835" s="1">
        <v>1100000</v>
      </c>
      <c r="X835" s="1">
        <v>1989009</v>
      </c>
      <c r="Y835" s="1">
        <v>0</v>
      </c>
      <c r="Z835" s="1">
        <v>0</v>
      </c>
      <c r="AA835" s="1">
        <v>0</v>
      </c>
      <c r="AB835" s="1">
        <v>0</v>
      </c>
      <c r="AC835" s="1">
        <v>1056157</v>
      </c>
      <c r="AD835" s="1">
        <v>0</v>
      </c>
      <c r="AE835" s="1">
        <v>1732323</v>
      </c>
      <c r="AF835" s="1">
        <v>2222538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9042388</v>
      </c>
      <c r="AM835" s="1">
        <v>0</v>
      </c>
      <c r="AN835" s="1">
        <v>76996222</v>
      </c>
      <c r="AO835" s="1">
        <v>30520534</v>
      </c>
      <c r="AP835" s="1">
        <v>46475688</v>
      </c>
      <c r="AQ835" s="1">
        <v>14954737</v>
      </c>
      <c r="AR835" s="1">
        <v>2243211</v>
      </c>
      <c r="AS835" s="1">
        <v>0</v>
      </c>
      <c r="AT835" s="1">
        <f t="shared" ref="AT835:AT898" si="91">AS835+AR835+AQ835+AN835</f>
        <v>94194170</v>
      </c>
    </row>
    <row r="836" spans="1:46" x14ac:dyDescent="0.2">
      <c r="A836" s="1" t="str">
        <f>"00948"</f>
        <v>00948</v>
      </c>
      <c r="B836" s="1" t="str">
        <f>"سعيد"</f>
        <v>سعيد</v>
      </c>
      <c r="C836" s="1" t="str">
        <f>"زارعي"</f>
        <v>زارعي</v>
      </c>
      <c r="D836" s="1" t="str">
        <f t="shared" ref="D836:D869" si="92">"قراردادي بهره بردار"</f>
        <v>قراردادي بهره بردار</v>
      </c>
      <c r="E836" s="1" t="str">
        <f t="shared" ref="E836:E869" si="93">"پروژه بهره برداري نيروگاه بوشهر"</f>
        <v>پروژه بهره برداري نيروگاه بوشهر</v>
      </c>
      <c r="F836" s="1">
        <v>11552937</v>
      </c>
      <c r="G836" s="1">
        <v>20541161</v>
      </c>
      <c r="H836" s="1">
        <v>0</v>
      </c>
      <c r="I836" s="1">
        <v>11098996</v>
      </c>
      <c r="J836" s="1">
        <v>0</v>
      </c>
      <c r="K836" s="1">
        <v>3465000</v>
      </c>
      <c r="L836" s="1">
        <v>0</v>
      </c>
      <c r="M836" s="1">
        <v>400000</v>
      </c>
      <c r="N836" s="1">
        <v>2214046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1342000</v>
      </c>
      <c r="U836" s="1">
        <v>0</v>
      </c>
      <c r="V836" s="1">
        <v>6142491</v>
      </c>
      <c r="W836" s="1">
        <v>1100000</v>
      </c>
      <c r="X836" s="1">
        <v>1792697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1581462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6312512</v>
      </c>
      <c r="AM836" s="1">
        <v>0</v>
      </c>
      <c r="AN836" s="1">
        <v>67543302</v>
      </c>
      <c r="AO836" s="1">
        <v>12127099</v>
      </c>
      <c r="AP836" s="1">
        <v>55416203</v>
      </c>
      <c r="AQ836" s="1">
        <v>13240260</v>
      </c>
      <c r="AR836" s="1">
        <v>1986039</v>
      </c>
      <c r="AS836" s="1">
        <v>0</v>
      </c>
      <c r="AT836" s="1">
        <f t="shared" si="91"/>
        <v>82769601</v>
      </c>
    </row>
    <row r="837" spans="1:46" x14ac:dyDescent="0.2">
      <c r="A837" s="1" t="str">
        <f>"00949"</f>
        <v>00949</v>
      </c>
      <c r="B837" s="1" t="str">
        <f>"رضا"</f>
        <v>رضا</v>
      </c>
      <c r="C837" s="1" t="str">
        <f>"زبردست"</f>
        <v>زبردست</v>
      </c>
      <c r="D837" s="1" t="str">
        <f t="shared" si="92"/>
        <v>قراردادي بهره بردار</v>
      </c>
      <c r="E837" s="1" t="str">
        <f t="shared" si="93"/>
        <v>پروژه بهره برداري نيروگاه بوشهر</v>
      </c>
      <c r="F837" s="1">
        <v>11237456</v>
      </c>
      <c r="G837" s="1">
        <v>19890812</v>
      </c>
      <c r="H837" s="1">
        <v>0</v>
      </c>
      <c r="I837" s="1">
        <v>12035942</v>
      </c>
      <c r="J837" s="1">
        <v>0</v>
      </c>
      <c r="K837" s="1">
        <v>3465000</v>
      </c>
      <c r="L837" s="1">
        <v>0</v>
      </c>
      <c r="M837" s="1">
        <v>400000</v>
      </c>
      <c r="N837" s="1">
        <v>2119537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6639940</v>
      </c>
      <c r="W837" s="1">
        <v>1100000</v>
      </c>
      <c r="X837" s="1">
        <v>1743743</v>
      </c>
      <c r="Y837" s="1">
        <v>0</v>
      </c>
      <c r="Z837" s="1">
        <v>0</v>
      </c>
      <c r="AA837" s="1">
        <v>0</v>
      </c>
      <c r="AB837" s="1">
        <v>0</v>
      </c>
      <c r="AC837" s="1">
        <v>1071577</v>
      </c>
      <c r="AD837" s="1">
        <v>0</v>
      </c>
      <c r="AE837" s="1">
        <v>1513955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7913101</v>
      </c>
      <c r="AM837" s="1">
        <v>0</v>
      </c>
      <c r="AN837" s="1">
        <v>69131063</v>
      </c>
      <c r="AO837" s="1">
        <v>10224137</v>
      </c>
      <c r="AP837" s="1">
        <v>58906926</v>
      </c>
      <c r="AQ837" s="1">
        <v>13826213</v>
      </c>
      <c r="AR837" s="1">
        <v>2073932</v>
      </c>
      <c r="AS837" s="1">
        <v>0</v>
      </c>
      <c r="AT837" s="1">
        <f t="shared" si="91"/>
        <v>85031208</v>
      </c>
    </row>
    <row r="838" spans="1:46" x14ac:dyDescent="0.2">
      <c r="A838" s="1" t="str">
        <f>"00950"</f>
        <v>00950</v>
      </c>
      <c r="B838" s="1" t="str">
        <f>"قاسم"</f>
        <v>قاسم</v>
      </c>
      <c r="C838" s="1" t="str">
        <f>"زنده بودي"</f>
        <v>زنده بودي</v>
      </c>
      <c r="D838" s="1" t="str">
        <f t="shared" si="92"/>
        <v>قراردادي بهره بردار</v>
      </c>
      <c r="E838" s="1" t="str">
        <f t="shared" si="93"/>
        <v>پروژه بهره برداري نيروگاه بوشهر</v>
      </c>
      <c r="F838" s="1">
        <v>9316538</v>
      </c>
      <c r="G838" s="1">
        <v>11542839</v>
      </c>
      <c r="H838" s="1">
        <v>0</v>
      </c>
      <c r="I838" s="1">
        <v>8654218</v>
      </c>
      <c r="J838" s="1">
        <v>0</v>
      </c>
      <c r="K838" s="1">
        <v>4620000</v>
      </c>
      <c r="L838" s="1">
        <v>0</v>
      </c>
      <c r="M838" s="1">
        <v>400000</v>
      </c>
      <c r="N838" s="1">
        <v>1591184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1342000</v>
      </c>
      <c r="U838" s="1">
        <v>0</v>
      </c>
      <c r="V838" s="1">
        <v>4977082</v>
      </c>
      <c r="W838" s="1">
        <v>1100000</v>
      </c>
      <c r="X838" s="1">
        <v>1445670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1136560</v>
      </c>
      <c r="AF838" s="1">
        <v>1111269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6204642</v>
      </c>
      <c r="AM838" s="1">
        <v>0</v>
      </c>
      <c r="AN838" s="1">
        <v>53442002</v>
      </c>
      <c r="AO838" s="1">
        <v>9016558</v>
      </c>
      <c r="AP838" s="1">
        <v>44425444</v>
      </c>
      <c r="AQ838" s="1">
        <v>10197747</v>
      </c>
      <c r="AR838" s="1">
        <v>1529662</v>
      </c>
      <c r="AS838" s="1">
        <v>0</v>
      </c>
      <c r="AT838" s="1">
        <f t="shared" si="91"/>
        <v>65169411</v>
      </c>
    </row>
    <row r="839" spans="1:46" x14ac:dyDescent="0.2">
      <c r="A839" s="1" t="str">
        <f>"00951"</f>
        <v>00951</v>
      </c>
      <c r="B839" s="1" t="str">
        <f>"شهرام"</f>
        <v>شهرام</v>
      </c>
      <c r="C839" s="1" t="str">
        <f>"زنگنه"</f>
        <v>زنگنه</v>
      </c>
      <c r="D839" s="1" t="str">
        <f t="shared" si="92"/>
        <v>قراردادي بهره بردار</v>
      </c>
      <c r="E839" s="1" t="str">
        <f t="shared" si="93"/>
        <v>پروژه بهره برداري نيروگاه بوشهر</v>
      </c>
      <c r="F839" s="1">
        <v>13578911</v>
      </c>
      <c r="G839" s="1">
        <v>18120553</v>
      </c>
      <c r="H839" s="1">
        <v>0</v>
      </c>
      <c r="I839" s="1">
        <v>14332726</v>
      </c>
      <c r="J839" s="1">
        <v>0</v>
      </c>
      <c r="K839" s="1">
        <v>4620000</v>
      </c>
      <c r="L839" s="1">
        <v>0</v>
      </c>
      <c r="M839" s="1">
        <v>400000</v>
      </c>
      <c r="N839" s="1">
        <v>2588192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8078905</v>
      </c>
      <c r="W839" s="1">
        <v>1100000</v>
      </c>
      <c r="X839" s="1">
        <v>2107072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1848708</v>
      </c>
      <c r="AF839" s="1">
        <v>3333807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9619800</v>
      </c>
      <c r="AM839" s="1">
        <v>0</v>
      </c>
      <c r="AN839" s="1">
        <v>79728674</v>
      </c>
      <c r="AO839" s="1">
        <v>11836420</v>
      </c>
      <c r="AP839" s="1">
        <v>67892254</v>
      </c>
      <c r="AQ839" s="1">
        <v>15039174</v>
      </c>
      <c r="AR839" s="1">
        <v>2255876</v>
      </c>
      <c r="AS839" s="1">
        <v>0</v>
      </c>
      <c r="AT839" s="1">
        <f t="shared" si="91"/>
        <v>97023724</v>
      </c>
    </row>
    <row r="840" spans="1:46" x14ac:dyDescent="0.2">
      <c r="A840" s="1" t="str">
        <f>"00952"</f>
        <v>00952</v>
      </c>
      <c r="B840" s="1" t="str">
        <f>"علي"</f>
        <v>علي</v>
      </c>
      <c r="C840" s="1" t="str">
        <f>"ساعي"</f>
        <v>ساعي</v>
      </c>
      <c r="D840" s="1" t="str">
        <f t="shared" si="92"/>
        <v>قراردادي بهره بردار</v>
      </c>
      <c r="E840" s="1" t="str">
        <f t="shared" si="93"/>
        <v>پروژه بهره برداري نيروگاه بوشهر</v>
      </c>
      <c r="F840" s="1">
        <v>21425391</v>
      </c>
      <c r="G840" s="1">
        <v>14022503</v>
      </c>
      <c r="H840" s="1">
        <v>0</v>
      </c>
      <c r="I840" s="1">
        <v>19175071</v>
      </c>
      <c r="J840" s="1">
        <v>0</v>
      </c>
      <c r="K840" s="1">
        <v>0</v>
      </c>
      <c r="L840" s="1">
        <v>0</v>
      </c>
      <c r="M840" s="1">
        <v>400000</v>
      </c>
      <c r="N840" s="1">
        <v>3235696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10965197</v>
      </c>
      <c r="W840" s="1">
        <v>1100000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2311211</v>
      </c>
      <c r="AF840" s="1">
        <v>1111269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4853544</v>
      </c>
      <c r="AM840" s="1">
        <v>0</v>
      </c>
      <c r="AN840" s="1">
        <v>78599882</v>
      </c>
      <c r="AO840" s="1">
        <v>31258691</v>
      </c>
      <c r="AP840" s="1">
        <v>47341191</v>
      </c>
      <c r="AQ840" s="1">
        <v>15039174</v>
      </c>
      <c r="AR840" s="1">
        <v>2255876</v>
      </c>
      <c r="AS840" s="1">
        <v>0</v>
      </c>
      <c r="AT840" s="1">
        <f t="shared" si="91"/>
        <v>95894932</v>
      </c>
    </row>
    <row r="841" spans="1:46" x14ac:dyDescent="0.2">
      <c r="A841" s="1" t="str">
        <f>"00953"</f>
        <v>00953</v>
      </c>
      <c r="B841" s="1" t="str">
        <f>"علي اکبر"</f>
        <v>علي اکبر</v>
      </c>
      <c r="C841" s="1" t="str">
        <f>"سلماني مشکاني"</f>
        <v>سلماني مشکاني</v>
      </c>
      <c r="D841" s="1" t="str">
        <f t="shared" si="92"/>
        <v>قراردادي بهره بردار</v>
      </c>
      <c r="E841" s="1" t="str">
        <f t="shared" si="93"/>
        <v>پروژه بهره برداري نيروگاه بوشهر</v>
      </c>
      <c r="F841" s="1">
        <v>14365413</v>
      </c>
      <c r="G841" s="1">
        <v>6102558</v>
      </c>
      <c r="H841" s="1">
        <v>0</v>
      </c>
      <c r="I841" s="1">
        <v>14161879</v>
      </c>
      <c r="J841" s="1">
        <v>0</v>
      </c>
      <c r="K841" s="1">
        <v>4620000</v>
      </c>
      <c r="L841" s="1">
        <v>0</v>
      </c>
      <c r="M841" s="1">
        <v>400000</v>
      </c>
      <c r="N841" s="1">
        <v>2554245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3677386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1824461</v>
      </c>
      <c r="AF841" s="1">
        <v>2222538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3867856</v>
      </c>
      <c r="AM841" s="1">
        <v>0</v>
      </c>
      <c r="AN841" s="1">
        <v>54896336</v>
      </c>
      <c r="AO841" s="1">
        <v>9647801</v>
      </c>
      <c r="AP841" s="1">
        <v>45248535</v>
      </c>
      <c r="AQ841" s="1">
        <v>10534760</v>
      </c>
      <c r="AR841" s="1">
        <v>1580214</v>
      </c>
      <c r="AS841" s="1">
        <v>0</v>
      </c>
      <c r="AT841" s="1">
        <f t="shared" si="91"/>
        <v>67011310</v>
      </c>
    </row>
    <row r="842" spans="1:46" x14ac:dyDescent="0.2">
      <c r="A842" s="1" t="str">
        <f>"00954"</f>
        <v>00954</v>
      </c>
      <c r="B842" s="1" t="str">
        <f>"کامران"</f>
        <v>کامران</v>
      </c>
      <c r="C842" s="1" t="str">
        <f>"صادقي"</f>
        <v>صادقي</v>
      </c>
      <c r="D842" s="1" t="str">
        <f t="shared" si="92"/>
        <v>قراردادي بهره بردار</v>
      </c>
      <c r="E842" s="1" t="str">
        <f t="shared" si="93"/>
        <v>پروژه بهره برداري نيروگاه بوشهر</v>
      </c>
      <c r="F842" s="1">
        <v>12740099</v>
      </c>
      <c r="G842" s="1">
        <v>15534923</v>
      </c>
      <c r="H842" s="1">
        <v>0</v>
      </c>
      <c r="I842" s="1">
        <v>12308542</v>
      </c>
      <c r="J842" s="1">
        <v>0</v>
      </c>
      <c r="K842" s="1">
        <v>0</v>
      </c>
      <c r="L842" s="1">
        <v>0</v>
      </c>
      <c r="M842" s="1">
        <v>400000</v>
      </c>
      <c r="N842" s="1">
        <v>2369729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1342000</v>
      </c>
      <c r="U842" s="1">
        <v>0</v>
      </c>
      <c r="V842" s="1">
        <v>6926122</v>
      </c>
      <c r="W842" s="1">
        <v>1100000</v>
      </c>
      <c r="X842" s="1">
        <v>1976912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1692663</v>
      </c>
      <c r="AF842" s="1">
        <v>1111269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6868823</v>
      </c>
      <c r="AM842" s="1">
        <v>0</v>
      </c>
      <c r="AN842" s="1">
        <v>64371082</v>
      </c>
      <c r="AO842" s="1">
        <v>9120537</v>
      </c>
      <c r="AP842" s="1">
        <v>55250545</v>
      </c>
      <c r="AQ842" s="1">
        <v>12383563</v>
      </c>
      <c r="AR842" s="1">
        <v>1857534</v>
      </c>
      <c r="AS842" s="1">
        <v>0</v>
      </c>
      <c r="AT842" s="1">
        <f t="shared" si="91"/>
        <v>78612179</v>
      </c>
    </row>
    <row r="843" spans="1:46" x14ac:dyDescent="0.2">
      <c r="A843" s="1" t="str">
        <f>"00956"</f>
        <v>00956</v>
      </c>
      <c r="B843" s="1" t="str">
        <f>"امين"</f>
        <v>امين</v>
      </c>
      <c r="C843" s="1" t="str">
        <f>"ظاهري عبده وند"</f>
        <v>ظاهري عبده وند</v>
      </c>
      <c r="D843" s="1" t="str">
        <f t="shared" si="92"/>
        <v>قراردادي بهره بردار</v>
      </c>
      <c r="E843" s="1" t="str">
        <f t="shared" si="93"/>
        <v>پروژه بهره برداري نيروگاه بوشهر</v>
      </c>
      <c r="F843" s="1">
        <v>11050956</v>
      </c>
      <c r="G843" s="1">
        <v>24473675</v>
      </c>
      <c r="H843" s="1">
        <v>0</v>
      </c>
      <c r="I843" s="1">
        <v>11754380</v>
      </c>
      <c r="J843" s="1">
        <v>0</v>
      </c>
      <c r="K843" s="1">
        <v>4620000</v>
      </c>
      <c r="L843" s="1">
        <v>0</v>
      </c>
      <c r="M843" s="1">
        <v>400000</v>
      </c>
      <c r="N843" s="1">
        <v>2050150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1342000</v>
      </c>
      <c r="U843" s="1">
        <v>0</v>
      </c>
      <c r="V843" s="1">
        <v>6493934</v>
      </c>
      <c r="W843" s="1">
        <v>1100000</v>
      </c>
      <c r="X843" s="1">
        <v>1714803</v>
      </c>
      <c r="Y843" s="1">
        <v>0</v>
      </c>
      <c r="Z843" s="1">
        <v>0</v>
      </c>
      <c r="AA843" s="1">
        <v>0</v>
      </c>
      <c r="AB843" s="1">
        <v>0</v>
      </c>
      <c r="AC843" s="1">
        <v>1074006</v>
      </c>
      <c r="AD843" s="1">
        <v>0</v>
      </c>
      <c r="AE843" s="1">
        <v>1464393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7708465</v>
      </c>
      <c r="AM843" s="1">
        <v>0</v>
      </c>
      <c r="AN843" s="1">
        <v>75246762</v>
      </c>
      <c r="AO843" s="1">
        <v>32553219</v>
      </c>
      <c r="AP843" s="1">
        <v>42693543</v>
      </c>
      <c r="AQ843" s="1">
        <v>14780952</v>
      </c>
      <c r="AR843" s="1">
        <v>2217143</v>
      </c>
      <c r="AS843" s="1">
        <v>0</v>
      </c>
      <c r="AT843" s="1">
        <f t="shared" si="91"/>
        <v>92244857</v>
      </c>
    </row>
    <row r="844" spans="1:46" x14ac:dyDescent="0.2">
      <c r="A844" s="1" t="str">
        <f>"00957"</f>
        <v>00957</v>
      </c>
      <c r="B844" s="1" t="str">
        <f>"محمود"</f>
        <v>محمود</v>
      </c>
      <c r="C844" s="1" t="str">
        <f>"عابدي"</f>
        <v>عابدي</v>
      </c>
      <c r="D844" s="1" t="str">
        <f t="shared" si="92"/>
        <v>قراردادي بهره بردار</v>
      </c>
      <c r="E844" s="1" t="str">
        <f t="shared" si="93"/>
        <v>پروژه بهره برداري نيروگاه بوشهر</v>
      </c>
      <c r="F844" s="1">
        <v>11716567</v>
      </c>
      <c r="G844" s="1">
        <v>19234706</v>
      </c>
      <c r="H844" s="1">
        <v>0</v>
      </c>
      <c r="I844" s="1">
        <v>12330267</v>
      </c>
      <c r="J844" s="1">
        <v>0</v>
      </c>
      <c r="K844" s="1">
        <v>4620000</v>
      </c>
      <c r="L844" s="1">
        <v>0</v>
      </c>
      <c r="M844" s="1">
        <v>400000</v>
      </c>
      <c r="N844" s="1">
        <v>2290264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1342000</v>
      </c>
      <c r="U844" s="1">
        <v>0</v>
      </c>
      <c r="V844" s="1">
        <v>6824190</v>
      </c>
      <c r="W844" s="1">
        <v>1100000</v>
      </c>
      <c r="X844" s="1">
        <v>1818088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1635904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8422679</v>
      </c>
      <c r="AM844" s="1">
        <v>0</v>
      </c>
      <c r="AN844" s="1">
        <v>71734665</v>
      </c>
      <c r="AO844" s="1">
        <v>10374973</v>
      </c>
      <c r="AP844" s="1">
        <v>61359692</v>
      </c>
      <c r="AQ844" s="1">
        <v>14078533</v>
      </c>
      <c r="AR844" s="1">
        <v>2111780</v>
      </c>
      <c r="AS844" s="1">
        <v>0</v>
      </c>
      <c r="AT844" s="1">
        <f t="shared" si="91"/>
        <v>87924978</v>
      </c>
    </row>
    <row r="845" spans="1:46" x14ac:dyDescent="0.2">
      <c r="A845" s="1" t="str">
        <f>"00958"</f>
        <v>00958</v>
      </c>
      <c r="B845" s="1" t="str">
        <f>"هادي"</f>
        <v>هادي</v>
      </c>
      <c r="C845" s="1" t="str">
        <f>"عباسي"</f>
        <v>عباسي</v>
      </c>
      <c r="D845" s="1" t="str">
        <f t="shared" si="92"/>
        <v>قراردادي بهره بردار</v>
      </c>
      <c r="E845" s="1" t="str">
        <f t="shared" si="93"/>
        <v>پروژه بهره برداري نيروگاه بوشهر</v>
      </c>
      <c r="F845" s="1">
        <v>10505739</v>
      </c>
      <c r="G845" s="1">
        <v>16611987</v>
      </c>
      <c r="H845" s="1">
        <v>0</v>
      </c>
      <c r="I845" s="1">
        <v>9729799</v>
      </c>
      <c r="J845" s="1">
        <v>0</v>
      </c>
      <c r="K845" s="1">
        <v>0</v>
      </c>
      <c r="L845" s="1">
        <v>0</v>
      </c>
      <c r="M845" s="1">
        <v>400000</v>
      </c>
      <c r="N845" s="1">
        <v>1835373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1342000</v>
      </c>
      <c r="U845" s="1">
        <v>0</v>
      </c>
      <c r="V845" s="1">
        <v>5636312</v>
      </c>
      <c r="W845" s="1">
        <v>1100000</v>
      </c>
      <c r="X845" s="1">
        <v>1630201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1310980</v>
      </c>
      <c r="AF845" s="1">
        <v>1111269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7084663</v>
      </c>
      <c r="AM845" s="1">
        <v>0</v>
      </c>
      <c r="AN845" s="1">
        <v>58298323</v>
      </c>
      <c r="AO845" s="1">
        <v>23102036</v>
      </c>
      <c r="AP845" s="1">
        <v>35196287</v>
      </c>
      <c r="AQ845" s="1">
        <v>11169011</v>
      </c>
      <c r="AR845" s="1">
        <v>1675352</v>
      </c>
      <c r="AS845" s="1">
        <v>0</v>
      </c>
      <c r="AT845" s="1">
        <f t="shared" si="91"/>
        <v>71142686</v>
      </c>
    </row>
    <row r="846" spans="1:46" x14ac:dyDescent="0.2">
      <c r="A846" s="1" t="str">
        <f>"00959"</f>
        <v>00959</v>
      </c>
      <c r="B846" s="1" t="str">
        <f>"فرج اله"</f>
        <v>فرج اله</v>
      </c>
      <c r="C846" s="1" t="str">
        <f>"عرب انصاري"</f>
        <v>عرب انصاري</v>
      </c>
      <c r="D846" s="1" t="str">
        <f t="shared" si="92"/>
        <v>قراردادي بهره بردار</v>
      </c>
      <c r="E846" s="1" t="str">
        <f t="shared" si="93"/>
        <v>پروژه بهره برداري نيروگاه بوشهر</v>
      </c>
      <c r="F846" s="1">
        <v>21536566</v>
      </c>
      <c r="G846" s="1">
        <v>7330223</v>
      </c>
      <c r="H846" s="1">
        <v>0</v>
      </c>
      <c r="I846" s="1">
        <v>19916723</v>
      </c>
      <c r="J846" s="1">
        <v>0</v>
      </c>
      <c r="K846" s="1">
        <v>0</v>
      </c>
      <c r="L846" s="1">
        <v>0</v>
      </c>
      <c r="M846" s="1">
        <v>400000</v>
      </c>
      <c r="N846" s="1">
        <v>3274608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1342000</v>
      </c>
      <c r="U846" s="1">
        <v>0</v>
      </c>
      <c r="V846" s="1">
        <v>12853178</v>
      </c>
      <c r="W846" s="1">
        <v>1100000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2339005</v>
      </c>
      <c r="AF846" s="1">
        <v>2222538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4865131</v>
      </c>
      <c r="AM846" s="1">
        <v>0</v>
      </c>
      <c r="AN846" s="1">
        <v>77179972</v>
      </c>
      <c r="AO846" s="1">
        <v>38052600</v>
      </c>
      <c r="AP846" s="1">
        <v>39127372</v>
      </c>
      <c r="AQ846" s="1">
        <v>14723087</v>
      </c>
      <c r="AR846" s="1">
        <v>2208463</v>
      </c>
      <c r="AS846" s="1">
        <v>0</v>
      </c>
      <c r="AT846" s="1">
        <f t="shared" si="91"/>
        <v>94111522</v>
      </c>
    </row>
    <row r="847" spans="1:46" x14ac:dyDescent="0.2">
      <c r="A847" s="1" t="str">
        <f>"00960"</f>
        <v>00960</v>
      </c>
      <c r="B847" s="1" t="str">
        <f>"کورش"</f>
        <v>کورش</v>
      </c>
      <c r="C847" s="1" t="str">
        <f>"عفيفيان"</f>
        <v>عفيفيان</v>
      </c>
      <c r="D847" s="1" t="str">
        <f t="shared" si="92"/>
        <v>قراردادي بهره بردار</v>
      </c>
      <c r="E847" s="1" t="str">
        <f t="shared" si="93"/>
        <v>پروژه بهره برداري نيروگاه بوشهر</v>
      </c>
      <c r="F847" s="1">
        <v>20928581</v>
      </c>
      <c r="G847" s="1">
        <v>35694964</v>
      </c>
      <c r="H847" s="1">
        <v>0</v>
      </c>
      <c r="I847" s="1">
        <v>20819693</v>
      </c>
      <c r="J847" s="1">
        <v>0</v>
      </c>
      <c r="K847" s="1">
        <v>5500000</v>
      </c>
      <c r="L847" s="1">
        <v>0</v>
      </c>
      <c r="M847" s="1">
        <v>400000</v>
      </c>
      <c r="N847" s="1">
        <v>3061812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1342000</v>
      </c>
      <c r="U847" s="1">
        <v>0</v>
      </c>
      <c r="V847" s="1">
        <v>11495059</v>
      </c>
      <c r="W847" s="1">
        <v>1100000</v>
      </c>
      <c r="X847" s="1">
        <v>3247538</v>
      </c>
      <c r="Y847" s="1">
        <v>0</v>
      </c>
      <c r="Z847" s="1">
        <v>0</v>
      </c>
      <c r="AA847" s="1">
        <v>0</v>
      </c>
      <c r="AB847" s="1">
        <v>0</v>
      </c>
      <c r="AC847" s="1">
        <v>2345085</v>
      </c>
      <c r="AD847" s="1">
        <v>0</v>
      </c>
      <c r="AE847" s="1">
        <v>2187009</v>
      </c>
      <c r="AF847" s="1">
        <v>2222538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11964798</v>
      </c>
      <c r="AM847" s="1">
        <v>0</v>
      </c>
      <c r="AN847" s="1">
        <v>122309077</v>
      </c>
      <c r="AO847" s="1">
        <v>17916567</v>
      </c>
      <c r="AP847" s="1">
        <v>104392510</v>
      </c>
      <c r="AQ847" s="1">
        <v>15039174</v>
      </c>
      <c r="AR847" s="1">
        <v>2255876</v>
      </c>
      <c r="AS847" s="1">
        <v>0</v>
      </c>
      <c r="AT847" s="1">
        <f t="shared" si="91"/>
        <v>139604127</v>
      </c>
    </row>
    <row r="848" spans="1:46" x14ac:dyDescent="0.2">
      <c r="A848" s="1" t="str">
        <f>"00961"</f>
        <v>00961</v>
      </c>
      <c r="B848" s="1" t="str">
        <f>"احمد"</f>
        <v>احمد</v>
      </c>
      <c r="C848" s="1" t="str">
        <f>"علي زاده"</f>
        <v>علي زاده</v>
      </c>
      <c r="D848" s="1" t="str">
        <f t="shared" si="92"/>
        <v>قراردادي بهره بردار</v>
      </c>
      <c r="E848" s="1" t="str">
        <f t="shared" si="93"/>
        <v>پروژه بهره برداري نيروگاه بوشهر</v>
      </c>
      <c r="F848" s="1">
        <v>11684776</v>
      </c>
      <c r="G848" s="1">
        <v>15557411</v>
      </c>
      <c r="H848" s="1">
        <v>0</v>
      </c>
      <c r="I848" s="1">
        <v>12282959</v>
      </c>
      <c r="J848" s="1">
        <v>0</v>
      </c>
      <c r="K848" s="1">
        <v>4620000</v>
      </c>
      <c r="L848" s="1">
        <v>0</v>
      </c>
      <c r="M848" s="1">
        <v>400000</v>
      </c>
      <c r="N848" s="1">
        <v>2278065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1342000</v>
      </c>
      <c r="U848" s="1">
        <v>0</v>
      </c>
      <c r="V848" s="1">
        <v>6708097</v>
      </c>
      <c r="W848" s="1">
        <v>1100000</v>
      </c>
      <c r="X848" s="1">
        <v>1813155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1627189</v>
      </c>
      <c r="AF848" s="1">
        <v>2222538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8387001</v>
      </c>
      <c r="AM848" s="1">
        <v>0</v>
      </c>
      <c r="AN848" s="1">
        <v>70023191</v>
      </c>
      <c r="AO848" s="1">
        <v>9928663</v>
      </c>
      <c r="AP848" s="1">
        <v>60094528</v>
      </c>
      <c r="AQ848" s="1">
        <v>13291731</v>
      </c>
      <c r="AR848" s="1">
        <v>1993760</v>
      </c>
      <c r="AS848" s="1">
        <v>0</v>
      </c>
      <c r="AT848" s="1">
        <f t="shared" si="91"/>
        <v>85308682</v>
      </c>
    </row>
    <row r="849" spans="1:46" x14ac:dyDescent="0.2">
      <c r="A849" s="1" t="str">
        <f>"00962"</f>
        <v>00962</v>
      </c>
      <c r="B849" s="1" t="str">
        <f>"کيانوش"</f>
        <v>کيانوش</v>
      </c>
      <c r="C849" s="1" t="str">
        <f>"غذباني"</f>
        <v>غذباني</v>
      </c>
      <c r="D849" s="1" t="str">
        <f t="shared" si="92"/>
        <v>قراردادي بهره بردار</v>
      </c>
      <c r="E849" s="1" t="str">
        <f t="shared" si="93"/>
        <v>پروژه بهره برداري نيروگاه بوشهر</v>
      </c>
      <c r="F849" s="1">
        <v>11370883</v>
      </c>
      <c r="G849" s="1">
        <v>14826645</v>
      </c>
      <c r="H849" s="1">
        <v>0</v>
      </c>
      <c r="I849" s="1">
        <v>11228700</v>
      </c>
      <c r="J849" s="1">
        <v>0</v>
      </c>
      <c r="K849" s="1">
        <v>4620000</v>
      </c>
      <c r="L849" s="1">
        <v>0</v>
      </c>
      <c r="M849" s="1">
        <v>400000</v>
      </c>
      <c r="N849" s="1">
        <v>2159265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1342000</v>
      </c>
      <c r="U849" s="1">
        <v>0</v>
      </c>
      <c r="V849" s="1">
        <v>6610341</v>
      </c>
      <c r="W849" s="1">
        <v>1100000</v>
      </c>
      <c r="X849" s="1">
        <v>1764447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1542332</v>
      </c>
      <c r="AF849" s="1">
        <v>2222538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8038261</v>
      </c>
      <c r="AM849" s="1">
        <v>0</v>
      </c>
      <c r="AN849" s="1">
        <v>67225412</v>
      </c>
      <c r="AO849" s="1">
        <v>9437344</v>
      </c>
      <c r="AP849" s="1">
        <v>57788068</v>
      </c>
      <c r="AQ849" s="1">
        <v>12732175</v>
      </c>
      <c r="AR849" s="1">
        <v>1909826</v>
      </c>
      <c r="AS849" s="1">
        <v>0</v>
      </c>
      <c r="AT849" s="1">
        <f t="shared" si="91"/>
        <v>81867413</v>
      </c>
    </row>
    <row r="850" spans="1:46" x14ac:dyDescent="0.2">
      <c r="A850" s="1" t="str">
        <f>"00963"</f>
        <v>00963</v>
      </c>
      <c r="B850" s="1" t="str">
        <f>"پشوتن"</f>
        <v>پشوتن</v>
      </c>
      <c r="C850" s="1" t="str">
        <f>"قائدي"</f>
        <v>قائدي</v>
      </c>
      <c r="D850" s="1" t="str">
        <f t="shared" si="92"/>
        <v>قراردادي بهره بردار</v>
      </c>
      <c r="E850" s="1" t="str">
        <f t="shared" si="93"/>
        <v>پروژه بهره برداري نيروگاه بوشهر</v>
      </c>
      <c r="F850" s="1">
        <v>14075721</v>
      </c>
      <c r="G850" s="1">
        <v>19507904</v>
      </c>
      <c r="H850" s="1">
        <v>0</v>
      </c>
      <c r="I850" s="1">
        <v>15830708</v>
      </c>
      <c r="J850" s="1">
        <v>0</v>
      </c>
      <c r="K850" s="1">
        <v>4620000</v>
      </c>
      <c r="L850" s="1">
        <v>0</v>
      </c>
      <c r="M850" s="1">
        <v>400000</v>
      </c>
      <c r="N850" s="1">
        <v>2865433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1342000</v>
      </c>
      <c r="U850" s="1">
        <v>0</v>
      </c>
      <c r="V850" s="1">
        <v>8697444</v>
      </c>
      <c r="W850" s="1">
        <v>1100000</v>
      </c>
      <c r="X850" s="1">
        <v>2184164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2046738</v>
      </c>
      <c r="AF850" s="1">
        <v>2222538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10362931</v>
      </c>
      <c r="AM850" s="1">
        <v>0</v>
      </c>
      <c r="AN850" s="1">
        <v>85255581</v>
      </c>
      <c r="AO850" s="1">
        <v>14442738</v>
      </c>
      <c r="AP850" s="1">
        <v>70812843</v>
      </c>
      <c r="AQ850" s="1">
        <v>15039174</v>
      </c>
      <c r="AR850" s="1">
        <v>2255876</v>
      </c>
      <c r="AS850" s="1">
        <v>0</v>
      </c>
      <c r="AT850" s="1">
        <f t="shared" si="91"/>
        <v>102550631</v>
      </c>
    </row>
    <row r="851" spans="1:46" x14ac:dyDescent="0.2">
      <c r="A851" s="1" t="str">
        <f>"00964"</f>
        <v>00964</v>
      </c>
      <c r="B851" s="1" t="str">
        <f>"داوود"</f>
        <v>داوود</v>
      </c>
      <c r="C851" s="1" t="str">
        <f>"قايدي"</f>
        <v>قايدي</v>
      </c>
      <c r="D851" s="1" t="str">
        <f t="shared" si="92"/>
        <v>قراردادي بهره بردار</v>
      </c>
      <c r="E851" s="1" t="str">
        <f t="shared" si="93"/>
        <v>پروژه بهره برداري نيروگاه بوشهر</v>
      </c>
      <c r="F851" s="1">
        <v>12884601</v>
      </c>
      <c r="G851" s="1">
        <v>21576873</v>
      </c>
      <c r="H851" s="1">
        <v>0</v>
      </c>
      <c r="I851" s="1">
        <v>12702140</v>
      </c>
      <c r="J851" s="1">
        <v>0</v>
      </c>
      <c r="K851" s="1">
        <v>0</v>
      </c>
      <c r="L851" s="1">
        <v>0</v>
      </c>
      <c r="M851" s="1">
        <v>400000</v>
      </c>
      <c r="N851" s="1">
        <v>2437000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1342000</v>
      </c>
      <c r="U851" s="1">
        <v>0</v>
      </c>
      <c r="V851" s="1">
        <v>7284746</v>
      </c>
      <c r="W851" s="1">
        <v>1100000</v>
      </c>
      <c r="X851" s="1">
        <v>1999335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1740713</v>
      </c>
      <c r="AF851" s="1">
        <v>1111269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9087523</v>
      </c>
      <c r="AM851" s="1">
        <v>0</v>
      </c>
      <c r="AN851" s="1">
        <v>73666200</v>
      </c>
      <c r="AO851" s="1">
        <v>19951195</v>
      </c>
      <c r="AP851" s="1">
        <v>53715005</v>
      </c>
      <c r="AQ851" s="1">
        <v>14242586</v>
      </c>
      <c r="AR851" s="1">
        <v>2136388</v>
      </c>
      <c r="AS851" s="1">
        <v>0</v>
      </c>
      <c r="AT851" s="1">
        <f t="shared" si="91"/>
        <v>90045174</v>
      </c>
    </row>
    <row r="852" spans="1:46" x14ac:dyDescent="0.2">
      <c r="A852" s="1" t="str">
        <f>"00965"</f>
        <v>00965</v>
      </c>
      <c r="B852" s="1" t="str">
        <f>"اسدالله"</f>
        <v>اسدالله</v>
      </c>
      <c r="C852" s="1" t="str">
        <f>"قبادي فر"</f>
        <v>قبادي فر</v>
      </c>
      <c r="D852" s="1" t="str">
        <f t="shared" si="92"/>
        <v>قراردادي بهره بردار</v>
      </c>
      <c r="E852" s="1" t="str">
        <f t="shared" si="93"/>
        <v>پروژه بهره برداري نيروگاه بوشهر</v>
      </c>
      <c r="F852" s="1">
        <v>13815156</v>
      </c>
      <c r="G852" s="1">
        <v>18408103</v>
      </c>
      <c r="H852" s="1">
        <v>0</v>
      </c>
      <c r="I852" s="1">
        <v>13973994</v>
      </c>
      <c r="J852" s="1">
        <v>0</v>
      </c>
      <c r="K852" s="1">
        <v>4620000</v>
      </c>
      <c r="L852" s="1">
        <v>0</v>
      </c>
      <c r="M852" s="1">
        <v>400000</v>
      </c>
      <c r="N852" s="1">
        <v>2774236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1342000</v>
      </c>
      <c r="U852" s="1">
        <v>0</v>
      </c>
      <c r="V852" s="1">
        <v>8207106</v>
      </c>
      <c r="W852" s="1">
        <v>1100000</v>
      </c>
      <c r="X852" s="1">
        <v>2143731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1981597</v>
      </c>
      <c r="AF852" s="1">
        <v>1111269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10089337</v>
      </c>
      <c r="AM852" s="1">
        <v>0</v>
      </c>
      <c r="AN852" s="1">
        <v>79966529</v>
      </c>
      <c r="AO852" s="1">
        <v>15534993</v>
      </c>
      <c r="AP852" s="1">
        <v>64431536</v>
      </c>
      <c r="AQ852" s="1">
        <v>15039174</v>
      </c>
      <c r="AR852" s="1">
        <v>2255876</v>
      </c>
      <c r="AS852" s="1">
        <v>0</v>
      </c>
      <c r="AT852" s="1">
        <f t="shared" si="91"/>
        <v>97261579</v>
      </c>
    </row>
    <row r="853" spans="1:46" x14ac:dyDescent="0.2">
      <c r="A853" s="1" t="str">
        <f>"00966"</f>
        <v>00966</v>
      </c>
      <c r="B853" s="1" t="str">
        <f>"جواد"</f>
        <v>جواد</v>
      </c>
      <c r="C853" s="1" t="str">
        <f>"قربان پور"</f>
        <v>قربان پور</v>
      </c>
      <c r="D853" s="1" t="str">
        <f t="shared" si="92"/>
        <v>قراردادي بهره بردار</v>
      </c>
      <c r="E853" s="1" t="str">
        <f t="shared" si="93"/>
        <v>پروژه بهره برداري نيروگاه بوشهر</v>
      </c>
      <c r="F853" s="1">
        <v>13303250</v>
      </c>
      <c r="G853" s="1">
        <v>24311714</v>
      </c>
      <c r="H853" s="1">
        <v>0</v>
      </c>
      <c r="I853" s="1">
        <v>12514520</v>
      </c>
      <c r="J853" s="1">
        <v>0</v>
      </c>
      <c r="K853" s="1">
        <v>4620000</v>
      </c>
      <c r="L853" s="1">
        <v>0</v>
      </c>
      <c r="M853" s="1">
        <v>400000</v>
      </c>
      <c r="N853" s="1">
        <v>2576519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7226123</v>
      </c>
      <c r="W853" s="1">
        <v>1100000</v>
      </c>
      <c r="X853" s="1">
        <v>2064297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1840371</v>
      </c>
      <c r="AF853" s="1">
        <v>1111269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7303642</v>
      </c>
      <c r="AM853" s="1">
        <v>0</v>
      </c>
      <c r="AN853" s="1">
        <v>78371705</v>
      </c>
      <c r="AO853" s="1">
        <v>13812492</v>
      </c>
      <c r="AP853" s="1">
        <v>64559213</v>
      </c>
      <c r="AQ853" s="1">
        <v>15039174</v>
      </c>
      <c r="AR853" s="1">
        <v>2255876</v>
      </c>
      <c r="AS853" s="1">
        <v>0</v>
      </c>
      <c r="AT853" s="1">
        <f t="shared" si="91"/>
        <v>95666755</v>
      </c>
    </row>
    <row r="854" spans="1:46" x14ac:dyDescent="0.2">
      <c r="A854" s="1" t="str">
        <f>"00967"</f>
        <v>00967</v>
      </c>
      <c r="B854" s="1" t="str">
        <f>"حميد"</f>
        <v>حميد</v>
      </c>
      <c r="C854" s="1" t="str">
        <f>"قياسوند"</f>
        <v>قياسوند</v>
      </c>
      <c r="D854" s="1" t="str">
        <f t="shared" si="92"/>
        <v>قراردادي بهره بردار</v>
      </c>
      <c r="E854" s="1" t="str">
        <f t="shared" si="93"/>
        <v>پروژه بهره برداري نيروگاه بوشهر</v>
      </c>
      <c r="F854" s="1">
        <v>17843491</v>
      </c>
      <c r="G854" s="1">
        <v>15848573</v>
      </c>
      <c r="H854" s="1">
        <v>0</v>
      </c>
      <c r="I854" s="1">
        <v>18642188</v>
      </c>
      <c r="J854" s="1">
        <v>0</v>
      </c>
      <c r="K854" s="1">
        <v>0</v>
      </c>
      <c r="L854" s="1">
        <v>0</v>
      </c>
      <c r="M854" s="1">
        <v>400000</v>
      </c>
      <c r="N854" s="1">
        <v>2734108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9166652</v>
      </c>
      <c r="W854" s="1">
        <v>1100000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2345085</v>
      </c>
      <c r="AD854" s="1">
        <v>0</v>
      </c>
      <c r="AE854" s="1">
        <v>1952934</v>
      </c>
      <c r="AF854" s="1">
        <v>3333807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4101163</v>
      </c>
      <c r="AM854" s="1">
        <v>0</v>
      </c>
      <c r="AN854" s="1">
        <v>77468001</v>
      </c>
      <c r="AO854" s="1">
        <v>11936300</v>
      </c>
      <c r="AP854" s="1">
        <v>65531701</v>
      </c>
      <c r="AQ854" s="1">
        <v>14826839</v>
      </c>
      <c r="AR854" s="1">
        <v>2224026</v>
      </c>
      <c r="AS854" s="1">
        <v>0</v>
      </c>
      <c r="AT854" s="1">
        <f t="shared" si="91"/>
        <v>94518866</v>
      </c>
    </row>
    <row r="855" spans="1:46" x14ac:dyDescent="0.2">
      <c r="A855" s="1" t="str">
        <f>"00968"</f>
        <v>00968</v>
      </c>
      <c r="B855" s="1" t="str">
        <f>"پيمان"</f>
        <v>پيمان</v>
      </c>
      <c r="C855" s="1" t="str">
        <f>"كمري قنواتي"</f>
        <v>كمري قنواتي</v>
      </c>
      <c r="D855" s="1" t="str">
        <f t="shared" si="92"/>
        <v>قراردادي بهره بردار</v>
      </c>
      <c r="E855" s="1" t="str">
        <f t="shared" si="93"/>
        <v>پروژه بهره برداري نيروگاه بوشهر</v>
      </c>
      <c r="F855" s="1">
        <v>10996630</v>
      </c>
      <c r="G855" s="1">
        <v>14354552</v>
      </c>
      <c r="H855" s="1">
        <v>0</v>
      </c>
      <c r="I855" s="1">
        <v>10422307</v>
      </c>
      <c r="J855" s="1">
        <v>0</v>
      </c>
      <c r="K855" s="1">
        <v>4620000</v>
      </c>
      <c r="L855" s="1">
        <v>0</v>
      </c>
      <c r="M855" s="1">
        <v>400000</v>
      </c>
      <c r="N855" s="1">
        <v>2022557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6259880</v>
      </c>
      <c r="W855" s="1">
        <v>1100000</v>
      </c>
      <c r="X855" s="1">
        <v>1706374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1444683</v>
      </c>
      <c r="AF855" s="1">
        <v>2222538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8499850</v>
      </c>
      <c r="AM855" s="1">
        <v>0</v>
      </c>
      <c r="AN855" s="1">
        <v>64049371</v>
      </c>
      <c r="AO855" s="1">
        <v>24315746</v>
      </c>
      <c r="AP855" s="1">
        <v>39733625</v>
      </c>
      <c r="AQ855" s="1">
        <v>12365367</v>
      </c>
      <c r="AR855" s="1">
        <v>1854805</v>
      </c>
      <c r="AS855" s="1">
        <v>0</v>
      </c>
      <c r="AT855" s="1">
        <f t="shared" si="91"/>
        <v>78269543</v>
      </c>
    </row>
    <row r="856" spans="1:46" x14ac:dyDescent="0.2">
      <c r="A856" s="1" t="str">
        <f>"00969"</f>
        <v>00969</v>
      </c>
      <c r="B856" s="1" t="str">
        <f>"فرشيد"</f>
        <v>فرشيد</v>
      </c>
      <c r="C856" s="1" t="str">
        <f>"كولاني"</f>
        <v>كولاني</v>
      </c>
      <c r="D856" s="1" t="str">
        <f t="shared" si="92"/>
        <v>قراردادي بهره بردار</v>
      </c>
      <c r="E856" s="1" t="str">
        <f t="shared" si="93"/>
        <v>پروژه بهره برداري نيروگاه بوشهر</v>
      </c>
      <c r="F856" s="1">
        <v>17787904</v>
      </c>
      <c r="G856" s="1">
        <v>7499961</v>
      </c>
      <c r="H856" s="1">
        <v>0</v>
      </c>
      <c r="I856" s="1">
        <v>15796786</v>
      </c>
      <c r="J856" s="1">
        <v>0</v>
      </c>
      <c r="K856" s="1">
        <v>0</v>
      </c>
      <c r="L856" s="1">
        <v>0</v>
      </c>
      <c r="M856" s="1">
        <v>400000</v>
      </c>
      <c r="N856" s="1">
        <v>2521314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1342000</v>
      </c>
      <c r="U856" s="1">
        <v>0</v>
      </c>
      <c r="V856" s="1">
        <v>8025116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1800939</v>
      </c>
      <c r="AF856" s="1">
        <v>2222538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3781970</v>
      </c>
      <c r="AM856" s="1">
        <v>0</v>
      </c>
      <c r="AN856" s="1">
        <v>62278528</v>
      </c>
      <c r="AO856" s="1">
        <v>25545335</v>
      </c>
      <c r="AP856" s="1">
        <v>36733193</v>
      </c>
      <c r="AQ856" s="1">
        <v>11742798</v>
      </c>
      <c r="AR856" s="1">
        <v>1761420</v>
      </c>
      <c r="AS856" s="1">
        <v>0</v>
      </c>
      <c r="AT856" s="1">
        <f t="shared" si="91"/>
        <v>75782746</v>
      </c>
    </row>
    <row r="857" spans="1:46" x14ac:dyDescent="0.2">
      <c r="A857" s="1" t="str">
        <f>"00970"</f>
        <v>00970</v>
      </c>
      <c r="B857" s="1" t="str">
        <f>"داود"</f>
        <v>داود</v>
      </c>
      <c r="C857" s="1" t="str">
        <f>"لحصائي"</f>
        <v>لحصائي</v>
      </c>
      <c r="D857" s="1" t="str">
        <f t="shared" si="92"/>
        <v>قراردادي بهره بردار</v>
      </c>
      <c r="E857" s="1" t="str">
        <f t="shared" si="93"/>
        <v>پروژه بهره برداري نيروگاه بوشهر</v>
      </c>
      <c r="F857" s="1">
        <v>11615149</v>
      </c>
      <c r="G857" s="1">
        <v>15376120</v>
      </c>
      <c r="H857" s="1">
        <v>0</v>
      </c>
      <c r="I857" s="1">
        <v>11978446</v>
      </c>
      <c r="J857" s="1">
        <v>0</v>
      </c>
      <c r="K857" s="1">
        <v>0</v>
      </c>
      <c r="L857" s="1">
        <v>0</v>
      </c>
      <c r="M857" s="1">
        <v>400000</v>
      </c>
      <c r="N857" s="1">
        <v>2251372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1342000</v>
      </c>
      <c r="U857" s="1">
        <v>0</v>
      </c>
      <c r="V857" s="1">
        <v>6705375</v>
      </c>
      <c r="W857" s="1">
        <v>1100000</v>
      </c>
      <c r="X857" s="1">
        <v>1802351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1608123</v>
      </c>
      <c r="AF857" s="1">
        <v>2222538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8308914</v>
      </c>
      <c r="AM857" s="1">
        <v>0</v>
      </c>
      <c r="AN857" s="1">
        <v>64710388</v>
      </c>
      <c r="AO857" s="1">
        <v>12199036</v>
      </c>
      <c r="AP857" s="1">
        <v>52511352</v>
      </c>
      <c r="AQ857" s="1">
        <v>12229170</v>
      </c>
      <c r="AR857" s="1">
        <v>1834376</v>
      </c>
      <c r="AS857" s="1">
        <v>0</v>
      </c>
      <c r="AT857" s="1">
        <f t="shared" si="91"/>
        <v>78773934</v>
      </c>
    </row>
    <row r="858" spans="1:46" x14ac:dyDescent="0.2">
      <c r="A858" s="1" t="str">
        <f>"00971"</f>
        <v>00971</v>
      </c>
      <c r="B858" s="1" t="str">
        <f>"مجتبي"</f>
        <v>مجتبي</v>
      </c>
      <c r="C858" s="1" t="str">
        <f>"مصيبي"</f>
        <v>مصيبي</v>
      </c>
      <c r="D858" s="1" t="str">
        <f t="shared" si="92"/>
        <v>قراردادي بهره بردار</v>
      </c>
      <c r="E858" s="1" t="str">
        <f t="shared" si="93"/>
        <v>پروژه بهره برداري نيروگاه بوشهر</v>
      </c>
      <c r="F858" s="1">
        <v>11043933</v>
      </c>
      <c r="G858" s="1">
        <v>28514994</v>
      </c>
      <c r="H858" s="1">
        <v>0</v>
      </c>
      <c r="I858" s="1">
        <v>11012129</v>
      </c>
      <c r="J858" s="1">
        <v>0</v>
      </c>
      <c r="K858" s="1">
        <v>4620000</v>
      </c>
      <c r="L858" s="1">
        <v>0</v>
      </c>
      <c r="M858" s="1">
        <v>400000</v>
      </c>
      <c r="N858" s="1">
        <v>2038040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6147597</v>
      </c>
      <c r="W858" s="1">
        <v>1100000</v>
      </c>
      <c r="X858" s="1">
        <v>1713714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1455743</v>
      </c>
      <c r="AF858" s="1">
        <v>1111269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7680407</v>
      </c>
      <c r="AM858" s="1">
        <v>0</v>
      </c>
      <c r="AN858" s="1">
        <v>76837826</v>
      </c>
      <c r="AO858" s="1">
        <v>11316319</v>
      </c>
      <c r="AP858" s="1">
        <v>65521507</v>
      </c>
      <c r="AQ858" s="1">
        <v>15039174</v>
      </c>
      <c r="AR858" s="1">
        <v>2255876</v>
      </c>
      <c r="AS858" s="1">
        <v>0</v>
      </c>
      <c r="AT858" s="1">
        <f t="shared" si="91"/>
        <v>94132876</v>
      </c>
    </row>
    <row r="859" spans="1:46" x14ac:dyDescent="0.2">
      <c r="A859" s="1" t="str">
        <f>"00972"</f>
        <v>00972</v>
      </c>
      <c r="B859" s="1" t="str">
        <f>"رضا"</f>
        <v>رضا</v>
      </c>
      <c r="C859" s="1" t="str">
        <f>"مقدم"</f>
        <v>مقدم</v>
      </c>
      <c r="D859" s="1" t="str">
        <f t="shared" si="92"/>
        <v>قراردادي بهره بردار</v>
      </c>
      <c r="E859" s="1" t="str">
        <f t="shared" si="93"/>
        <v>پروژه بهره برداري نيروگاه بوشهر</v>
      </c>
      <c r="F859" s="1">
        <v>20006181</v>
      </c>
      <c r="G859" s="1">
        <v>28494743</v>
      </c>
      <c r="H859" s="1">
        <v>0</v>
      </c>
      <c r="I859" s="1">
        <v>20756103</v>
      </c>
      <c r="J859" s="1">
        <v>0</v>
      </c>
      <c r="K859" s="1">
        <v>5500000</v>
      </c>
      <c r="L859" s="1">
        <v>0</v>
      </c>
      <c r="M859" s="1">
        <v>400000</v>
      </c>
      <c r="N859" s="1">
        <v>3297711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12502204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4299323</v>
      </c>
      <c r="AD859" s="1">
        <v>0</v>
      </c>
      <c r="AE859" s="1">
        <v>2355508</v>
      </c>
      <c r="AF859" s="1">
        <v>2222538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4239914</v>
      </c>
      <c r="AM859" s="1">
        <v>0</v>
      </c>
      <c r="AN859" s="1">
        <v>105174225</v>
      </c>
      <c r="AO859" s="1">
        <v>38145333</v>
      </c>
      <c r="AP859" s="1">
        <v>67028892</v>
      </c>
      <c r="AQ859" s="1">
        <v>15039174</v>
      </c>
      <c r="AR859" s="1">
        <v>2255876</v>
      </c>
      <c r="AS859" s="1">
        <v>0</v>
      </c>
      <c r="AT859" s="1">
        <f t="shared" si="91"/>
        <v>122469275</v>
      </c>
    </row>
    <row r="860" spans="1:46" x14ac:dyDescent="0.2">
      <c r="A860" s="1" t="str">
        <f>"00973"</f>
        <v>00973</v>
      </c>
      <c r="B860" s="1" t="str">
        <f>"مجيد"</f>
        <v>مجيد</v>
      </c>
      <c r="C860" s="1" t="str">
        <f>"ملک زاده"</f>
        <v>ملک زاده</v>
      </c>
      <c r="D860" s="1" t="str">
        <f t="shared" si="92"/>
        <v>قراردادي بهره بردار</v>
      </c>
      <c r="E860" s="1" t="str">
        <f t="shared" si="93"/>
        <v>پروژه بهره برداري نيروگاه بوشهر</v>
      </c>
      <c r="F860" s="1">
        <v>11515881</v>
      </c>
      <c r="G860" s="1">
        <v>18823596</v>
      </c>
      <c r="H860" s="1">
        <v>0</v>
      </c>
      <c r="I860" s="1">
        <v>12255982</v>
      </c>
      <c r="J860" s="1">
        <v>0</v>
      </c>
      <c r="K860" s="1">
        <v>4620000</v>
      </c>
      <c r="L860" s="1">
        <v>0</v>
      </c>
      <c r="M860" s="1">
        <v>400000</v>
      </c>
      <c r="N860" s="1">
        <v>2222526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6912662</v>
      </c>
      <c r="W860" s="1">
        <v>1100000</v>
      </c>
      <c r="X860" s="1">
        <v>1786947</v>
      </c>
      <c r="Y860" s="1">
        <v>0</v>
      </c>
      <c r="Z860" s="1">
        <v>0</v>
      </c>
      <c r="AA860" s="1">
        <v>0</v>
      </c>
      <c r="AB860" s="1">
        <v>0</v>
      </c>
      <c r="AC860" s="1">
        <v>1068303</v>
      </c>
      <c r="AD860" s="1">
        <v>0</v>
      </c>
      <c r="AE860" s="1">
        <v>1587519</v>
      </c>
      <c r="AF860" s="1">
        <v>2222538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8217320</v>
      </c>
      <c r="AM860" s="1">
        <v>0</v>
      </c>
      <c r="AN860" s="1">
        <v>72733274</v>
      </c>
      <c r="AO860" s="1">
        <v>10706516</v>
      </c>
      <c r="AP860" s="1">
        <v>62026758</v>
      </c>
      <c r="AQ860" s="1">
        <v>14102147</v>
      </c>
      <c r="AR860" s="1">
        <v>2115322</v>
      </c>
      <c r="AS860" s="1">
        <v>0</v>
      </c>
      <c r="AT860" s="1">
        <f t="shared" si="91"/>
        <v>88950743</v>
      </c>
    </row>
    <row r="861" spans="1:46" x14ac:dyDescent="0.2">
      <c r="A861" s="1" t="str">
        <f>"00974"</f>
        <v>00974</v>
      </c>
      <c r="B861" s="1" t="str">
        <f>"سيدحسين"</f>
        <v>سيدحسين</v>
      </c>
      <c r="C861" s="1" t="str">
        <f>"موسوي"</f>
        <v>موسوي</v>
      </c>
      <c r="D861" s="1" t="str">
        <f t="shared" si="92"/>
        <v>قراردادي بهره بردار</v>
      </c>
      <c r="E861" s="1" t="str">
        <f t="shared" si="93"/>
        <v>پروژه بهره برداري نيروگاه بوشهر</v>
      </c>
      <c r="F861" s="1">
        <v>11358763</v>
      </c>
      <c r="G861" s="1">
        <v>14748128</v>
      </c>
      <c r="H861" s="1">
        <v>0</v>
      </c>
      <c r="I861" s="1">
        <v>11226235</v>
      </c>
      <c r="J861" s="1">
        <v>0</v>
      </c>
      <c r="K861" s="1">
        <v>3465000</v>
      </c>
      <c r="L861" s="1">
        <v>0</v>
      </c>
      <c r="M861" s="1">
        <v>400000</v>
      </c>
      <c r="N861" s="1">
        <v>2154129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6431515</v>
      </c>
      <c r="W861" s="1">
        <v>1100000</v>
      </c>
      <c r="X861" s="1">
        <v>1762567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1538664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8023620</v>
      </c>
      <c r="AM861" s="1">
        <v>0</v>
      </c>
      <c r="AN861" s="1">
        <v>62208621</v>
      </c>
      <c r="AO861" s="1">
        <v>37851906</v>
      </c>
      <c r="AP861" s="1">
        <v>24356715</v>
      </c>
      <c r="AQ861" s="1">
        <v>12441724</v>
      </c>
      <c r="AR861" s="1">
        <v>1866259</v>
      </c>
      <c r="AS861" s="1">
        <v>0</v>
      </c>
      <c r="AT861" s="1">
        <f t="shared" si="91"/>
        <v>76516604</v>
      </c>
    </row>
    <row r="862" spans="1:46" x14ac:dyDescent="0.2">
      <c r="A862" s="1" t="str">
        <f>"00975"</f>
        <v>00975</v>
      </c>
      <c r="B862" s="1" t="str">
        <f>"سيدعلي"</f>
        <v>سيدعلي</v>
      </c>
      <c r="C862" s="1" t="str">
        <f>"موسوي"</f>
        <v>موسوي</v>
      </c>
      <c r="D862" s="1" t="str">
        <f t="shared" si="92"/>
        <v>قراردادي بهره بردار</v>
      </c>
      <c r="E862" s="1" t="str">
        <f t="shared" si="93"/>
        <v>پروژه بهره برداري نيروگاه بوشهر</v>
      </c>
      <c r="F862" s="1">
        <v>11126709</v>
      </c>
      <c r="G862" s="1">
        <v>18702868</v>
      </c>
      <c r="H862" s="1">
        <v>0</v>
      </c>
      <c r="I862" s="1">
        <v>10775531</v>
      </c>
      <c r="J862" s="1">
        <v>0</v>
      </c>
      <c r="K862" s="1">
        <v>4620000</v>
      </c>
      <c r="L862" s="1">
        <v>0</v>
      </c>
      <c r="M862" s="1">
        <v>400000</v>
      </c>
      <c r="N862" s="1">
        <v>2066833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1342000</v>
      </c>
      <c r="U862" s="1">
        <v>0</v>
      </c>
      <c r="V862" s="1">
        <v>6144279</v>
      </c>
      <c r="W862" s="1">
        <v>1100000</v>
      </c>
      <c r="X862" s="1">
        <v>1726558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1476309</v>
      </c>
      <c r="AF862" s="1">
        <v>2222538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7766940</v>
      </c>
      <c r="AM862" s="1">
        <v>0</v>
      </c>
      <c r="AN862" s="1">
        <v>69470565</v>
      </c>
      <c r="AO862" s="1">
        <v>30757802</v>
      </c>
      <c r="AP862" s="1">
        <v>38712763</v>
      </c>
      <c r="AQ862" s="1">
        <v>13181205</v>
      </c>
      <c r="AR862" s="1">
        <v>1977181</v>
      </c>
      <c r="AS862" s="1">
        <v>0</v>
      </c>
      <c r="AT862" s="1">
        <f t="shared" si="91"/>
        <v>84628951</v>
      </c>
    </row>
    <row r="863" spans="1:46" x14ac:dyDescent="0.2">
      <c r="A863" s="1" t="str">
        <f>"00977"</f>
        <v>00977</v>
      </c>
      <c r="B863" s="1" t="str">
        <f>"عادل"</f>
        <v>عادل</v>
      </c>
      <c r="C863" s="1" t="str">
        <f>"نامداري"</f>
        <v>نامداري</v>
      </c>
      <c r="D863" s="1" t="str">
        <f t="shared" si="92"/>
        <v>قراردادي بهره بردار</v>
      </c>
      <c r="E863" s="1" t="str">
        <f t="shared" si="93"/>
        <v>پروژه بهره برداري نيروگاه بوشهر</v>
      </c>
      <c r="F863" s="1">
        <v>12237419</v>
      </c>
      <c r="G863" s="1">
        <v>33977603</v>
      </c>
      <c r="H863" s="1">
        <v>0</v>
      </c>
      <c r="I863" s="1">
        <v>13769155</v>
      </c>
      <c r="J863" s="1">
        <v>0</v>
      </c>
      <c r="K863" s="1">
        <v>4620000</v>
      </c>
      <c r="L863" s="1">
        <v>0</v>
      </c>
      <c r="M863" s="1">
        <v>400000</v>
      </c>
      <c r="N863" s="1">
        <v>2493654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1342000</v>
      </c>
      <c r="U863" s="1">
        <v>0</v>
      </c>
      <c r="V863" s="1">
        <v>7566281</v>
      </c>
      <c r="W863" s="1">
        <v>1100000</v>
      </c>
      <c r="X863" s="1">
        <v>1898910</v>
      </c>
      <c r="Y863" s="1">
        <v>0</v>
      </c>
      <c r="Z863" s="1">
        <v>0</v>
      </c>
      <c r="AA863" s="1">
        <v>0</v>
      </c>
      <c r="AB863" s="1">
        <v>0</v>
      </c>
      <c r="AC863" s="1">
        <v>1057319</v>
      </c>
      <c r="AD863" s="1">
        <v>0</v>
      </c>
      <c r="AE863" s="1">
        <v>1781182</v>
      </c>
      <c r="AF863" s="1">
        <v>1111269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9014772</v>
      </c>
      <c r="AM863" s="1">
        <v>0</v>
      </c>
      <c r="AN863" s="1">
        <v>92369564</v>
      </c>
      <c r="AO863" s="1">
        <v>12885093</v>
      </c>
      <c r="AP863" s="1">
        <v>79484471</v>
      </c>
      <c r="AQ863" s="1">
        <v>15039174</v>
      </c>
      <c r="AR863" s="1">
        <v>2255876</v>
      </c>
      <c r="AS863" s="1">
        <v>0</v>
      </c>
      <c r="AT863" s="1">
        <f t="shared" si="91"/>
        <v>109664614</v>
      </c>
    </row>
    <row r="864" spans="1:46" x14ac:dyDescent="0.2">
      <c r="A864" s="1" t="str">
        <f>"00978"</f>
        <v>00978</v>
      </c>
      <c r="B864" s="1" t="str">
        <f>"محسن"</f>
        <v>محسن</v>
      </c>
      <c r="C864" s="1" t="str">
        <f>"نجفي سيار"</f>
        <v>نجفي سيار</v>
      </c>
      <c r="D864" s="1" t="str">
        <f t="shared" si="92"/>
        <v>قراردادي بهره بردار</v>
      </c>
      <c r="E864" s="1" t="str">
        <f t="shared" si="93"/>
        <v>پروژه بهره برداري نيروگاه بوشهر</v>
      </c>
      <c r="F864" s="1">
        <v>13368722</v>
      </c>
      <c r="G864" s="1">
        <v>28990066</v>
      </c>
      <c r="H864" s="1">
        <v>0</v>
      </c>
      <c r="I864" s="1">
        <v>15018661</v>
      </c>
      <c r="J864" s="1">
        <v>0</v>
      </c>
      <c r="K864" s="1">
        <v>4620000</v>
      </c>
      <c r="L864" s="1">
        <v>0</v>
      </c>
      <c r="M864" s="1">
        <v>400000</v>
      </c>
      <c r="N864" s="1">
        <v>2617984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8383778</v>
      </c>
      <c r="W864" s="1">
        <v>1100000</v>
      </c>
      <c r="X864" s="1">
        <v>2074457</v>
      </c>
      <c r="Y864" s="1">
        <v>0</v>
      </c>
      <c r="Z864" s="1">
        <v>0</v>
      </c>
      <c r="AA864" s="1">
        <v>0</v>
      </c>
      <c r="AB864" s="1">
        <v>0</v>
      </c>
      <c r="AC864" s="1">
        <v>1056157</v>
      </c>
      <c r="AD864" s="1">
        <v>0</v>
      </c>
      <c r="AE864" s="1">
        <v>1869988</v>
      </c>
      <c r="AF864" s="1">
        <v>1111269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9620582</v>
      </c>
      <c r="AM864" s="1">
        <v>0</v>
      </c>
      <c r="AN864" s="1">
        <v>90231664</v>
      </c>
      <c r="AO864" s="1">
        <v>31926251</v>
      </c>
      <c r="AP864" s="1">
        <v>58305413</v>
      </c>
      <c r="AQ864" s="1">
        <v>15039174</v>
      </c>
      <c r="AR864" s="1">
        <v>2255876</v>
      </c>
      <c r="AS864" s="1">
        <v>0</v>
      </c>
      <c r="AT864" s="1">
        <f t="shared" si="91"/>
        <v>107526714</v>
      </c>
    </row>
    <row r="865" spans="1:46" x14ac:dyDescent="0.2">
      <c r="A865" s="1" t="str">
        <f>"00979"</f>
        <v>00979</v>
      </c>
      <c r="B865" s="1" t="str">
        <f>"محسن"</f>
        <v>محسن</v>
      </c>
      <c r="C865" s="1" t="str">
        <f>"نوروزي"</f>
        <v>نوروزي</v>
      </c>
      <c r="D865" s="1" t="str">
        <f t="shared" si="92"/>
        <v>قراردادي بهره بردار</v>
      </c>
      <c r="E865" s="1" t="str">
        <f t="shared" si="93"/>
        <v>پروژه بهره برداري نيروگاه بوشهر</v>
      </c>
      <c r="F865" s="1">
        <v>10473972</v>
      </c>
      <c r="G865" s="1">
        <v>18086206</v>
      </c>
      <c r="H865" s="1">
        <v>0</v>
      </c>
      <c r="I865" s="1">
        <v>8989908</v>
      </c>
      <c r="J865" s="1">
        <v>0</v>
      </c>
      <c r="K865" s="1">
        <v>0</v>
      </c>
      <c r="L865" s="1">
        <v>0</v>
      </c>
      <c r="M865" s="1">
        <v>400000</v>
      </c>
      <c r="N865" s="1">
        <v>1812457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1342000</v>
      </c>
      <c r="U865" s="1">
        <v>0</v>
      </c>
      <c r="V865" s="1">
        <v>5258145</v>
      </c>
      <c r="W865" s="1">
        <v>1100000</v>
      </c>
      <c r="X865" s="1">
        <v>1625271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1294612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5472493</v>
      </c>
      <c r="AM865" s="1">
        <v>0</v>
      </c>
      <c r="AN865" s="1">
        <v>55855064</v>
      </c>
      <c r="AO865" s="1">
        <v>11298035</v>
      </c>
      <c r="AP865" s="1">
        <v>44557029</v>
      </c>
      <c r="AQ865" s="1">
        <v>10902613</v>
      </c>
      <c r="AR865" s="1">
        <v>1635392</v>
      </c>
      <c r="AS865" s="1">
        <v>0</v>
      </c>
      <c r="AT865" s="1">
        <f t="shared" si="91"/>
        <v>68393069</v>
      </c>
    </row>
    <row r="866" spans="1:46" x14ac:dyDescent="0.2">
      <c r="A866" s="1" t="str">
        <f>"00980"</f>
        <v>00980</v>
      </c>
      <c r="B866" s="1" t="str">
        <f>"سيدجواد"</f>
        <v>سيدجواد</v>
      </c>
      <c r="C866" s="1" t="str">
        <f>"هاشمي"</f>
        <v>هاشمي</v>
      </c>
      <c r="D866" s="1" t="str">
        <f t="shared" si="92"/>
        <v>قراردادي بهره بردار</v>
      </c>
      <c r="E866" s="1" t="str">
        <f t="shared" si="93"/>
        <v>پروژه بهره برداري نيروگاه بوشهر</v>
      </c>
      <c r="F866" s="1">
        <v>11101278</v>
      </c>
      <c r="G866" s="1">
        <v>19444457</v>
      </c>
      <c r="H866" s="1">
        <v>0</v>
      </c>
      <c r="I866" s="1">
        <v>11057826</v>
      </c>
      <c r="J866" s="1">
        <v>0</v>
      </c>
      <c r="K866" s="1">
        <v>4620000</v>
      </c>
      <c r="L866" s="1">
        <v>0</v>
      </c>
      <c r="M866" s="1">
        <v>400000</v>
      </c>
      <c r="N866" s="1">
        <v>2064725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1342000</v>
      </c>
      <c r="U866" s="1">
        <v>0</v>
      </c>
      <c r="V866" s="1">
        <v>6387907</v>
      </c>
      <c r="W866" s="1">
        <v>1100000</v>
      </c>
      <c r="X866" s="1">
        <v>1722612</v>
      </c>
      <c r="Y866" s="1">
        <v>0</v>
      </c>
      <c r="Z866" s="1">
        <v>0</v>
      </c>
      <c r="AA866" s="1">
        <v>0</v>
      </c>
      <c r="AB866" s="1">
        <v>0</v>
      </c>
      <c r="AC866" s="1">
        <v>1075801</v>
      </c>
      <c r="AD866" s="1">
        <v>0</v>
      </c>
      <c r="AE866" s="1">
        <v>1474804</v>
      </c>
      <c r="AF866" s="1">
        <v>2222538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7754792</v>
      </c>
      <c r="AM866" s="1">
        <v>0</v>
      </c>
      <c r="AN866" s="1">
        <v>71768740</v>
      </c>
      <c r="AO866" s="1">
        <v>29210825</v>
      </c>
      <c r="AP866" s="1">
        <v>42557915</v>
      </c>
      <c r="AQ866" s="1">
        <v>13640840</v>
      </c>
      <c r="AR866" s="1">
        <v>2046126</v>
      </c>
      <c r="AS866" s="1">
        <v>0</v>
      </c>
      <c r="AT866" s="1">
        <f t="shared" si="91"/>
        <v>87455706</v>
      </c>
    </row>
    <row r="867" spans="1:46" x14ac:dyDescent="0.2">
      <c r="A867" s="1" t="str">
        <f>"00981"</f>
        <v>00981</v>
      </c>
      <c r="B867" s="1" t="str">
        <f>"حسين"</f>
        <v>حسين</v>
      </c>
      <c r="C867" s="1" t="str">
        <f>"هاشمي پور"</f>
        <v>هاشمي پور</v>
      </c>
      <c r="D867" s="1" t="str">
        <f t="shared" si="92"/>
        <v>قراردادي بهره بردار</v>
      </c>
      <c r="E867" s="1" t="str">
        <f t="shared" si="93"/>
        <v>پروژه بهره برداري نيروگاه بوشهر</v>
      </c>
      <c r="F867" s="1">
        <v>12405004</v>
      </c>
      <c r="G867" s="1">
        <v>8063932</v>
      </c>
      <c r="H867" s="1">
        <v>0</v>
      </c>
      <c r="I867" s="1">
        <v>11803844</v>
      </c>
      <c r="J867" s="1">
        <v>0</v>
      </c>
      <c r="K867" s="1">
        <v>4620000</v>
      </c>
      <c r="L867" s="1">
        <v>0</v>
      </c>
      <c r="M867" s="1">
        <v>400000</v>
      </c>
      <c r="N867" s="1">
        <v>2417417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6028461</v>
      </c>
      <c r="W867" s="1">
        <v>1100000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1726727</v>
      </c>
      <c r="AF867" s="1">
        <v>2222538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3798798</v>
      </c>
      <c r="AM867" s="1">
        <v>0</v>
      </c>
      <c r="AN867" s="1">
        <v>54586721</v>
      </c>
      <c r="AO867" s="1">
        <v>9602892</v>
      </c>
      <c r="AP867" s="1">
        <v>44983829</v>
      </c>
      <c r="AQ867" s="1">
        <v>10472837</v>
      </c>
      <c r="AR867" s="1">
        <v>1570925</v>
      </c>
      <c r="AS867" s="1">
        <v>0</v>
      </c>
      <c r="AT867" s="1">
        <f t="shared" si="91"/>
        <v>66630483</v>
      </c>
    </row>
    <row r="868" spans="1:46" x14ac:dyDescent="0.2">
      <c r="A868" s="1" t="str">
        <f>"00982"</f>
        <v>00982</v>
      </c>
      <c r="B868" s="1" t="str">
        <f>"سياوش"</f>
        <v>سياوش</v>
      </c>
      <c r="C868" s="1" t="str">
        <f>"جهانديده"</f>
        <v>جهانديده</v>
      </c>
      <c r="D868" s="1" t="str">
        <f t="shared" si="92"/>
        <v>قراردادي بهره بردار</v>
      </c>
      <c r="E868" s="1" t="str">
        <f t="shared" si="93"/>
        <v>پروژه بهره برداري نيروگاه بوشهر</v>
      </c>
      <c r="F868" s="1">
        <v>9333177</v>
      </c>
      <c r="G868" s="1">
        <v>0</v>
      </c>
      <c r="H868" s="1">
        <v>0</v>
      </c>
      <c r="I868" s="1">
        <v>8471538</v>
      </c>
      <c r="J868" s="1">
        <v>0</v>
      </c>
      <c r="K868" s="1">
        <v>4620000</v>
      </c>
      <c r="L868" s="1">
        <v>0</v>
      </c>
      <c r="M868" s="1">
        <v>400000</v>
      </c>
      <c r="N868" s="1">
        <v>1581277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4025266</v>
      </c>
      <c r="W868" s="1">
        <v>1100000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1129484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3162555</v>
      </c>
      <c r="AM868" s="1">
        <v>0</v>
      </c>
      <c r="AN868" s="1">
        <v>33823297</v>
      </c>
      <c r="AO868" s="1">
        <v>4003267</v>
      </c>
      <c r="AP868" s="1">
        <v>29820030</v>
      </c>
      <c r="AQ868" s="1">
        <v>6764659</v>
      </c>
      <c r="AR868" s="1">
        <v>1014699</v>
      </c>
      <c r="AS868" s="1">
        <v>0</v>
      </c>
      <c r="AT868" s="1">
        <f t="shared" si="91"/>
        <v>41602655</v>
      </c>
    </row>
    <row r="869" spans="1:46" x14ac:dyDescent="0.2">
      <c r="A869" s="1" t="str">
        <f>"00983"</f>
        <v>00983</v>
      </c>
      <c r="B869" s="1" t="str">
        <f>"جليل"</f>
        <v>جليل</v>
      </c>
      <c r="C869" s="1" t="str">
        <f>"جليليان"</f>
        <v>جليليان</v>
      </c>
      <c r="D869" s="1" t="str">
        <f t="shared" si="92"/>
        <v>قراردادي بهره بردار</v>
      </c>
      <c r="E869" s="1" t="str">
        <f t="shared" si="93"/>
        <v>پروژه بهره برداري نيروگاه بوشهر</v>
      </c>
      <c r="F869" s="1">
        <v>11557954</v>
      </c>
      <c r="G869" s="1">
        <v>18594425</v>
      </c>
      <c r="H869" s="1">
        <v>0</v>
      </c>
      <c r="I869" s="1">
        <v>10412682</v>
      </c>
      <c r="J869" s="1">
        <v>0</v>
      </c>
      <c r="K869" s="1">
        <v>0</v>
      </c>
      <c r="L869" s="1">
        <v>0</v>
      </c>
      <c r="M869" s="1">
        <v>400000</v>
      </c>
      <c r="N869" s="1">
        <v>1831075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1342000</v>
      </c>
      <c r="U869" s="1">
        <v>0</v>
      </c>
      <c r="V869" s="1">
        <v>3557127</v>
      </c>
      <c r="W869" s="1">
        <v>1100000</v>
      </c>
      <c r="X869" s="1">
        <v>1793476</v>
      </c>
      <c r="Y869" s="1">
        <v>0</v>
      </c>
      <c r="Z869" s="1">
        <v>4271141</v>
      </c>
      <c r="AA869" s="1">
        <v>0</v>
      </c>
      <c r="AB869" s="1">
        <v>0</v>
      </c>
      <c r="AC869" s="1">
        <v>0</v>
      </c>
      <c r="AD869" s="1">
        <v>0</v>
      </c>
      <c r="AE869" s="1">
        <v>1307912</v>
      </c>
      <c r="AF869" s="1">
        <v>2222538</v>
      </c>
      <c r="AG869" s="1">
        <v>3070535</v>
      </c>
      <c r="AH869" s="1">
        <v>0</v>
      </c>
      <c r="AI869" s="1">
        <v>0</v>
      </c>
      <c r="AJ869" s="1">
        <v>0</v>
      </c>
      <c r="AK869" s="1">
        <v>0</v>
      </c>
      <c r="AL869" s="1">
        <v>7391120</v>
      </c>
      <c r="AM869" s="1">
        <v>0</v>
      </c>
      <c r="AN869" s="1">
        <v>68851985</v>
      </c>
      <c r="AO869" s="1">
        <v>24032964</v>
      </c>
      <c r="AP869" s="1">
        <v>44819021</v>
      </c>
      <c r="AQ869" s="1">
        <v>12203261</v>
      </c>
      <c r="AR869" s="1">
        <v>1830489</v>
      </c>
      <c r="AS869" s="1">
        <v>0</v>
      </c>
      <c r="AT869" s="1">
        <f t="shared" si="91"/>
        <v>82885735</v>
      </c>
    </row>
    <row r="870" spans="1:46" x14ac:dyDescent="0.2">
      <c r="A870" s="1" t="str">
        <f>"01129"</f>
        <v>01129</v>
      </c>
      <c r="B870" s="1" t="str">
        <f>"علي"</f>
        <v>علي</v>
      </c>
      <c r="C870" s="1" t="str">
        <f>"نيک"</f>
        <v>نيک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7192416</v>
      </c>
      <c r="G870" s="1">
        <v>6710885</v>
      </c>
      <c r="H870" s="1">
        <v>0</v>
      </c>
      <c r="I870" s="1">
        <v>5610085</v>
      </c>
      <c r="J870" s="1">
        <v>0</v>
      </c>
      <c r="K870" s="1">
        <v>0</v>
      </c>
      <c r="L870" s="1">
        <v>3500010</v>
      </c>
      <c r="M870" s="1">
        <v>400000</v>
      </c>
      <c r="N870" s="1">
        <v>3785482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2153799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2222538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32675215</v>
      </c>
      <c r="AO870" s="1">
        <v>3868303</v>
      </c>
      <c r="AP870" s="1">
        <v>28806912</v>
      </c>
      <c r="AQ870" s="1">
        <v>6090535</v>
      </c>
      <c r="AR870" s="1">
        <v>913580</v>
      </c>
      <c r="AS870" s="1">
        <v>0</v>
      </c>
      <c r="AT870" s="1">
        <f t="shared" si="91"/>
        <v>39679330</v>
      </c>
    </row>
    <row r="871" spans="1:46" x14ac:dyDescent="0.2">
      <c r="A871" s="1" t="str">
        <f>"01130"</f>
        <v>01130</v>
      </c>
      <c r="B871" s="1" t="str">
        <f>"علي"</f>
        <v>علي</v>
      </c>
      <c r="C871" s="1" t="str">
        <f>"فرريزي"</f>
        <v>فرريزي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5339753</v>
      </c>
      <c r="G871" s="1">
        <v>1382137</v>
      </c>
      <c r="H871" s="1">
        <v>0</v>
      </c>
      <c r="I871" s="1">
        <v>3203851</v>
      </c>
      <c r="J871" s="1">
        <v>0</v>
      </c>
      <c r="K871" s="1">
        <v>0</v>
      </c>
      <c r="L871" s="1">
        <v>3500010</v>
      </c>
      <c r="M871" s="1">
        <v>400000</v>
      </c>
      <c r="N871" s="1">
        <v>2847868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3431711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1111269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22316599</v>
      </c>
      <c r="AO871" s="1">
        <v>2124373</v>
      </c>
      <c r="AP871" s="1">
        <v>20192226</v>
      </c>
      <c r="AQ871" s="1">
        <v>4241066</v>
      </c>
      <c r="AR871" s="1">
        <v>636160</v>
      </c>
      <c r="AS871" s="1">
        <v>0</v>
      </c>
      <c r="AT871" s="1">
        <f t="shared" si="91"/>
        <v>27193825</v>
      </c>
    </row>
    <row r="872" spans="1:46" x14ac:dyDescent="0.2">
      <c r="A872" s="1" t="str">
        <f>"01131"</f>
        <v>01131</v>
      </c>
      <c r="B872" s="1" t="str">
        <f>"يونس"</f>
        <v>يونس</v>
      </c>
      <c r="C872" s="1" t="str">
        <f>"جمالي"</f>
        <v>جمالي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4279615</v>
      </c>
      <c r="G872" s="1">
        <v>5007552</v>
      </c>
      <c r="H872" s="1">
        <v>0</v>
      </c>
      <c r="I872" s="1">
        <v>2653362</v>
      </c>
      <c r="J872" s="1">
        <v>0</v>
      </c>
      <c r="K872" s="1">
        <v>0</v>
      </c>
      <c r="L872" s="1">
        <v>5486510</v>
      </c>
      <c r="M872" s="1">
        <v>400000</v>
      </c>
      <c r="N872" s="1">
        <v>2111651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4994106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3333807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29366603</v>
      </c>
      <c r="AO872" s="1">
        <v>2336890</v>
      </c>
      <c r="AP872" s="1">
        <v>27029713</v>
      </c>
      <c r="AQ872" s="1">
        <v>5206559</v>
      </c>
      <c r="AR872" s="1">
        <v>780984</v>
      </c>
      <c r="AS872" s="1">
        <v>0</v>
      </c>
      <c r="AT872" s="1">
        <f t="shared" si="91"/>
        <v>35354146</v>
      </c>
    </row>
    <row r="873" spans="1:46" x14ac:dyDescent="0.2">
      <c r="A873" s="1" t="str">
        <f>"01132"</f>
        <v>01132</v>
      </c>
      <c r="B873" s="1" t="str">
        <f>"بهبود"</f>
        <v>بهبود</v>
      </c>
      <c r="C873" s="1" t="str">
        <f>"ايازي"</f>
        <v>ايازي</v>
      </c>
      <c r="D873" s="1" t="str">
        <f>"قراردادي بهره بردار"</f>
        <v>قراردادي بهره بردار</v>
      </c>
      <c r="E873" s="1" t="str">
        <f>"پروژه بهره برداري نيروگاه بوشهر"</f>
        <v>پروژه بهره برداري نيروگاه بوشهر</v>
      </c>
      <c r="F873" s="1">
        <v>22358214</v>
      </c>
      <c r="G873" s="1">
        <v>19301403</v>
      </c>
      <c r="H873" s="1">
        <v>0</v>
      </c>
      <c r="I873" s="1">
        <v>17531968</v>
      </c>
      <c r="J873" s="1">
        <v>0</v>
      </c>
      <c r="K873" s="1">
        <v>5500000</v>
      </c>
      <c r="L873" s="1">
        <v>0</v>
      </c>
      <c r="M873" s="1">
        <v>400000</v>
      </c>
      <c r="N873" s="1">
        <v>3562184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13698958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2544417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4274621</v>
      </c>
      <c r="AM873" s="1">
        <v>0</v>
      </c>
      <c r="AN873" s="1">
        <v>91383034</v>
      </c>
      <c r="AO873" s="1">
        <v>24070678</v>
      </c>
      <c r="AP873" s="1">
        <v>67312356</v>
      </c>
      <c r="AQ873" s="1">
        <v>15039174</v>
      </c>
      <c r="AR873" s="1">
        <v>2255876</v>
      </c>
      <c r="AS873" s="1">
        <v>0</v>
      </c>
      <c r="AT873" s="1">
        <f t="shared" si="91"/>
        <v>108678084</v>
      </c>
    </row>
    <row r="874" spans="1:46" x14ac:dyDescent="0.2">
      <c r="A874" s="1" t="str">
        <f>"01133"</f>
        <v>01133</v>
      </c>
      <c r="B874" s="1" t="str">
        <f>"وحيد"</f>
        <v>وحيد</v>
      </c>
      <c r="C874" s="1" t="str">
        <f>"فولادي تنها"</f>
        <v>فولادي تنها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5072007</v>
      </c>
      <c r="G874" s="1">
        <v>2665956</v>
      </c>
      <c r="H874" s="1">
        <v>0</v>
      </c>
      <c r="I874" s="1">
        <v>3043204</v>
      </c>
      <c r="J874" s="1">
        <v>0</v>
      </c>
      <c r="K874" s="1">
        <v>0</v>
      </c>
      <c r="L874" s="1">
        <v>3500010</v>
      </c>
      <c r="M874" s="1">
        <v>400000</v>
      </c>
      <c r="N874" s="1">
        <v>2705071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3351187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21837435</v>
      </c>
      <c r="AO874" s="1">
        <v>2004302</v>
      </c>
      <c r="AP874" s="1">
        <v>19833133</v>
      </c>
      <c r="AQ874" s="1">
        <v>4367487</v>
      </c>
      <c r="AR874" s="1">
        <v>655123</v>
      </c>
      <c r="AS874" s="1">
        <v>0</v>
      </c>
      <c r="AT874" s="1">
        <f t="shared" si="91"/>
        <v>26860045</v>
      </c>
    </row>
    <row r="875" spans="1:46" x14ac:dyDescent="0.2">
      <c r="A875" s="1" t="str">
        <f>"01134"</f>
        <v>01134</v>
      </c>
      <c r="B875" s="1" t="str">
        <f>"سيد جمال الدين"</f>
        <v>سيد جمال الدين</v>
      </c>
      <c r="C875" s="1" t="str">
        <f>"موسوي نژاد"</f>
        <v>موسوي نژاد</v>
      </c>
      <c r="D875" s="1" t="str">
        <f t="shared" ref="D875:D881" si="94"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24658135</v>
      </c>
      <c r="G875" s="1">
        <v>11047842</v>
      </c>
      <c r="H875" s="1">
        <v>0</v>
      </c>
      <c r="I875" s="1">
        <v>18379009</v>
      </c>
      <c r="J875" s="1">
        <v>0</v>
      </c>
      <c r="K875" s="1">
        <v>5500000</v>
      </c>
      <c r="L875" s="1">
        <v>0</v>
      </c>
      <c r="M875" s="1">
        <v>400000</v>
      </c>
      <c r="N875" s="1">
        <v>4583599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5547834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3273999</v>
      </c>
      <c r="AF875" s="1">
        <v>1111269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4583599</v>
      </c>
      <c r="AM875" s="1">
        <v>0</v>
      </c>
      <c r="AN875" s="1">
        <v>80185286</v>
      </c>
      <c r="AO875" s="1">
        <v>33574372</v>
      </c>
      <c r="AP875" s="1">
        <v>46610914</v>
      </c>
      <c r="AQ875" s="1">
        <v>15039174</v>
      </c>
      <c r="AR875" s="1">
        <v>2255876</v>
      </c>
      <c r="AS875" s="1">
        <v>0</v>
      </c>
      <c r="AT875" s="1">
        <f t="shared" si="91"/>
        <v>97480336</v>
      </c>
    </row>
    <row r="876" spans="1:46" x14ac:dyDescent="0.2">
      <c r="A876" s="1" t="str">
        <f>"01135"</f>
        <v>01135</v>
      </c>
      <c r="B876" s="1" t="str">
        <f>"سامان"</f>
        <v>سامان</v>
      </c>
      <c r="C876" s="1" t="str">
        <f>"تجلي"</f>
        <v>تجلي</v>
      </c>
      <c r="D876" s="1" t="str">
        <f t="shared" si="94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13485227</v>
      </c>
      <c r="G876" s="1">
        <v>0</v>
      </c>
      <c r="H876" s="1">
        <v>0</v>
      </c>
      <c r="I876" s="1">
        <v>6997171</v>
      </c>
      <c r="J876" s="1">
        <v>0</v>
      </c>
      <c r="K876" s="1">
        <v>4125000</v>
      </c>
      <c r="L876" s="1">
        <v>0</v>
      </c>
      <c r="M876" s="1">
        <v>400000</v>
      </c>
      <c r="N876" s="1">
        <v>2075427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2641219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1482447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2371917</v>
      </c>
      <c r="AM876" s="1">
        <v>0</v>
      </c>
      <c r="AN876" s="1">
        <v>34678408</v>
      </c>
      <c r="AO876" s="1">
        <v>14843978</v>
      </c>
      <c r="AP876" s="1">
        <v>19834430</v>
      </c>
      <c r="AQ876" s="1">
        <v>6935682</v>
      </c>
      <c r="AR876" s="1">
        <v>1040352</v>
      </c>
      <c r="AS876" s="1">
        <v>0</v>
      </c>
      <c r="AT876" s="1">
        <f t="shared" si="91"/>
        <v>42654442</v>
      </c>
    </row>
    <row r="877" spans="1:46" x14ac:dyDescent="0.2">
      <c r="A877" s="1" t="str">
        <f>"01136"</f>
        <v>01136</v>
      </c>
      <c r="B877" s="1" t="str">
        <f>"مجتبي"</f>
        <v>مجتبي</v>
      </c>
      <c r="C877" s="1" t="str">
        <f>"جان احمدي"</f>
        <v>جان احمدي</v>
      </c>
      <c r="D877" s="1" t="str">
        <f t="shared" si="94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13085533</v>
      </c>
      <c r="G877" s="1">
        <v>9713699</v>
      </c>
      <c r="H877" s="1">
        <v>0</v>
      </c>
      <c r="I877" s="1">
        <v>9177343</v>
      </c>
      <c r="J877" s="1">
        <v>0</v>
      </c>
      <c r="K877" s="1">
        <v>5500000</v>
      </c>
      <c r="L877" s="1">
        <v>0</v>
      </c>
      <c r="M877" s="1">
        <v>400000</v>
      </c>
      <c r="N877" s="1">
        <v>1958775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1342000</v>
      </c>
      <c r="U877" s="1">
        <v>0</v>
      </c>
      <c r="V877" s="1">
        <v>5272014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1399124</v>
      </c>
      <c r="AF877" s="1">
        <v>1111269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2126670</v>
      </c>
      <c r="AM877" s="1">
        <v>0</v>
      </c>
      <c r="AN877" s="1">
        <v>52186427</v>
      </c>
      <c r="AO877" s="1">
        <v>17444303</v>
      </c>
      <c r="AP877" s="1">
        <v>34742124</v>
      </c>
      <c r="AQ877" s="1">
        <v>9946632</v>
      </c>
      <c r="AR877" s="1">
        <v>1491995</v>
      </c>
      <c r="AS877" s="1">
        <v>0</v>
      </c>
      <c r="AT877" s="1">
        <f t="shared" si="91"/>
        <v>63625054</v>
      </c>
    </row>
    <row r="878" spans="1:46" x14ac:dyDescent="0.2">
      <c r="A878" s="1" t="str">
        <f>"01137"</f>
        <v>01137</v>
      </c>
      <c r="B878" s="1" t="str">
        <f>"سيد حسن"</f>
        <v>سيد حسن</v>
      </c>
      <c r="C878" s="1" t="str">
        <f>"موسوي"</f>
        <v>موسوي</v>
      </c>
      <c r="D878" s="1" t="str">
        <f t="shared" si="94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16619514</v>
      </c>
      <c r="G878" s="1">
        <v>7681406</v>
      </c>
      <c r="H878" s="1">
        <v>0</v>
      </c>
      <c r="I878" s="1">
        <v>14172114</v>
      </c>
      <c r="J878" s="1">
        <v>0</v>
      </c>
      <c r="K878" s="1">
        <v>5500000</v>
      </c>
      <c r="L878" s="1">
        <v>0</v>
      </c>
      <c r="M878" s="1">
        <v>400000</v>
      </c>
      <c r="N878" s="1">
        <v>2059960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3703037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1471399</v>
      </c>
      <c r="AF878" s="1">
        <v>1111269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2707376</v>
      </c>
      <c r="AM878" s="1">
        <v>0</v>
      </c>
      <c r="AN878" s="1">
        <v>56526075</v>
      </c>
      <c r="AO878" s="1">
        <v>30384071</v>
      </c>
      <c r="AP878" s="1">
        <v>26142004</v>
      </c>
      <c r="AQ878" s="1">
        <v>11082961</v>
      </c>
      <c r="AR878" s="1">
        <v>1662444</v>
      </c>
      <c r="AS878" s="1">
        <v>0</v>
      </c>
      <c r="AT878" s="1">
        <f t="shared" si="91"/>
        <v>69271480</v>
      </c>
    </row>
    <row r="879" spans="1:46" x14ac:dyDescent="0.2">
      <c r="A879" s="1" t="str">
        <f>"01138"</f>
        <v>01138</v>
      </c>
      <c r="B879" s="1" t="str">
        <f>"آرمان"</f>
        <v>آرمان</v>
      </c>
      <c r="C879" s="1" t="str">
        <f>"زنده بودي"</f>
        <v>زنده بودي</v>
      </c>
      <c r="D879" s="1" t="str">
        <f t="shared" si="94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14256351</v>
      </c>
      <c r="G879" s="1">
        <v>5319737</v>
      </c>
      <c r="H879" s="1">
        <v>0</v>
      </c>
      <c r="I879" s="1">
        <v>11377652</v>
      </c>
      <c r="J879" s="1">
        <v>0</v>
      </c>
      <c r="K879" s="1">
        <v>5500000</v>
      </c>
      <c r="L879" s="1">
        <v>0</v>
      </c>
      <c r="M879" s="1">
        <v>400000</v>
      </c>
      <c r="N879" s="1">
        <v>2252718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3374379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1609083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4247982</v>
      </c>
      <c r="AM879" s="1">
        <v>0</v>
      </c>
      <c r="AN879" s="1">
        <v>49437902</v>
      </c>
      <c r="AO879" s="1">
        <v>6847501</v>
      </c>
      <c r="AP879" s="1">
        <v>42590401</v>
      </c>
      <c r="AQ879" s="1">
        <v>9887580</v>
      </c>
      <c r="AR879" s="1">
        <v>1483137</v>
      </c>
      <c r="AS879" s="1">
        <v>0</v>
      </c>
      <c r="AT879" s="1">
        <f t="shared" si="91"/>
        <v>60808619</v>
      </c>
    </row>
    <row r="880" spans="1:46" x14ac:dyDescent="0.2">
      <c r="A880" s="1" t="str">
        <f>"01139"</f>
        <v>01139</v>
      </c>
      <c r="B880" s="1" t="str">
        <f>"جواد"</f>
        <v>جواد</v>
      </c>
      <c r="C880" s="1" t="str">
        <f>"كمالي"</f>
        <v>كمالي</v>
      </c>
      <c r="D880" s="1" t="str">
        <f t="shared" si="94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13770614</v>
      </c>
      <c r="G880" s="1">
        <v>3682438</v>
      </c>
      <c r="H880" s="1">
        <v>0</v>
      </c>
      <c r="I880" s="1">
        <v>9948754</v>
      </c>
      <c r="J880" s="1">
        <v>0</v>
      </c>
      <c r="K880" s="1">
        <v>4125000</v>
      </c>
      <c r="L880" s="1">
        <v>0</v>
      </c>
      <c r="M880" s="1">
        <v>400000</v>
      </c>
      <c r="N880" s="1">
        <v>2053683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2958704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1466917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2347068</v>
      </c>
      <c r="AM880" s="1">
        <v>0</v>
      </c>
      <c r="AN880" s="1">
        <v>41853178</v>
      </c>
      <c r="AO880" s="1">
        <v>16049339</v>
      </c>
      <c r="AP880" s="1">
        <v>25803839</v>
      </c>
      <c r="AQ880" s="1">
        <v>8370636</v>
      </c>
      <c r="AR880" s="1">
        <v>1255595</v>
      </c>
      <c r="AS880" s="1">
        <v>0</v>
      </c>
      <c r="AT880" s="1">
        <f t="shared" si="91"/>
        <v>51479409</v>
      </c>
    </row>
    <row r="881" spans="1:46" x14ac:dyDescent="0.2">
      <c r="A881" s="1" t="str">
        <f>"01140"</f>
        <v>01140</v>
      </c>
      <c r="B881" s="1" t="str">
        <f>"سعيد"</f>
        <v>سعيد</v>
      </c>
      <c r="C881" s="1" t="str">
        <f>"كارگر"</f>
        <v>كارگر</v>
      </c>
      <c r="D881" s="1" t="str">
        <f t="shared" si="94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13393441</v>
      </c>
      <c r="G881" s="1">
        <v>3783849</v>
      </c>
      <c r="H881" s="1">
        <v>0</v>
      </c>
      <c r="I881" s="1">
        <v>10400630</v>
      </c>
      <c r="J881" s="1">
        <v>0</v>
      </c>
      <c r="K881" s="1">
        <v>5500000</v>
      </c>
      <c r="L881" s="1">
        <v>0</v>
      </c>
      <c r="M881" s="1">
        <v>400000</v>
      </c>
      <c r="N881" s="1">
        <v>1927266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3040183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1376617</v>
      </c>
      <c r="AF881" s="1">
        <v>1111269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3303884</v>
      </c>
      <c r="AM881" s="1">
        <v>0</v>
      </c>
      <c r="AN881" s="1">
        <v>45337139</v>
      </c>
      <c r="AO881" s="1">
        <v>5171073</v>
      </c>
      <c r="AP881" s="1">
        <v>40166066</v>
      </c>
      <c r="AQ881" s="1">
        <v>8845174</v>
      </c>
      <c r="AR881" s="1">
        <v>1326776</v>
      </c>
      <c r="AS881" s="1">
        <v>0</v>
      </c>
      <c r="AT881" s="1">
        <f t="shared" si="91"/>
        <v>55509089</v>
      </c>
    </row>
    <row r="882" spans="1:46" x14ac:dyDescent="0.2">
      <c r="A882" s="1" t="str">
        <f>"01142"</f>
        <v>01142</v>
      </c>
      <c r="B882" s="1" t="str">
        <f>"حبيب"</f>
        <v>حبيب</v>
      </c>
      <c r="C882" s="1" t="str">
        <f>"دهقاني"</f>
        <v>دهقاني</v>
      </c>
      <c r="D882" s="1" t="str">
        <f>"قراردادي کارگري"</f>
        <v>قراردادي کارگري</v>
      </c>
      <c r="E882" s="1" t="str">
        <f>"پروژه تعميرات نيروگاه بوشهر"</f>
        <v>پروژه تعميرات نيروگاه بوشهر</v>
      </c>
      <c r="F882" s="1">
        <v>7244281</v>
      </c>
      <c r="G882" s="1">
        <v>4917887</v>
      </c>
      <c r="H882" s="1">
        <v>0</v>
      </c>
      <c r="I882" s="1">
        <v>4346568</v>
      </c>
      <c r="J882" s="1">
        <v>0</v>
      </c>
      <c r="K882" s="1">
        <v>0</v>
      </c>
      <c r="L882" s="1">
        <v>3500010</v>
      </c>
      <c r="M882" s="1">
        <v>400000</v>
      </c>
      <c r="N882" s="1">
        <v>3863617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6121343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2843171</v>
      </c>
      <c r="AE882" s="1">
        <v>0</v>
      </c>
      <c r="AF882" s="1">
        <v>3333807</v>
      </c>
      <c r="AG882" s="1">
        <v>0</v>
      </c>
      <c r="AH882" s="1">
        <v>0</v>
      </c>
      <c r="AI882" s="1">
        <v>0</v>
      </c>
      <c r="AJ882" s="1">
        <v>3631670</v>
      </c>
      <c r="AK882" s="1">
        <v>0</v>
      </c>
      <c r="AL882" s="1">
        <v>0</v>
      </c>
      <c r="AM882" s="1">
        <v>0</v>
      </c>
      <c r="AN882" s="1">
        <v>41302354</v>
      </c>
      <c r="AO882" s="1">
        <v>5923421</v>
      </c>
      <c r="AP882" s="1">
        <v>35378933</v>
      </c>
      <c r="AQ882" s="1">
        <v>7593709</v>
      </c>
      <c r="AR882" s="1">
        <v>1139056</v>
      </c>
      <c r="AS882" s="1">
        <v>0</v>
      </c>
      <c r="AT882" s="1">
        <f t="shared" si="91"/>
        <v>50035119</v>
      </c>
    </row>
    <row r="883" spans="1:46" x14ac:dyDescent="0.2">
      <c r="A883" s="1" t="str">
        <f>"01144"</f>
        <v>01144</v>
      </c>
      <c r="B883" s="1" t="str">
        <f>"آزاده"</f>
        <v>آزاده</v>
      </c>
      <c r="C883" s="1" t="str">
        <f>"دهقان"</f>
        <v>دهقان</v>
      </c>
      <c r="D883" s="1" t="str">
        <f t="shared" ref="D883:D918" si="95">"قراردادي بهره بردار"</f>
        <v>قراردادي بهره بردار</v>
      </c>
      <c r="E883" s="1" t="str">
        <f t="shared" ref="E883:E918" si="96">"پروژه بهره برداري نيروگاه بوشهر"</f>
        <v>پروژه بهره برداري نيروگاه بوشهر</v>
      </c>
      <c r="F883" s="1">
        <v>9151311</v>
      </c>
      <c r="G883" s="1">
        <v>0</v>
      </c>
      <c r="H883" s="1">
        <v>0</v>
      </c>
      <c r="I883" s="1">
        <v>5673113</v>
      </c>
      <c r="J883" s="1">
        <v>0</v>
      </c>
      <c r="K883" s="1">
        <v>3982759</v>
      </c>
      <c r="L883" s="1">
        <v>0</v>
      </c>
      <c r="M883" s="1">
        <v>289655</v>
      </c>
      <c r="N883" s="1">
        <v>1281461</v>
      </c>
      <c r="O883" s="1">
        <v>0</v>
      </c>
      <c r="P883" s="1">
        <v>0</v>
      </c>
      <c r="Q883" s="1">
        <v>0</v>
      </c>
      <c r="R883" s="1">
        <v>7944324</v>
      </c>
      <c r="S883" s="1">
        <v>0</v>
      </c>
      <c r="T883" s="1">
        <v>0</v>
      </c>
      <c r="U883" s="1">
        <v>0</v>
      </c>
      <c r="V883" s="1">
        <v>1811960</v>
      </c>
      <c r="W883" s="1">
        <v>796552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915330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1098395</v>
      </c>
      <c r="AM883" s="1">
        <v>0</v>
      </c>
      <c r="AN883" s="1">
        <v>32944860</v>
      </c>
      <c r="AO883" s="1">
        <v>2633526</v>
      </c>
      <c r="AP883" s="1">
        <v>30311334</v>
      </c>
      <c r="AQ883" s="1">
        <v>5000107</v>
      </c>
      <c r="AR883" s="1">
        <v>750016</v>
      </c>
      <c r="AS883" s="1">
        <v>0</v>
      </c>
      <c r="AT883" s="1">
        <f t="shared" si="91"/>
        <v>38694983</v>
      </c>
    </row>
    <row r="884" spans="1:46" x14ac:dyDescent="0.2">
      <c r="A884" s="1" t="str">
        <f>"01145"</f>
        <v>01145</v>
      </c>
      <c r="B884" s="1" t="str">
        <f>"مسعود"</f>
        <v>مسعود</v>
      </c>
      <c r="C884" s="1" t="str">
        <f>"عبدالهي"</f>
        <v>عبدالهي</v>
      </c>
      <c r="D884" s="1" t="str">
        <f t="shared" si="95"/>
        <v>قراردادي بهره بردار</v>
      </c>
      <c r="E884" s="1" t="str">
        <f t="shared" si="96"/>
        <v>پروژه بهره برداري نيروگاه بوشهر</v>
      </c>
      <c r="F884" s="1">
        <v>9168486</v>
      </c>
      <c r="G884" s="1">
        <v>369490</v>
      </c>
      <c r="H884" s="1">
        <v>0</v>
      </c>
      <c r="I884" s="1">
        <v>6854544</v>
      </c>
      <c r="J884" s="1">
        <v>0</v>
      </c>
      <c r="K884" s="1">
        <v>4620000</v>
      </c>
      <c r="L884" s="1">
        <v>0</v>
      </c>
      <c r="M884" s="1">
        <v>400000</v>
      </c>
      <c r="N884" s="1">
        <v>1511918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2226539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2354567</v>
      </c>
      <c r="AD884" s="1">
        <v>0</v>
      </c>
      <c r="AE884" s="1">
        <v>1079942</v>
      </c>
      <c r="AF884" s="1">
        <v>1111269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1295930</v>
      </c>
      <c r="AM884" s="1">
        <v>0</v>
      </c>
      <c r="AN884" s="1">
        <v>32092685</v>
      </c>
      <c r="AO884" s="1">
        <v>2946004</v>
      </c>
      <c r="AP884" s="1">
        <v>29146681</v>
      </c>
      <c r="AQ884" s="1">
        <v>6196283</v>
      </c>
      <c r="AR884" s="1">
        <v>929442</v>
      </c>
      <c r="AS884" s="1">
        <v>0</v>
      </c>
      <c r="AT884" s="1">
        <f t="shared" si="91"/>
        <v>39218410</v>
      </c>
    </row>
    <row r="885" spans="1:46" x14ac:dyDescent="0.2">
      <c r="A885" s="1" t="str">
        <f>"01146"</f>
        <v>01146</v>
      </c>
      <c r="B885" s="1" t="str">
        <f>"محمدرضا"</f>
        <v>محمدرضا</v>
      </c>
      <c r="C885" s="1" t="str">
        <f>"بشيري"</f>
        <v>بشيري</v>
      </c>
      <c r="D885" s="1" t="str">
        <f t="shared" si="95"/>
        <v>قراردادي بهره بردار</v>
      </c>
      <c r="E885" s="1" t="str">
        <f t="shared" si="96"/>
        <v>پروژه بهره برداري نيروگاه بوشهر</v>
      </c>
      <c r="F885" s="1">
        <v>12775374</v>
      </c>
      <c r="G885" s="1">
        <v>11310784</v>
      </c>
      <c r="H885" s="1">
        <v>0</v>
      </c>
      <c r="I885" s="1">
        <v>8858378</v>
      </c>
      <c r="J885" s="1">
        <v>0</v>
      </c>
      <c r="K885" s="1">
        <v>4125000</v>
      </c>
      <c r="L885" s="1">
        <v>0</v>
      </c>
      <c r="M885" s="1">
        <v>400000</v>
      </c>
      <c r="N885" s="1">
        <v>1828999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2672882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1306428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1959641</v>
      </c>
      <c r="AM885" s="1">
        <v>0</v>
      </c>
      <c r="AN885" s="1">
        <v>46337486</v>
      </c>
      <c r="AO885" s="1">
        <v>6543745</v>
      </c>
      <c r="AP885" s="1">
        <v>39793741</v>
      </c>
      <c r="AQ885" s="1">
        <v>9267497</v>
      </c>
      <c r="AR885" s="1">
        <v>1390125</v>
      </c>
      <c r="AS885" s="1">
        <v>0</v>
      </c>
      <c r="AT885" s="1">
        <f t="shared" si="91"/>
        <v>56995108</v>
      </c>
    </row>
    <row r="886" spans="1:46" x14ac:dyDescent="0.2">
      <c r="A886" s="1" t="str">
        <f>"01147"</f>
        <v>01147</v>
      </c>
      <c r="B886" s="1" t="str">
        <f>"بهروز"</f>
        <v>بهروز</v>
      </c>
      <c r="C886" s="1" t="str">
        <f>"جلالي"</f>
        <v>جلالي</v>
      </c>
      <c r="D886" s="1" t="str">
        <f t="shared" si="95"/>
        <v>قراردادي بهره بردار</v>
      </c>
      <c r="E886" s="1" t="str">
        <f t="shared" si="96"/>
        <v>پروژه بهره برداري نيروگاه بوشهر</v>
      </c>
      <c r="F886" s="1">
        <v>12882452</v>
      </c>
      <c r="G886" s="1">
        <v>1789293</v>
      </c>
      <c r="H886" s="1">
        <v>0</v>
      </c>
      <c r="I886" s="1">
        <v>8869445</v>
      </c>
      <c r="J886" s="1">
        <v>0</v>
      </c>
      <c r="K886" s="1">
        <v>5500000</v>
      </c>
      <c r="L886" s="1">
        <v>0</v>
      </c>
      <c r="M886" s="1">
        <v>400000</v>
      </c>
      <c r="N886" s="1">
        <v>1867992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2695559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1334280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2001421</v>
      </c>
      <c r="AM886" s="1">
        <v>0</v>
      </c>
      <c r="AN886" s="1">
        <v>38440442</v>
      </c>
      <c r="AO886" s="1">
        <v>4087994</v>
      </c>
      <c r="AP886" s="1">
        <v>34352448</v>
      </c>
      <c r="AQ886" s="1">
        <v>7688088</v>
      </c>
      <c r="AR886" s="1">
        <v>1153213</v>
      </c>
      <c r="AS886" s="1">
        <v>0</v>
      </c>
      <c r="AT886" s="1">
        <f t="shared" si="91"/>
        <v>47281743</v>
      </c>
    </row>
    <row r="887" spans="1:46" x14ac:dyDescent="0.2">
      <c r="A887" s="1" t="str">
        <f>"01148"</f>
        <v>01148</v>
      </c>
      <c r="B887" s="1" t="str">
        <f>"حسن"</f>
        <v>حسن</v>
      </c>
      <c r="C887" s="1" t="str">
        <f>"محمدي"</f>
        <v>محمدي</v>
      </c>
      <c r="D887" s="1" t="str">
        <f t="shared" si="95"/>
        <v>قراردادي بهره بردار</v>
      </c>
      <c r="E887" s="1" t="str">
        <f t="shared" si="96"/>
        <v>پروژه بهره برداري نيروگاه بوشهر</v>
      </c>
      <c r="F887" s="1">
        <v>12345700</v>
      </c>
      <c r="G887" s="1">
        <v>996085</v>
      </c>
      <c r="H887" s="1">
        <v>0</v>
      </c>
      <c r="I887" s="1">
        <v>6537885</v>
      </c>
      <c r="J887" s="1">
        <v>0</v>
      </c>
      <c r="K887" s="1">
        <v>4125000</v>
      </c>
      <c r="L887" s="1">
        <v>0</v>
      </c>
      <c r="M887" s="1">
        <v>400000</v>
      </c>
      <c r="N887" s="1">
        <v>1661182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2400953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1186559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2278193</v>
      </c>
      <c r="AM887" s="1">
        <v>0</v>
      </c>
      <c r="AN887" s="1">
        <v>33031557</v>
      </c>
      <c r="AO887" s="1">
        <v>3179302</v>
      </c>
      <c r="AP887" s="1">
        <v>29852255</v>
      </c>
      <c r="AQ887" s="1">
        <v>6606311</v>
      </c>
      <c r="AR887" s="1">
        <v>990947</v>
      </c>
      <c r="AS887" s="1">
        <v>0</v>
      </c>
      <c r="AT887" s="1">
        <f t="shared" si="91"/>
        <v>40628815</v>
      </c>
    </row>
    <row r="888" spans="1:46" x14ac:dyDescent="0.2">
      <c r="A888" s="1" t="str">
        <f>"01149"</f>
        <v>01149</v>
      </c>
      <c r="B888" s="1" t="str">
        <f>"ناصر"</f>
        <v>ناصر</v>
      </c>
      <c r="C888" s="1" t="str">
        <f>"مرادي"</f>
        <v>مرادي</v>
      </c>
      <c r="D888" s="1" t="str">
        <f t="shared" si="95"/>
        <v>قراردادي بهره بردار</v>
      </c>
      <c r="E888" s="1" t="str">
        <f t="shared" si="96"/>
        <v>پروژه بهره برداري نيروگاه بوشهر</v>
      </c>
      <c r="F888" s="1">
        <v>13738151</v>
      </c>
      <c r="G888" s="1">
        <v>5645449</v>
      </c>
      <c r="H888" s="1">
        <v>0</v>
      </c>
      <c r="I888" s="1">
        <v>11863882</v>
      </c>
      <c r="J888" s="1">
        <v>0</v>
      </c>
      <c r="K888" s="1">
        <v>5500000</v>
      </c>
      <c r="L888" s="1">
        <v>0</v>
      </c>
      <c r="M888" s="1">
        <v>400000</v>
      </c>
      <c r="N888" s="1">
        <v>2213716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3401933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2408637</v>
      </c>
      <c r="AD888" s="1">
        <v>0</v>
      </c>
      <c r="AE888" s="1">
        <v>1581225</v>
      </c>
      <c r="AF888" s="1">
        <v>2222538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2213716</v>
      </c>
      <c r="AM888" s="1">
        <v>0</v>
      </c>
      <c r="AN888" s="1">
        <v>52289247</v>
      </c>
      <c r="AO888" s="1">
        <v>8576685</v>
      </c>
      <c r="AP888" s="1">
        <v>43712562</v>
      </c>
      <c r="AQ888" s="1">
        <v>10013342</v>
      </c>
      <c r="AR888" s="1">
        <v>1502001</v>
      </c>
      <c r="AS888" s="1">
        <v>0</v>
      </c>
      <c r="AT888" s="1">
        <f t="shared" si="91"/>
        <v>63804590</v>
      </c>
    </row>
    <row r="889" spans="1:46" x14ac:dyDescent="0.2">
      <c r="A889" s="1" t="str">
        <f>"01150"</f>
        <v>01150</v>
      </c>
      <c r="B889" s="1" t="str">
        <f>"شهلا"</f>
        <v>شهلا</v>
      </c>
      <c r="C889" s="1" t="str">
        <f>"دهقاني"</f>
        <v>دهقاني</v>
      </c>
      <c r="D889" s="1" t="str">
        <f t="shared" si="95"/>
        <v>قراردادي بهره بردار</v>
      </c>
      <c r="E889" s="1" t="str">
        <f t="shared" si="96"/>
        <v>پروژه بهره برداري نيروگاه بوشهر</v>
      </c>
      <c r="F889" s="1">
        <v>12797358</v>
      </c>
      <c r="G889" s="1">
        <v>10797146</v>
      </c>
      <c r="H889" s="1">
        <v>0</v>
      </c>
      <c r="I889" s="1">
        <v>8523427</v>
      </c>
      <c r="J889" s="1">
        <v>0</v>
      </c>
      <c r="K889" s="1">
        <v>4125000</v>
      </c>
      <c r="L889" s="1">
        <v>0</v>
      </c>
      <c r="M889" s="1">
        <v>400000</v>
      </c>
      <c r="N889" s="1">
        <v>1688810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1342000</v>
      </c>
      <c r="U889" s="1">
        <v>0</v>
      </c>
      <c r="V889" s="1">
        <v>2602533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1206294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1809441</v>
      </c>
      <c r="AM889" s="1">
        <v>0</v>
      </c>
      <c r="AN889" s="1">
        <v>46392009</v>
      </c>
      <c r="AO889" s="1">
        <v>5158402</v>
      </c>
      <c r="AP889" s="1">
        <v>41233607</v>
      </c>
      <c r="AQ889" s="1">
        <v>9010002</v>
      </c>
      <c r="AR889" s="1">
        <v>1351500</v>
      </c>
      <c r="AS889" s="1">
        <v>0</v>
      </c>
      <c r="AT889" s="1">
        <f t="shared" si="91"/>
        <v>56753511</v>
      </c>
    </row>
    <row r="890" spans="1:46" x14ac:dyDescent="0.2">
      <c r="A890" s="1" t="str">
        <f>"01151"</f>
        <v>01151</v>
      </c>
      <c r="B890" s="1" t="str">
        <f>"آرش"</f>
        <v>آرش</v>
      </c>
      <c r="C890" s="1" t="str">
        <f>"كشاورزي"</f>
        <v>كشاورزي</v>
      </c>
      <c r="D890" s="1" t="str">
        <f t="shared" si="95"/>
        <v>قراردادي بهره بردار</v>
      </c>
      <c r="E890" s="1" t="str">
        <f t="shared" si="96"/>
        <v>پروژه بهره برداري نيروگاه بوشهر</v>
      </c>
      <c r="F890" s="1">
        <v>8086253</v>
      </c>
      <c r="G890" s="1">
        <v>1227213</v>
      </c>
      <c r="H890" s="1">
        <v>0</v>
      </c>
      <c r="I890" s="1">
        <v>5241360</v>
      </c>
      <c r="J890" s="1">
        <v>0</v>
      </c>
      <c r="K890" s="1">
        <v>4620000</v>
      </c>
      <c r="L890" s="1">
        <v>0</v>
      </c>
      <c r="M890" s="1">
        <v>400000</v>
      </c>
      <c r="N890" s="1">
        <v>1207912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1643368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862794</v>
      </c>
      <c r="AF890" s="1">
        <v>1111269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1035353</v>
      </c>
      <c r="AM890" s="1">
        <v>0</v>
      </c>
      <c r="AN890" s="1">
        <v>26535522</v>
      </c>
      <c r="AO890" s="1">
        <v>2012402</v>
      </c>
      <c r="AP890" s="1">
        <v>24523120</v>
      </c>
      <c r="AQ890" s="1">
        <v>5084851</v>
      </c>
      <c r="AR890" s="1">
        <v>762728</v>
      </c>
      <c r="AS890" s="1">
        <v>0</v>
      </c>
      <c r="AT890" s="1">
        <f t="shared" si="91"/>
        <v>32383101</v>
      </c>
    </row>
    <row r="891" spans="1:46" x14ac:dyDescent="0.2">
      <c r="A891" s="1" t="str">
        <f>"01152"</f>
        <v>01152</v>
      </c>
      <c r="B891" s="1" t="str">
        <f>"سجاد"</f>
        <v>سجاد</v>
      </c>
      <c r="C891" s="1" t="str">
        <f>"اميرخاني"</f>
        <v>اميرخاني</v>
      </c>
      <c r="D891" s="1" t="str">
        <f t="shared" si="95"/>
        <v>قراردادي بهره بردار</v>
      </c>
      <c r="E891" s="1" t="str">
        <f t="shared" si="96"/>
        <v>پروژه بهره برداري نيروگاه بوشهر</v>
      </c>
      <c r="F891" s="1">
        <v>13321242</v>
      </c>
      <c r="G891" s="1">
        <v>4247464</v>
      </c>
      <c r="H891" s="1">
        <v>0</v>
      </c>
      <c r="I891" s="1">
        <v>8892799</v>
      </c>
      <c r="J891" s="1">
        <v>0</v>
      </c>
      <c r="K891" s="1">
        <v>0</v>
      </c>
      <c r="L891" s="1">
        <v>0</v>
      </c>
      <c r="M891" s="1">
        <v>400000</v>
      </c>
      <c r="N891" s="1">
        <v>2073239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6107923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1480885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3317183</v>
      </c>
      <c r="AM891" s="1">
        <v>0</v>
      </c>
      <c r="AN891" s="1">
        <v>40940735</v>
      </c>
      <c r="AO891" s="1">
        <v>11387750</v>
      </c>
      <c r="AP891" s="1">
        <v>29552985</v>
      </c>
      <c r="AQ891" s="1">
        <v>8188147</v>
      </c>
      <c r="AR891" s="1">
        <v>1228222</v>
      </c>
      <c r="AS891" s="1">
        <v>0</v>
      </c>
      <c r="AT891" s="1">
        <f t="shared" si="91"/>
        <v>50357104</v>
      </c>
    </row>
    <row r="892" spans="1:46" x14ac:dyDescent="0.2">
      <c r="A892" s="1" t="str">
        <f>"01153"</f>
        <v>01153</v>
      </c>
      <c r="B892" s="1" t="str">
        <f>"جعفر"</f>
        <v>جعفر</v>
      </c>
      <c r="C892" s="1" t="str">
        <f>"اميني نيک"</f>
        <v>اميني نيک</v>
      </c>
      <c r="D892" s="1" t="str">
        <f t="shared" si="95"/>
        <v>قراردادي بهره بردار</v>
      </c>
      <c r="E892" s="1" t="str">
        <f t="shared" si="96"/>
        <v>پروژه بهره برداري نيروگاه بوشهر</v>
      </c>
      <c r="F892" s="1">
        <v>14465172</v>
      </c>
      <c r="G892" s="1">
        <v>1761304</v>
      </c>
      <c r="H892" s="1">
        <v>0</v>
      </c>
      <c r="I892" s="1">
        <v>9990089</v>
      </c>
      <c r="J892" s="1">
        <v>0</v>
      </c>
      <c r="K892" s="1">
        <v>5500000</v>
      </c>
      <c r="L892" s="1">
        <v>0</v>
      </c>
      <c r="M892" s="1">
        <v>400000</v>
      </c>
      <c r="N892" s="1">
        <v>2337256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7783284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1669469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2671150</v>
      </c>
      <c r="AM892" s="1">
        <v>0</v>
      </c>
      <c r="AN892" s="1">
        <v>47677724</v>
      </c>
      <c r="AO892" s="1">
        <v>6790640</v>
      </c>
      <c r="AP892" s="1">
        <v>40887084</v>
      </c>
      <c r="AQ892" s="1">
        <v>9535545</v>
      </c>
      <c r="AR892" s="1">
        <v>1430332</v>
      </c>
      <c r="AS892" s="1">
        <v>0</v>
      </c>
      <c r="AT892" s="1">
        <f t="shared" si="91"/>
        <v>58643601</v>
      </c>
    </row>
    <row r="893" spans="1:46" x14ac:dyDescent="0.2">
      <c r="A893" s="1" t="str">
        <f>"01154"</f>
        <v>01154</v>
      </c>
      <c r="B893" s="1" t="str">
        <f>"مهدي"</f>
        <v>مهدي</v>
      </c>
      <c r="C893" s="1" t="str">
        <f>"اورک"</f>
        <v>اورک</v>
      </c>
      <c r="D893" s="1" t="str">
        <f t="shared" si="95"/>
        <v>قراردادي بهره بردار</v>
      </c>
      <c r="E893" s="1" t="str">
        <f t="shared" si="96"/>
        <v>پروژه بهره برداري نيروگاه بوشهر</v>
      </c>
      <c r="F893" s="1">
        <v>14159617</v>
      </c>
      <c r="G893" s="1">
        <v>7696860</v>
      </c>
      <c r="H893" s="1">
        <v>0</v>
      </c>
      <c r="I893" s="1">
        <v>9840692</v>
      </c>
      <c r="J893" s="1">
        <v>0</v>
      </c>
      <c r="K893" s="1">
        <v>4125000</v>
      </c>
      <c r="L893" s="1">
        <v>0</v>
      </c>
      <c r="M893" s="1">
        <v>400000</v>
      </c>
      <c r="N893" s="1">
        <v>2254011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10787639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1610009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3864021</v>
      </c>
      <c r="AM893" s="1">
        <v>0</v>
      </c>
      <c r="AN893" s="1">
        <v>55837849</v>
      </c>
      <c r="AO893" s="1">
        <v>12097136</v>
      </c>
      <c r="AP893" s="1">
        <v>43740713</v>
      </c>
      <c r="AQ893" s="1">
        <v>11167570</v>
      </c>
      <c r="AR893" s="1">
        <v>1675135</v>
      </c>
      <c r="AS893" s="1">
        <v>0</v>
      </c>
      <c r="AT893" s="1">
        <f t="shared" si="91"/>
        <v>68680554</v>
      </c>
    </row>
    <row r="894" spans="1:46" x14ac:dyDescent="0.2">
      <c r="A894" s="1" t="str">
        <f>"01155"</f>
        <v>01155</v>
      </c>
      <c r="B894" s="1" t="str">
        <f>"علي"</f>
        <v>علي</v>
      </c>
      <c r="C894" s="1" t="str">
        <f>"بهسرشت"</f>
        <v>بهسرشت</v>
      </c>
      <c r="D894" s="1" t="str">
        <f t="shared" si="95"/>
        <v>قراردادي بهره بردار</v>
      </c>
      <c r="E894" s="1" t="str">
        <f t="shared" si="96"/>
        <v>پروژه بهره برداري نيروگاه بوشهر</v>
      </c>
      <c r="F894" s="1">
        <v>14570282</v>
      </c>
      <c r="G894" s="1">
        <v>7243377</v>
      </c>
      <c r="H894" s="1">
        <v>0</v>
      </c>
      <c r="I894" s="1">
        <v>11232227</v>
      </c>
      <c r="J894" s="1">
        <v>0</v>
      </c>
      <c r="K894" s="1">
        <v>5500000</v>
      </c>
      <c r="L894" s="1">
        <v>0</v>
      </c>
      <c r="M894" s="1">
        <v>400000</v>
      </c>
      <c r="N894" s="1">
        <v>2434494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1342000</v>
      </c>
      <c r="U894" s="1">
        <v>0</v>
      </c>
      <c r="V894" s="1">
        <v>8658125</v>
      </c>
      <c r="W894" s="1">
        <v>1100000</v>
      </c>
      <c r="X894" s="1">
        <v>2260906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1738924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9379187</v>
      </c>
      <c r="AM894" s="1">
        <v>0</v>
      </c>
      <c r="AN894" s="1">
        <v>65859522</v>
      </c>
      <c r="AO894" s="1">
        <v>28610421</v>
      </c>
      <c r="AP894" s="1">
        <v>37249101</v>
      </c>
      <c r="AQ894" s="1">
        <v>12903504</v>
      </c>
      <c r="AR894" s="1">
        <v>1935526</v>
      </c>
      <c r="AS894" s="1">
        <v>0</v>
      </c>
      <c r="AT894" s="1">
        <f t="shared" si="91"/>
        <v>80698552</v>
      </c>
    </row>
    <row r="895" spans="1:46" x14ac:dyDescent="0.2">
      <c r="A895" s="1" t="str">
        <f>"01156"</f>
        <v>01156</v>
      </c>
      <c r="B895" s="1" t="str">
        <f>"امير"</f>
        <v>امير</v>
      </c>
      <c r="C895" s="1" t="str">
        <f>"بهسرشت"</f>
        <v>بهسرشت</v>
      </c>
      <c r="D895" s="1" t="str">
        <f t="shared" si="95"/>
        <v>قراردادي بهره بردار</v>
      </c>
      <c r="E895" s="1" t="str">
        <f t="shared" si="96"/>
        <v>پروژه بهره برداري نيروگاه بوشهر</v>
      </c>
      <c r="F895" s="1">
        <v>14318835</v>
      </c>
      <c r="G895" s="1">
        <v>6836482</v>
      </c>
      <c r="H895" s="1">
        <v>0</v>
      </c>
      <c r="I895" s="1">
        <v>10253361</v>
      </c>
      <c r="J895" s="1">
        <v>0</v>
      </c>
      <c r="K895" s="1">
        <v>5500000</v>
      </c>
      <c r="L895" s="1">
        <v>0</v>
      </c>
      <c r="M895" s="1">
        <v>400000</v>
      </c>
      <c r="N895" s="1">
        <v>2300951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1342000</v>
      </c>
      <c r="U895" s="1">
        <v>0</v>
      </c>
      <c r="V895" s="1">
        <v>9261221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1643537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3418556</v>
      </c>
      <c r="AM895" s="1">
        <v>0</v>
      </c>
      <c r="AN895" s="1">
        <v>56374943</v>
      </c>
      <c r="AO895" s="1">
        <v>22019541</v>
      </c>
      <c r="AP895" s="1">
        <v>34355402</v>
      </c>
      <c r="AQ895" s="1">
        <v>11006589</v>
      </c>
      <c r="AR895" s="1">
        <v>1650988</v>
      </c>
      <c r="AS895" s="1">
        <v>0</v>
      </c>
      <c r="AT895" s="1">
        <f t="shared" si="91"/>
        <v>69032520</v>
      </c>
    </row>
    <row r="896" spans="1:46" x14ac:dyDescent="0.2">
      <c r="A896" s="1" t="str">
        <f>"01157"</f>
        <v>01157</v>
      </c>
      <c r="B896" s="1" t="str">
        <f>"مقداد"</f>
        <v>مقداد</v>
      </c>
      <c r="C896" s="1" t="str">
        <f>"پاداش"</f>
        <v>پاداش</v>
      </c>
      <c r="D896" s="1" t="str">
        <f t="shared" si="95"/>
        <v>قراردادي بهره بردار</v>
      </c>
      <c r="E896" s="1" t="str">
        <f t="shared" si="96"/>
        <v>پروژه بهره برداري نيروگاه بوشهر</v>
      </c>
      <c r="F896" s="1">
        <v>14493673</v>
      </c>
      <c r="G896" s="1">
        <v>6759326</v>
      </c>
      <c r="H896" s="1">
        <v>0</v>
      </c>
      <c r="I896" s="1">
        <v>10625352</v>
      </c>
      <c r="J896" s="1">
        <v>0</v>
      </c>
      <c r="K896" s="1">
        <v>5500000</v>
      </c>
      <c r="L896" s="1">
        <v>0</v>
      </c>
      <c r="M896" s="1">
        <v>400000</v>
      </c>
      <c r="N896" s="1">
        <v>2386111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1342000</v>
      </c>
      <c r="U896" s="1">
        <v>0</v>
      </c>
      <c r="V896" s="1">
        <v>11368350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1704364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4226825</v>
      </c>
      <c r="AM896" s="1">
        <v>0</v>
      </c>
      <c r="AN896" s="1">
        <v>59906001</v>
      </c>
      <c r="AO896" s="1">
        <v>8766443</v>
      </c>
      <c r="AP896" s="1">
        <v>51139558</v>
      </c>
      <c r="AQ896" s="1">
        <v>11712800</v>
      </c>
      <c r="AR896" s="1">
        <v>1756920</v>
      </c>
      <c r="AS896" s="1">
        <v>0</v>
      </c>
      <c r="AT896" s="1">
        <f t="shared" si="91"/>
        <v>73375721</v>
      </c>
    </row>
    <row r="897" spans="1:46" x14ac:dyDescent="0.2">
      <c r="A897" s="1" t="str">
        <f>"01158"</f>
        <v>01158</v>
      </c>
      <c r="B897" s="1" t="str">
        <f>"ميثم"</f>
        <v>ميثم</v>
      </c>
      <c r="C897" s="1" t="str">
        <f>"خان محمدي هزاوه"</f>
        <v>خان محمدي هزاوه</v>
      </c>
      <c r="D897" s="1" t="str">
        <f t="shared" si="95"/>
        <v>قراردادي بهره بردار</v>
      </c>
      <c r="E897" s="1" t="str">
        <f t="shared" si="96"/>
        <v>پروژه بهره برداري نيروگاه بوشهر</v>
      </c>
      <c r="F897" s="1">
        <v>13455751</v>
      </c>
      <c r="G897" s="1">
        <v>5759783</v>
      </c>
      <c r="H897" s="1">
        <v>0</v>
      </c>
      <c r="I897" s="1">
        <v>6926230</v>
      </c>
      <c r="J897" s="1">
        <v>0</v>
      </c>
      <c r="K897" s="1">
        <v>5500000</v>
      </c>
      <c r="L897" s="1">
        <v>0</v>
      </c>
      <c r="M897" s="1">
        <v>400000</v>
      </c>
      <c r="N897" s="1">
        <v>2240943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1342000</v>
      </c>
      <c r="U897" s="1">
        <v>0</v>
      </c>
      <c r="V897" s="1">
        <v>3018112</v>
      </c>
      <c r="W897" s="1">
        <v>1100000</v>
      </c>
      <c r="X897" s="1">
        <v>2087961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1600673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5957534</v>
      </c>
      <c r="AM897" s="1">
        <v>0</v>
      </c>
      <c r="AN897" s="1">
        <v>49388987</v>
      </c>
      <c r="AO897" s="1">
        <v>17901995</v>
      </c>
      <c r="AP897" s="1">
        <v>31486992</v>
      </c>
      <c r="AQ897" s="1">
        <v>9609397</v>
      </c>
      <c r="AR897" s="1">
        <v>1441410</v>
      </c>
      <c r="AS897" s="1">
        <v>0</v>
      </c>
      <c r="AT897" s="1">
        <f t="shared" si="91"/>
        <v>60439794</v>
      </c>
    </row>
    <row r="898" spans="1:46" x14ac:dyDescent="0.2">
      <c r="A898" s="1" t="str">
        <f>"01159"</f>
        <v>01159</v>
      </c>
      <c r="B898" s="1" t="str">
        <f>"عليرضا"</f>
        <v>عليرضا</v>
      </c>
      <c r="C898" s="1" t="str">
        <f>"دهقاني"</f>
        <v>دهقاني</v>
      </c>
      <c r="D898" s="1" t="str">
        <f t="shared" si="95"/>
        <v>قراردادي بهره بردار</v>
      </c>
      <c r="E898" s="1" t="str">
        <f t="shared" si="96"/>
        <v>پروژه بهره برداري نيروگاه بوشهر</v>
      </c>
      <c r="F898" s="1">
        <v>13431088</v>
      </c>
      <c r="G898" s="1">
        <v>0</v>
      </c>
      <c r="H898" s="1">
        <v>0</v>
      </c>
      <c r="I898" s="1">
        <v>8888754</v>
      </c>
      <c r="J898" s="1">
        <v>0</v>
      </c>
      <c r="K898" s="1">
        <v>5500000</v>
      </c>
      <c r="L898" s="1">
        <v>0</v>
      </c>
      <c r="M898" s="1">
        <v>400000</v>
      </c>
      <c r="N898" s="1">
        <v>2098394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4793209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1498853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2278255</v>
      </c>
      <c r="AM898" s="1">
        <v>0</v>
      </c>
      <c r="AN898" s="1">
        <v>39988553</v>
      </c>
      <c r="AO898" s="1">
        <v>5290713</v>
      </c>
      <c r="AP898" s="1">
        <v>34697840</v>
      </c>
      <c r="AQ898" s="1">
        <v>7997711</v>
      </c>
      <c r="AR898" s="1">
        <v>1199657</v>
      </c>
      <c r="AS898" s="1">
        <v>0</v>
      </c>
      <c r="AT898" s="1">
        <f t="shared" si="91"/>
        <v>49185921</v>
      </c>
    </row>
    <row r="899" spans="1:46" x14ac:dyDescent="0.2">
      <c r="A899" s="1" t="str">
        <f>"01160"</f>
        <v>01160</v>
      </c>
      <c r="B899" s="1" t="str">
        <f>"سيدحميدرضا"</f>
        <v>سيدحميدرضا</v>
      </c>
      <c r="C899" s="1" t="str">
        <f>"قريشي"</f>
        <v>قريشي</v>
      </c>
      <c r="D899" s="1" t="str">
        <f t="shared" si="95"/>
        <v>قراردادي بهره بردار</v>
      </c>
      <c r="E899" s="1" t="str">
        <f t="shared" si="96"/>
        <v>پروژه بهره برداري نيروگاه بوشهر</v>
      </c>
      <c r="F899" s="1">
        <v>13205755</v>
      </c>
      <c r="G899" s="1">
        <v>6454923</v>
      </c>
      <c r="H899" s="1">
        <v>0</v>
      </c>
      <c r="I899" s="1">
        <v>9092577</v>
      </c>
      <c r="J899" s="1">
        <v>0</v>
      </c>
      <c r="K899" s="1">
        <v>4125000</v>
      </c>
      <c r="L899" s="1">
        <v>0</v>
      </c>
      <c r="M899" s="1">
        <v>400000</v>
      </c>
      <c r="N899" s="1">
        <v>2044857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8364144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1460612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3038073</v>
      </c>
      <c r="AM899" s="1">
        <v>0</v>
      </c>
      <c r="AN899" s="1">
        <v>49285941</v>
      </c>
      <c r="AO899" s="1">
        <v>5910037</v>
      </c>
      <c r="AP899" s="1">
        <v>43375904</v>
      </c>
      <c r="AQ899" s="1">
        <v>9857188</v>
      </c>
      <c r="AR899" s="1">
        <v>1478578</v>
      </c>
      <c r="AS899" s="1">
        <v>0</v>
      </c>
      <c r="AT899" s="1">
        <f t="shared" ref="AT899:AT962" si="97">AS899+AR899+AQ899+AN899</f>
        <v>60621707</v>
      </c>
    </row>
    <row r="900" spans="1:46" x14ac:dyDescent="0.2">
      <c r="A900" s="1" t="str">
        <f>"01161"</f>
        <v>01161</v>
      </c>
      <c r="B900" s="1" t="str">
        <f>"صادق"</f>
        <v>صادق</v>
      </c>
      <c r="C900" s="1" t="str">
        <f>"گنجي"</f>
        <v>گنجي</v>
      </c>
      <c r="D900" s="1" t="str">
        <f t="shared" si="95"/>
        <v>قراردادي بهره بردار</v>
      </c>
      <c r="E900" s="1" t="str">
        <f t="shared" si="96"/>
        <v>پروژه بهره برداري نيروگاه بوشهر</v>
      </c>
      <c r="F900" s="1">
        <v>14547582</v>
      </c>
      <c r="G900" s="1">
        <v>0</v>
      </c>
      <c r="H900" s="1">
        <v>0</v>
      </c>
      <c r="I900" s="1">
        <v>10354686</v>
      </c>
      <c r="J900" s="1">
        <v>0</v>
      </c>
      <c r="K900" s="1">
        <v>5500000</v>
      </c>
      <c r="L900" s="1">
        <v>0</v>
      </c>
      <c r="M900" s="1">
        <v>400000</v>
      </c>
      <c r="N900" s="1">
        <v>2387138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1342000</v>
      </c>
      <c r="U900" s="1">
        <v>0</v>
      </c>
      <c r="V900" s="1">
        <v>9721411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1705098</v>
      </c>
      <c r="AF900" s="1">
        <v>1111269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3410196</v>
      </c>
      <c r="AM900" s="1">
        <v>0</v>
      </c>
      <c r="AN900" s="1">
        <v>51579380</v>
      </c>
      <c r="AO900" s="1">
        <v>8709607</v>
      </c>
      <c r="AP900" s="1">
        <v>42869773</v>
      </c>
      <c r="AQ900" s="1">
        <v>9825222</v>
      </c>
      <c r="AR900" s="1">
        <v>1473783</v>
      </c>
      <c r="AS900" s="1">
        <v>0</v>
      </c>
      <c r="AT900" s="1">
        <f t="shared" si="97"/>
        <v>62878385</v>
      </c>
    </row>
    <row r="901" spans="1:46" x14ac:dyDescent="0.2">
      <c r="A901" s="1" t="str">
        <f>"01163"</f>
        <v>01163</v>
      </c>
      <c r="B901" s="1" t="str">
        <f>"علي"</f>
        <v>علي</v>
      </c>
      <c r="C901" s="1" t="str">
        <f>"مطهر"</f>
        <v>مطهر</v>
      </c>
      <c r="D901" s="1" t="str">
        <f t="shared" si="95"/>
        <v>قراردادي بهره بردار</v>
      </c>
      <c r="E901" s="1" t="str">
        <f t="shared" si="96"/>
        <v>پروژه بهره برداري نيروگاه بوشهر</v>
      </c>
      <c r="F901" s="1">
        <v>13529553</v>
      </c>
      <c r="G901" s="1">
        <v>9275833</v>
      </c>
      <c r="H901" s="1">
        <v>0</v>
      </c>
      <c r="I901" s="1">
        <v>9256477</v>
      </c>
      <c r="J901" s="1">
        <v>0</v>
      </c>
      <c r="K901" s="1">
        <v>4125000</v>
      </c>
      <c r="L901" s="1">
        <v>0</v>
      </c>
      <c r="M901" s="1">
        <v>400000</v>
      </c>
      <c r="N901" s="1">
        <v>2151916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7233591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1537083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2459333</v>
      </c>
      <c r="AM901" s="1">
        <v>0</v>
      </c>
      <c r="AN901" s="1">
        <v>51068786</v>
      </c>
      <c r="AO901" s="1">
        <v>8151568</v>
      </c>
      <c r="AP901" s="1">
        <v>42917218</v>
      </c>
      <c r="AQ901" s="1">
        <v>10213757</v>
      </c>
      <c r="AR901" s="1">
        <v>1532064</v>
      </c>
      <c r="AS901" s="1">
        <v>0</v>
      </c>
      <c r="AT901" s="1">
        <f t="shared" si="97"/>
        <v>62814607</v>
      </c>
    </row>
    <row r="902" spans="1:46" x14ac:dyDescent="0.2">
      <c r="A902" s="1" t="str">
        <f>"01164"</f>
        <v>01164</v>
      </c>
      <c r="B902" s="1" t="str">
        <f>"مجتبي"</f>
        <v>مجتبي</v>
      </c>
      <c r="C902" s="1" t="str">
        <f>"منفرد"</f>
        <v>منفرد</v>
      </c>
      <c r="D902" s="1" t="str">
        <f t="shared" si="95"/>
        <v>قراردادي بهره بردار</v>
      </c>
      <c r="E902" s="1" t="str">
        <f t="shared" si="96"/>
        <v>پروژه بهره برداري نيروگاه بوشهر</v>
      </c>
      <c r="F902" s="1">
        <v>13222598</v>
      </c>
      <c r="G902" s="1">
        <v>526908</v>
      </c>
      <c r="H902" s="1">
        <v>0</v>
      </c>
      <c r="I902" s="1">
        <v>8898924</v>
      </c>
      <c r="J902" s="1">
        <v>0</v>
      </c>
      <c r="K902" s="1">
        <v>4125000</v>
      </c>
      <c r="L902" s="1">
        <v>0</v>
      </c>
      <c r="M902" s="1">
        <v>400000</v>
      </c>
      <c r="N902" s="1">
        <v>2036959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5821075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1454971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3491930</v>
      </c>
      <c r="AM902" s="1">
        <v>0</v>
      </c>
      <c r="AN902" s="1">
        <v>41078365</v>
      </c>
      <c r="AO902" s="1">
        <v>4531166</v>
      </c>
      <c r="AP902" s="1">
        <v>36547199</v>
      </c>
      <c r="AQ902" s="1">
        <v>8215673</v>
      </c>
      <c r="AR902" s="1">
        <v>1232351</v>
      </c>
      <c r="AS902" s="1">
        <v>0</v>
      </c>
      <c r="AT902" s="1">
        <f t="shared" si="97"/>
        <v>50526389</v>
      </c>
    </row>
    <row r="903" spans="1:46" x14ac:dyDescent="0.2">
      <c r="A903" s="1" t="str">
        <f>"01165"</f>
        <v>01165</v>
      </c>
      <c r="B903" s="1" t="str">
        <f>"کاظم"</f>
        <v>کاظم</v>
      </c>
      <c r="C903" s="1" t="str">
        <f>"مهربانيان"</f>
        <v>مهربانيان</v>
      </c>
      <c r="D903" s="1" t="str">
        <f t="shared" si="95"/>
        <v>قراردادي بهره بردار</v>
      </c>
      <c r="E903" s="1" t="str">
        <f t="shared" si="96"/>
        <v>پروژه بهره برداري نيروگاه بوشهر</v>
      </c>
      <c r="F903" s="1">
        <v>14297087</v>
      </c>
      <c r="G903" s="1">
        <v>2136358</v>
      </c>
      <c r="H903" s="1">
        <v>0</v>
      </c>
      <c r="I903" s="1">
        <v>7433613</v>
      </c>
      <c r="J903" s="1">
        <v>0</v>
      </c>
      <c r="K903" s="1">
        <v>5500000</v>
      </c>
      <c r="L903" s="1">
        <v>0</v>
      </c>
      <c r="M903" s="1">
        <v>400000</v>
      </c>
      <c r="N903" s="1">
        <v>2397218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1342000</v>
      </c>
      <c r="U903" s="1">
        <v>0</v>
      </c>
      <c r="V903" s="1">
        <v>3218410</v>
      </c>
      <c r="W903" s="1">
        <v>1100000</v>
      </c>
      <c r="X903" s="1">
        <v>1602269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1712298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6343885</v>
      </c>
      <c r="AM903" s="1">
        <v>0</v>
      </c>
      <c r="AN903" s="1">
        <v>47483138</v>
      </c>
      <c r="AO903" s="1">
        <v>6247685</v>
      </c>
      <c r="AP903" s="1">
        <v>41235453</v>
      </c>
      <c r="AQ903" s="1">
        <v>9228228</v>
      </c>
      <c r="AR903" s="1">
        <v>1384234</v>
      </c>
      <c r="AS903" s="1">
        <v>0</v>
      </c>
      <c r="AT903" s="1">
        <f t="shared" si="97"/>
        <v>58095600</v>
      </c>
    </row>
    <row r="904" spans="1:46" x14ac:dyDescent="0.2">
      <c r="A904" s="1" t="str">
        <f>"01166"</f>
        <v>01166</v>
      </c>
      <c r="B904" s="1" t="str">
        <f>"محمد"</f>
        <v>محمد</v>
      </c>
      <c r="C904" s="1" t="str">
        <f>"ميرعلائي"</f>
        <v>ميرعلائي</v>
      </c>
      <c r="D904" s="1" t="str">
        <f t="shared" si="95"/>
        <v>قراردادي بهره بردار</v>
      </c>
      <c r="E904" s="1" t="str">
        <f t="shared" si="96"/>
        <v>پروژه بهره برداري نيروگاه بوشهر</v>
      </c>
      <c r="F904" s="1">
        <v>14705665</v>
      </c>
      <c r="G904" s="1">
        <v>7492899</v>
      </c>
      <c r="H904" s="1">
        <v>0</v>
      </c>
      <c r="I904" s="1">
        <v>10455071</v>
      </c>
      <c r="J904" s="1">
        <v>0</v>
      </c>
      <c r="K904" s="1">
        <v>4125000</v>
      </c>
      <c r="L904" s="1">
        <v>0</v>
      </c>
      <c r="M904" s="1">
        <v>400000</v>
      </c>
      <c r="N904" s="1">
        <v>2449389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10470033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1749564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3359163</v>
      </c>
      <c r="AM904" s="1">
        <v>0</v>
      </c>
      <c r="AN904" s="1">
        <v>56306784</v>
      </c>
      <c r="AO904" s="1">
        <v>8391731</v>
      </c>
      <c r="AP904" s="1">
        <v>47915053</v>
      </c>
      <c r="AQ904" s="1">
        <v>11261357</v>
      </c>
      <c r="AR904" s="1">
        <v>1689204</v>
      </c>
      <c r="AS904" s="1">
        <v>0</v>
      </c>
      <c r="AT904" s="1">
        <f t="shared" si="97"/>
        <v>69257345</v>
      </c>
    </row>
    <row r="905" spans="1:46" x14ac:dyDescent="0.2">
      <c r="A905" s="1" t="str">
        <f>"01167"</f>
        <v>01167</v>
      </c>
      <c r="B905" s="1" t="str">
        <f>"محمد"</f>
        <v>محمد</v>
      </c>
      <c r="C905" s="1" t="str">
        <f>"سروش"</f>
        <v>سروش</v>
      </c>
      <c r="D905" s="1" t="str">
        <f t="shared" si="95"/>
        <v>قراردادي بهره بردار</v>
      </c>
      <c r="E905" s="1" t="str">
        <f t="shared" si="96"/>
        <v>پروژه بهره برداري نيروگاه بوشهر</v>
      </c>
      <c r="F905" s="1">
        <v>13267577</v>
      </c>
      <c r="G905" s="1">
        <v>3486225</v>
      </c>
      <c r="H905" s="1">
        <v>0</v>
      </c>
      <c r="I905" s="1">
        <v>7173426</v>
      </c>
      <c r="J905" s="1">
        <v>0</v>
      </c>
      <c r="K905" s="1">
        <v>4125000</v>
      </c>
      <c r="L905" s="1">
        <v>0</v>
      </c>
      <c r="M905" s="1">
        <v>400000</v>
      </c>
      <c r="N905" s="1">
        <v>2173893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3001128</v>
      </c>
      <c r="W905" s="1">
        <v>1100000</v>
      </c>
      <c r="X905" s="1">
        <v>1992128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1552781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5843610</v>
      </c>
      <c r="AM905" s="1">
        <v>0</v>
      </c>
      <c r="AN905" s="1">
        <v>44115768</v>
      </c>
      <c r="AO905" s="1">
        <v>16429453</v>
      </c>
      <c r="AP905" s="1">
        <v>27686315</v>
      </c>
      <c r="AQ905" s="1">
        <v>8823154</v>
      </c>
      <c r="AR905" s="1">
        <v>1323473</v>
      </c>
      <c r="AS905" s="1">
        <v>0</v>
      </c>
      <c r="AT905" s="1">
        <f t="shared" si="97"/>
        <v>54262395</v>
      </c>
    </row>
    <row r="906" spans="1:46" x14ac:dyDescent="0.2">
      <c r="A906" s="1" t="str">
        <f>"01169"</f>
        <v>01169</v>
      </c>
      <c r="B906" s="1" t="str">
        <f>"محمدمهدي"</f>
        <v>محمدمهدي</v>
      </c>
      <c r="C906" s="1" t="str">
        <f>"مهدي نياي رود پشتي"</f>
        <v>مهدي نياي رود پشتي</v>
      </c>
      <c r="D906" s="1" t="str">
        <f t="shared" si="95"/>
        <v>قراردادي بهره بردار</v>
      </c>
      <c r="E906" s="1" t="str">
        <f t="shared" si="96"/>
        <v>پروژه بهره برداري نيروگاه بوشهر</v>
      </c>
      <c r="F906" s="1">
        <v>14157583</v>
      </c>
      <c r="G906" s="1">
        <v>3688679</v>
      </c>
      <c r="H906" s="1">
        <v>0</v>
      </c>
      <c r="I906" s="1">
        <v>7318335</v>
      </c>
      <c r="J906" s="1">
        <v>0</v>
      </c>
      <c r="K906" s="1">
        <v>5500000</v>
      </c>
      <c r="L906" s="1">
        <v>0</v>
      </c>
      <c r="M906" s="1">
        <v>400000</v>
      </c>
      <c r="N906" s="1">
        <v>2345360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1342000</v>
      </c>
      <c r="U906" s="1">
        <v>0</v>
      </c>
      <c r="V906" s="1">
        <v>3175412</v>
      </c>
      <c r="W906" s="1">
        <v>1100000</v>
      </c>
      <c r="X906" s="1">
        <v>2196866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1675258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6257583</v>
      </c>
      <c r="AM906" s="1">
        <v>0</v>
      </c>
      <c r="AN906" s="1">
        <v>49157076</v>
      </c>
      <c r="AO906" s="1">
        <v>6519466</v>
      </c>
      <c r="AP906" s="1">
        <v>42637610</v>
      </c>
      <c r="AQ906" s="1">
        <v>9563015</v>
      </c>
      <c r="AR906" s="1">
        <v>1434452</v>
      </c>
      <c r="AS906" s="1">
        <v>0</v>
      </c>
      <c r="AT906" s="1">
        <f t="shared" si="97"/>
        <v>60154543</v>
      </c>
    </row>
    <row r="907" spans="1:46" x14ac:dyDescent="0.2">
      <c r="A907" s="1" t="str">
        <f>"01170"</f>
        <v>01170</v>
      </c>
      <c r="B907" s="1" t="str">
        <f>"عماد"</f>
        <v>عماد</v>
      </c>
      <c r="C907" s="1" t="str">
        <f>"نوري فر"</f>
        <v>نوري فر</v>
      </c>
      <c r="D907" s="1" t="str">
        <f t="shared" si="95"/>
        <v>قراردادي بهره بردار</v>
      </c>
      <c r="E907" s="1" t="str">
        <f t="shared" si="96"/>
        <v>پروژه بهره برداري نيروگاه بوشهر</v>
      </c>
      <c r="F907" s="1">
        <v>14288940</v>
      </c>
      <c r="G907" s="1">
        <v>1875056</v>
      </c>
      <c r="H907" s="1">
        <v>0</v>
      </c>
      <c r="I907" s="1">
        <v>7549099</v>
      </c>
      <c r="J907" s="1">
        <v>0</v>
      </c>
      <c r="K907" s="1">
        <v>4125000</v>
      </c>
      <c r="L907" s="1">
        <v>0</v>
      </c>
      <c r="M907" s="1">
        <v>400000</v>
      </c>
      <c r="N907" s="1">
        <v>2394871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3228296</v>
      </c>
      <c r="W907" s="1">
        <v>1100000</v>
      </c>
      <c r="X907" s="1">
        <v>2142921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1710622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6339429</v>
      </c>
      <c r="AM907" s="1">
        <v>0</v>
      </c>
      <c r="AN907" s="1">
        <v>45154234</v>
      </c>
      <c r="AO907" s="1">
        <v>21305982</v>
      </c>
      <c r="AP907" s="1">
        <v>23848252</v>
      </c>
      <c r="AQ907" s="1">
        <v>9030847</v>
      </c>
      <c r="AR907" s="1">
        <v>1354627</v>
      </c>
      <c r="AS907" s="1">
        <v>0</v>
      </c>
      <c r="AT907" s="1">
        <f t="shared" si="97"/>
        <v>55539708</v>
      </c>
    </row>
    <row r="908" spans="1:46" x14ac:dyDescent="0.2">
      <c r="A908" s="1" t="str">
        <f>"01172"</f>
        <v>01172</v>
      </c>
      <c r="B908" s="1" t="str">
        <f>"مظاهر"</f>
        <v>مظاهر</v>
      </c>
      <c r="C908" s="1" t="str">
        <f>"اسکندري"</f>
        <v>اسکندري</v>
      </c>
      <c r="D908" s="1" t="str">
        <f t="shared" si="95"/>
        <v>قراردادي بهره بردار</v>
      </c>
      <c r="E908" s="1" t="str">
        <f t="shared" si="96"/>
        <v>پروژه بهره برداري نيروگاه بوشهر</v>
      </c>
      <c r="F908" s="1">
        <v>13476579</v>
      </c>
      <c r="G908" s="1">
        <v>2923473</v>
      </c>
      <c r="H908" s="1">
        <v>0</v>
      </c>
      <c r="I908" s="1">
        <v>9600674</v>
      </c>
      <c r="J908" s="1">
        <v>0</v>
      </c>
      <c r="K908" s="1">
        <v>5500000</v>
      </c>
      <c r="L908" s="1">
        <v>0</v>
      </c>
      <c r="M908" s="1">
        <v>400000</v>
      </c>
      <c r="N908" s="1">
        <v>2148924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9171481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1534946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2824300</v>
      </c>
      <c r="AM908" s="1">
        <v>0</v>
      </c>
      <c r="AN908" s="1">
        <v>48680377</v>
      </c>
      <c r="AO908" s="1">
        <v>9399754</v>
      </c>
      <c r="AP908" s="1">
        <v>39280623</v>
      </c>
      <c r="AQ908" s="1">
        <v>9736075</v>
      </c>
      <c r="AR908" s="1">
        <v>1460411</v>
      </c>
      <c r="AS908" s="1">
        <v>0</v>
      </c>
      <c r="AT908" s="1">
        <f t="shared" si="97"/>
        <v>59876863</v>
      </c>
    </row>
    <row r="909" spans="1:46" x14ac:dyDescent="0.2">
      <c r="A909" s="1" t="str">
        <f>"01173"</f>
        <v>01173</v>
      </c>
      <c r="B909" s="1" t="str">
        <f>"حجت"</f>
        <v>حجت</v>
      </c>
      <c r="C909" s="1" t="str">
        <f>"تنگسير اصل"</f>
        <v>تنگسير اصل</v>
      </c>
      <c r="D909" s="1" t="str">
        <f t="shared" si="95"/>
        <v>قراردادي بهره بردار</v>
      </c>
      <c r="E909" s="1" t="str">
        <f t="shared" si="96"/>
        <v>پروژه بهره برداري نيروگاه بوشهر</v>
      </c>
      <c r="F909" s="1">
        <v>12930738</v>
      </c>
      <c r="G909" s="1">
        <v>2613405</v>
      </c>
      <c r="H909" s="1">
        <v>0</v>
      </c>
      <c r="I909" s="1">
        <v>6557901</v>
      </c>
      <c r="J909" s="1">
        <v>0</v>
      </c>
      <c r="K909" s="1">
        <v>4125000</v>
      </c>
      <c r="L909" s="1">
        <v>0</v>
      </c>
      <c r="M909" s="1">
        <v>400000</v>
      </c>
      <c r="N909" s="1">
        <v>2047668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2863330</v>
      </c>
      <c r="W909" s="1">
        <v>1100000</v>
      </c>
      <c r="X909" s="1">
        <v>2006494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1462621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5634366</v>
      </c>
      <c r="AM909" s="1">
        <v>0</v>
      </c>
      <c r="AN909" s="1">
        <v>41741523</v>
      </c>
      <c r="AO909" s="1">
        <v>5459511</v>
      </c>
      <c r="AP909" s="1">
        <v>36282012</v>
      </c>
      <c r="AQ909" s="1">
        <v>8348305</v>
      </c>
      <c r="AR909" s="1">
        <v>1252246</v>
      </c>
      <c r="AS909" s="1">
        <v>0</v>
      </c>
      <c r="AT909" s="1">
        <f t="shared" si="97"/>
        <v>51342074</v>
      </c>
    </row>
    <row r="910" spans="1:46" x14ac:dyDescent="0.2">
      <c r="A910" s="1" t="str">
        <f>"01174"</f>
        <v>01174</v>
      </c>
      <c r="B910" s="1" t="str">
        <f>"محمد"</f>
        <v>محمد</v>
      </c>
      <c r="C910" s="1" t="str">
        <f>"جاماسب خلاري"</f>
        <v>جاماسب خلاري</v>
      </c>
      <c r="D910" s="1" t="str">
        <f t="shared" si="95"/>
        <v>قراردادي بهره بردار</v>
      </c>
      <c r="E910" s="1" t="str">
        <f t="shared" si="96"/>
        <v>پروژه بهره برداري نيروگاه بوشهر</v>
      </c>
      <c r="F910" s="1">
        <v>13203161</v>
      </c>
      <c r="G910" s="1">
        <v>5850647</v>
      </c>
      <c r="H910" s="1">
        <v>0</v>
      </c>
      <c r="I910" s="1">
        <v>8915308</v>
      </c>
      <c r="J910" s="1">
        <v>0</v>
      </c>
      <c r="K910" s="1">
        <v>4125000</v>
      </c>
      <c r="L910" s="1">
        <v>0</v>
      </c>
      <c r="M910" s="1">
        <v>400000</v>
      </c>
      <c r="N910" s="1">
        <v>2053479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9622460</v>
      </c>
      <c r="W910" s="1">
        <v>1100000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1466771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3520250</v>
      </c>
      <c r="AM910" s="1">
        <v>0</v>
      </c>
      <c r="AN910" s="1">
        <v>50257076</v>
      </c>
      <c r="AO910" s="1">
        <v>7253824</v>
      </c>
      <c r="AP910" s="1">
        <v>43003252</v>
      </c>
      <c r="AQ910" s="1">
        <v>10051415</v>
      </c>
      <c r="AR910" s="1">
        <v>1507712</v>
      </c>
      <c r="AS910" s="1">
        <v>0</v>
      </c>
      <c r="AT910" s="1">
        <f t="shared" si="97"/>
        <v>61816203</v>
      </c>
    </row>
    <row r="911" spans="1:46" x14ac:dyDescent="0.2">
      <c r="A911" s="1" t="str">
        <f>"01175"</f>
        <v>01175</v>
      </c>
      <c r="B911" s="1" t="str">
        <f>"محمد مرتضي"</f>
        <v>محمد مرتضي</v>
      </c>
      <c r="C911" s="1" t="str">
        <f>"غلامي"</f>
        <v>غلامي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13588696</v>
      </c>
      <c r="G911" s="1">
        <v>5001291</v>
      </c>
      <c r="H911" s="1">
        <v>0</v>
      </c>
      <c r="I911" s="1">
        <v>8817740</v>
      </c>
      <c r="J911" s="1">
        <v>0</v>
      </c>
      <c r="K911" s="1">
        <v>4125000</v>
      </c>
      <c r="L911" s="1">
        <v>0</v>
      </c>
      <c r="M911" s="1">
        <v>400000</v>
      </c>
      <c r="N911" s="1">
        <v>2165094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6056370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1546496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2721831</v>
      </c>
      <c r="AM911" s="1">
        <v>0</v>
      </c>
      <c r="AN911" s="1">
        <v>45522518</v>
      </c>
      <c r="AO911" s="1">
        <v>6293906</v>
      </c>
      <c r="AP911" s="1">
        <v>39228612</v>
      </c>
      <c r="AQ911" s="1">
        <v>9104504</v>
      </c>
      <c r="AR911" s="1">
        <v>1365676</v>
      </c>
      <c r="AS911" s="1">
        <v>0</v>
      </c>
      <c r="AT911" s="1">
        <f t="shared" si="97"/>
        <v>55992698</v>
      </c>
    </row>
    <row r="912" spans="1:46" x14ac:dyDescent="0.2">
      <c r="A912" s="1" t="str">
        <f>"01176"</f>
        <v>01176</v>
      </c>
      <c r="B912" s="1" t="str">
        <f>"محمد"</f>
        <v>محمد</v>
      </c>
      <c r="C912" s="1" t="str">
        <f>"مهري"</f>
        <v>مهري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15551987</v>
      </c>
      <c r="G912" s="1">
        <v>3429730</v>
      </c>
      <c r="H912" s="1">
        <v>0</v>
      </c>
      <c r="I912" s="1">
        <v>7909852</v>
      </c>
      <c r="J912" s="1">
        <v>0</v>
      </c>
      <c r="K912" s="1">
        <v>5500000</v>
      </c>
      <c r="L912" s="1">
        <v>0</v>
      </c>
      <c r="M912" s="1">
        <v>400000</v>
      </c>
      <c r="N912" s="1">
        <v>2487115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1342000</v>
      </c>
      <c r="U912" s="1">
        <v>0</v>
      </c>
      <c r="V912" s="1">
        <v>3757720</v>
      </c>
      <c r="W912" s="1">
        <v>1100000</v>
      </c>
      <c r="X912" s="1">
        <v>2413239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1776511</v>
      </c>
      <c r="AF912" s="1">
        <v>0</v>
      </c>
      <c r="AG912" s="1">
        <v>3054326</v>
      </c>
      <c r="AH912" s="1">
        <v>0</v>
      </c>
      <c r="AI912" s="1">
        <v>0</v>
      </c>
      <c r="AJ912" s="1">
        <v>0</v>
      </c>
      <c r="AK912" s="1">
        <v>0</v>
      </c>
      <c r="AL912" s="1">
        <v>6797410</v>
      </c>
      <c r="AM912" s="1">
        <v>0</v>
      </c>
      <c r="AN912" s="1">
        <v>55519890</v>
      </c>
      <c r="AO912" s="1">
        <v>6691885</v>
      </c>
      <c r="AP912" s="1">
        <v>48828005</v>
      </c>
      <c r="AQ912" s="1">
        <v>10835578</v>
      </c>
      <c r="AR912" s="1">
        <v>1625337</v>
      </c>
      <c r="AS912" s="1">
        <v>0</v>
      </c>
      <c r="AT912" s="1">
        <f t="shared" si="97"/>
        <v>67980805</v>
      </c>
    </row>
    <row r="913" spans="1:46" x14ac:dyDescent="0.2">
      <c r="A913" s="1" t="str">
        <f>"01177"</f>
        <v>01177</v>
      </c>
      <c r="B913" s="1" t="str">
        <f>"مسلم"</f>
        <v>مسلم</v>
      </c>
      <c r="C913" s="1" t="str">
        <f>"صالحي"</f>
        <v>صالحي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7981526</v>
      </c>
      <c r="G913" s="1">
        <v>4272924</v>
      </c>
      <c r="H913" s="1">
        <v>0</v>
      </c>
      <c r="I913" s="1">
        <v>3836351</v>
      </c>
      <c r="J913" s="1">
        <v>0</v>
      </c>
      <c r="K913" s="1">
        <v>0</v>
      </c>
      <c r="L913" s="1">
        <v>0</v>
      </c>
      <c r="M913" s="1">
        <v>400000</v>
      </c>
      <c r="N913" s="1">
        <v>1066788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1342000</v>
      </c>
      <c r="U913" s="1">
        <v>0</v>
      </c>
      <c r="V913" s="1">
        <v>1471345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761992</v>
      </c>
      <c r="AF913" s="1">
        <v>1111269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1066788</v>
      </c>
      <c r="AM913" s="1">
        <v>0</v>
      </c>
      <c r="AN913" s="1">
        <v>24410983</v>
      </c>
      <c r="AO913" s="1">
        <v>1537040</v>
      </c>
      <c r="AP913" s="1">
        <v>22873943</v>
      </c>
      <c r="AQ913" s="1">
        <v>4391543</v>
      </c>
      <c r="AR913" s="1">
        <v>658731</v>
      </c>
      <c r="AS913" s="1">
        <v>0</v>
      </c>
      <c r="AT913" s="1">
        <f t="shared" si="97"/>
        <v>29461257</v>
      </c>
    </row>
    <row r="914" spans="1:46" x14ac:dyDescent="0.2">
      <c r="A914" s="1" t="str">
        <f>"01178"</f>
        <v>01178</v>
      </c>
      <c r="B914" s="1" t="str">
        <f>"مجيد"</f>
        <v>مجيد</v>
      </c>
      <c r="C914" s="1" t="str">
        <f>"دانيالي"</f>
        <v>دانيالي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13617385</v>
      </c>
      <c r="G914" s="1">
        <v>5231337</v>
      </c>
      <c r="H914" s="1">
        <v>0</v>
      </c>
      <c r="I914" s="1">
        <v>9341807</v>
      </c>
      <c r="J914" s="1">
        <v>0</v>
      </c>
      <c r="K914" s="1">
        <v>5500000</v>
      </c>
      <c r="L914" s="1">
        <v>0</v>
      </c>
      <c r="M914" s="1">
        <v>400000</v>
      </c>
      <c r="N914" s="1">
        <v>2184664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7300272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1560475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2496759</v>
      </c>
      <c r="AM914" s="1">
        <v>0</v>
      </c>
      <c r="AN914" s="1">
        <v>48732699</v>
      </c>
      <c r="AO914" s="1">
        <v>5817093</v>
      </c>
      <c r="AP914" s="1">
        <v>42915606</v>
      </c>
      <c r="AQ914" s="1">
        <v>9746540</v>
      </c>
      <c r="AR914" s="1">
        <v>1461981</v>
      </c>
      <c r="AS914" s="1">
        <v>0</v>
      </c>
      <c r="AT914" s="1">
        <f t="shared" si="97"/>
        <v>59941220</v>
      </c>
    </row>
    <row r="915" spans="1:46" x14ac:dyDescent="0.2">
      <c r="A915" s="1" t="str">
        <f>"01179"</f>
        <v>01179</v>
      </c>
      <c r="B915" s="1" t="str">
        <f>"جواد"</f>
        <v>جواد</v>
      </c>
      <c r="C915" s="1" t="str">
        <f>"ذبيحي شيخ آبادي"</f>
        <v>ذبيحي شيخ آبادي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14258974</v>
      </c>
      <c r="G915" s="1">
        <v>7961906</v>
      </c>
      <c r="H915" s="1">
        <v>0</v>
      </c>
      <c r="I915" s="1">
        <v>10261381</v>
      </c>
      <c r="J915" s="1">
        <v>0</v>
      </c>
      <c r="K915" s="1">
        <v>0</v>
      </c>
      <c r="L915" s="1">
        <v>0</v>
      </c>
      <c r="M915" s="1">
        <v>400000</v>
      </c>
      <c r="N915" s="1">
        <v>2286657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9991193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1633326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3789317</v>
      </c>
      <c r="AM915" s="1">
        <v>0</v>
      </c>
      <c r="AN915" s="1">
        <v>51682754</v>
      </c>
      <c r="AO915" s="1">
        <v>8597022</v>
      </c>
      <c r="AP915" s="1">
        <v>43085732</v>
      </c>
      <c r="AQ915" s="1">
        <v>10336551</v>
      </c>
      <c r="AR915" s="1">
        <v>1550483</v>
      </c>
      <c r="AS915" s="1">
        <v>0</v>
      </c>
      <c r="AT915" s="1">
        <f t="shared" si="97"/>
        <v>63569788</v>
      </c>
    </row>
    <row r="916" spans="1:46" x14ac:dyDescent="0.2">
      <c r="A916" s="1" t="str">
        <f>"01180"</f>
        <v>01180</v>
      </c>
      <c r="B916" s="1" t="str">
        <f>"نجمه"</f>
        <v>نجمه</v>
      </c>
      <c r="C916" s="1" t="str">
        <f>"ناظمي"</f>
        <v>ناظمي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12857225</v>
      </c>
      <c r="G916" s="1">
        <v>229943</v>
      </c>
      <c r="H916" s="1">
        <v>0</v>
      </c>
      <c r="I916" s="1">
        <v>9238775</v>
      </c>
      <c r="J916" s="1">
        <v>0</v>
      </c>
      <c r="K916" s="1">
        <v>4125000</v>
      </c>
      <c r="L916" s="1">
        <v>0</v>
      </c>
      <c r="M916" s="1">
        <v>400000</v>
      </c>
      <c r="N916" s="1">
        <v>2016226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2771262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1440161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2160243</v>
      </c>
      <c r="AM916" s="1">
        <v>0</v>
      </c>
      <c r="AN916" s="1">
        <v>36338835</v>
      </c>
      <c r="AO916" s="1">
        <v>17181298</v>
      </c>
      <c r="AP916" s="1">
        <v>19157537</v>
      </c>
      <c r="AQ916" s="1">
        <v>7267767</v>
      </c>
      <c r="AR916" s="1">
        <v>1090165</v>
      </c>
      <c r="AS916" s="1">
        <v>0</v>
      </c>
      <c r="AT916" s="1">
        <f t="shared" si="97"/>
        <v>44696767</v>
      </c>
    </row>
    <row r="917" spans="1:46" x14ac:dyDescent="0.2">
      <c r="A917" s="1" t="str">
        <f>"01182"</f>
        <v>01182</v>
      </c>
      <c r="B917" s="1" t="str">
        <f>"علي"</f>
        <v>علي</v>
      </c>
      <c r="C917" s="1" t="str">
        <f>"احدي"</f>
        <v>احدي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14453648</v>
      </c>
      <c r="G917" s="1">
        <v>2459303</v>
      </c>
      <c r="H917" s="1">
        <v>0</v>
      </c>
      <c r="I917" s="1">
        <v>7824744</v>
      </c>
      <c r="J917" s="1">
        <v>0</v>
      </c>
      <c r="K917" s="1">
        <v>5500000</v>
      </c>
      <c r="L917" s="1">
        <v>0</v>
      </c>
      <c r="M917" s="1">
        <v>400000</v>
      </c>
      <c r="N917" s="1">
        <v>2457067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1342000</v>
      </c>
      <c r="U917" s="1">
        <v>0</v>
      </c>
      <c r="V917" s="1">
        <v>3293266</v>
      </c>
      <c r="W917" s="1">
        <v>1100000</v>
      </c>
      <c r="X917" s="1">
        <v>2242808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1755047</v>
      </c>
      <c r="AF917" s="1">
        <v>1111269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6442151</v>
      </c>
      <c r="AM917" s="1">
        <v>0</v>
      </c>
      <c r="AN917" s="1">
        <v>50381303</v>
      </c>
      <c r="AO917" s="1">
        <v>6670981</v>
      </c>
      <c r="AP917" s="1">
        <v>43710322</v>
      </c>
      <c r="AQ917" s="1">
        <v>9585607</v>
      </c>
      <c r="AR917" s="1">
        <v>1437841</v>
      </c>
      <c r="AS917" s="1">
        <v>0</v>
      </c>
      <c r="AT917" s="1">
        <f t="shared" si="97"/>
        <v>61404751</v>
      </c>
    </row>
    <row r="918" spans="1:46" x14ac:dyDescent="0.2">
      <c r="A918" s="1" t="str">
        <f>"01183"</f>
        <v>01183</v>
      </c>
      <c r="B918" s="1" t="str">
        <f>"مسعود"</f>
        <v>مسعود</v>
      </c>
      <c r="C918" s="1" t="str">
        <f>"كرمي"</f>
        <v>كرمي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16199929</v>
      </c>
      <c r="G918" s="1">
        <v>2018402</v>
      </c>
      <c r="H918" s="1">
        <v>0</v>
      </c>
      <c r="I918" s="1">
        <v>11825768</v>
      </c>
      <c r="J918" s="1">
        <v>0</v>
      </c>
      <c r="K918" s="1">
        <v>4125000</v>
      </c>
      <c r="L918" s="1">
        <v>0</v>
      </c>
      <c r="M918" s="1">
        <v>400000</v>
      </c>
      <c r="N918" s="1">
        <v>2678188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8919415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1912991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3060785</v>
      </c>
      <c r="AM918" s="1">
        <v>0</v>
      </c>
      <c r="AN918" s="1">
        <v>52240478</v>
      </c>
      <c r="AO918" s="1">
        <v>6406399</v>
      </c>
      <c r="AP918" s="1">
        <v>45834079</v>
      </c>
      <c r="AQ918" s="1">
        <v>10448096</v>
      </c>
      <c r="AR918" s="1">
        <v>1567214</v>
      </c>
      <c r="AS918" s="1">
        <v>0</v>
      </c>
      <c r="AT918" s="1">
        <f t="shared" si="97"/>
        <v>64255788</v>
      </c>
    </row>
    <row r="919" spans="1:46" x14ac:dyDescent="0.2">
      <c r="A919" s="1" t="str">
        <f>"01185"</f>
        <v>01185</v>
      </c>
      <c r="B919" s="1" t="str">
        <f>"محمود"</f>
        <v>محمود</v>
      </c>
      <c r="C919" s="1" t="str">
        <f>"دهقاني"</f>
        <v>دهقاني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7789876</v>
      </c>
      <c r="G919" s="1">
        <v>13036600</v>
      </c>
      <c r="H919" s="1">
        <v>0</v>
      </c>
      <c r="I919" s="1">
        <v>4673925</v>
      </c>
      <c r="J919" s="1">
        <v>0</v>
      </c>
      <c r="K919" s="1">
        <v>0</v>
      </c>
      <c r="L919" s="1">
        <v>3500010</v>
      </c>
      <c r="M919" s="1">
        <v>400000</v>
      </c>
      <c r="N919" s="1">
        <v>4154600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6470524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2222538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43348073</v>
      </c>
      <c r="AO919" s="1">
        <v>4761343</v>
      </c>
      <c r="AP919" s="1">
        <v>38586730</v>
      </c>
      <c r="AQ919" s="1">
        <v>8225107</v>
      </c>
      <c r="AR919" s="1">
        <v>1233766</v>
      </c>
      <c r="AS919" s="1">
        <v>0</v>
      </c>
      <c r="AT919" s="1">
        <f t="shared" si="97"/>
        <v>52806946</v>
      </c>
    </row>
    <row r="920" spans="1:46" x14ac:dyDescent="0.2">
      <c r="A920" s="1" t="str">
        <f>"01186"</f>
        <v>01186</v>
      </c>
      <c r="B920" s="1" t="str">
        <f>"امير"</f>
        <v>امير</v>
      </c>
      <c r="C920" s="1" t="str">
        <f>"بختياري فرد"</f>
        <v>بختياري فرد</v>
      </c>
      <c r="D920" s="1" t="str">
        <f>"قراردادي کارگري"</f>
        <v>قراردادي کارگري</v>
      </c>
      <c r="E920" s="1" t="str">
        <f>"پروژه تعميرات نيروگاه بوشهر"</f>
        <v>پروژه تعميرات نيروگاه بوشهر</v>
      </c>
      <c r="F920" s="1">
        <v>5334701</v>
      </c>
      <c r="G920" s="1">
        <v>0</v>
      </c>
      <c r="H920" s="1">
        <v>0</v>
      </c>
      <c r="I920" s="1">
        <v>3200821</v>
      </c>
      <c r="J920" s="1">
        <v>0</v>
      </c>
      <c r="K920" s="1">
        <v>0</v>
      </c>
      <c r="L920" s="1">
        <v>3500010</v>
      </c>
      <c r="M920" s="1">
        <v>400000</v>
      </c>
      <c r="N920" s="1">
        <v>2845174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4899212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21279918</v>
      </c>
      <c r="AO920" s="1">
        <v>1529594</v>
      </c>
      <c r="AP920" s="1">
        <v>19750324</v>
      </c>
      <c r="AQ920" s="1">
        <v>4255984</v>
      </c>
      <c r="AR920" s="1">
        <v>638398</v>
      </c>
      <c r="AS920" s="1">
        <v>0</v>
      </c>
      <c r="AT920" s="1">
        <f t="shared" si="97"/>
        <v>26174300</v>
      </c>
    </row>
    <row r="921" spans="1:46" x14ac:dyDescent="0.2">
      <c r="A921" s="1" t="str">
        <f>"01188"</f>
        <v>01188</v>
      </c>
      <c r="B921" s="1" t="str">
        <f>"آرش"</f>
        <v>آرش</v>
      </c>
      <c r="C921" s="1" t="str">
        <f>"احمد خسروي"</f>
        <v>احمد خسروي</v>
      </c>
      <c r="D921" s="1" t="str">
        <f>"قراردادي بهره بردار"</f>
        <v>قراردادي بهره بردار</v>
      </c>
      <c r="E921" s="1" t="str">
        <f t="shared" ref="E921:E937" si="98">"پروژه بهره برداري نيروگاه بوشهر"</f>
        <v>پروژه بهره برداري نيروگاه بوشهر</v>
      </c>
      <c r="F921" s="1">
        <v>9288294</v>
      </c>
      <c r="G921" s="1">
        <v>0</v>
      </c>
      <c r="H921" s="1">
        <v>0</v>
      </c>
      <c r="I921" s="1">
        <v>6265582</v>
      </c>
      <c r="J921" s="1">
        <v>0</v>
      </c>
      <c r="K921" s="1">
        <v>2702586</v>
      </c>
      <c r="L921" s="1">
        <v>0</v>
      </c>
      <c r="M921" s="1">
        <v>262069</v>
      </c>
      <c r="N921" s="1">
        <v>1451237</v>
      </c>
      <c r="O921" s="1">
        <v>0</v>
      </c>
      <c r="P921" s="1">
        <v>0</v>
      </c>
      <c r="Q921" s="1">
        <v>0</v>
      </c>
      <c r="R921" s="1">
        <v>11849413</v>
      </c>
      <c r="S921" s="1">
        <v>0</v>
      </c>
      <c r="T921" s="1">
        <v>0</v>
      </c>
      <c r="U921" s="1">
        <v>0</v>
      </c>
      <c r="V921" s="1">
        <v>3723355</v>
      </c>
      <c r="W921" s="1">
        <v>720690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1036598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1554897</v>
      </c>
      <c r="AM921" s="1">
        <v>0</v>
      </c>
      <c r="AN921" s="1">
        <v>38854721</v>
      </c>
      <c r="AO921" s="1">
        <v>14606063</v>
      </c>
      <c r="AP921" s="1">
        <v>24248658</v>
      </c>
      <c r="AQ921" s="1">
        <v>5401062</v>
      </c>
      <c r="AR921" s="1">
        <v>810159</v>
      </c>
      <c r="AS921" s="1">
        <v>0</v>
      </c>
      <c r="AT921" s="1">
        <f t="shared" si="97"/>
        <v>45065942</v>
      </c>
    </row>
    <row r="922" spans="1:46" x14ac:dyDescent="0.2">
      <c r="A922" s="1" t="str">
        <f>"01189"</f>
        <v>01189</v>
      </c>
      <c r="B922" s="1" t="str">
        <f>"سيد علي"</f>
        <v>سيد علي</v>
      </c>
      <c r="C922" s="1" t="str">
        <f>"احمدي"</f>
        <v>احمدي</v>
      </c>
      <c r="D922" s="1" t="str">
        <f>"قراردادي بهره بردار"</f>
        <v>قراردادي بهره بردار</v>
      </c>
      <c r="E922" s="1" t="str">
        <f t="shared" si="98"/>
        <v>پروژه بهره برداري نيروگاه بوشهر</v>
      </c>
      <c r="F922" s="1">
        <v>14744877</v>
      </c>
      <c r="G922" s="1">
        <v>5411776</v>
      </c>
      <c r="H922" s="1">
        <v>0</v>
      </c>
      <c r="I922" s="1">
        <v>10658166</v>
      </c>
      <c r="J922" s="1">
        <v>0</v>
      </c>
      <c r="K922" s="1">
        <v>4125000</v>
      </c>
      <c r="L922" s="1">
        <v>0</v>
      </c>
      <c r="M922" s="1">
        <v>400000</v>
      </c>
      <c r="N922" s="1">
        <v>2441277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6643026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1743770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3627041</v>
      </c>
      <c r="AM922" s="1">
        <v>0</v>
      </c>
      <c r="AN922" s="1">
        <v>50894933</v>
      </c>
      <c r="AO922" s="1">
        <v>7286619</v>
      </c>
      <c r="AP922" s="1">
        <v>43608314</v>
      </c>
      <c r="AQ922" s="1">
        <v>10178987</v>
      </c>
      <c r="AR922" s="1">
        <v>1526848</v>
      </c>
      <c r="AS922" s="1">
        <v>0</v>
      </c>
      <c r="AT922" s="1">
        <f t="shared" si="97"/>
        <v>62600768</v>
      </c>
    </row>
    <row r="923" spans="1:46" x14ac:dyDescent="0.2">
      <c r="A923" s="1" t="str">
        <f>"01190"</f>
        <v>01190</v>
      </c>
      <c r="B923" s="1" t="str">
        <f>"علي"</f>
        <v>علي</v>
      </c>
      <c r="C923" s="1" t="str">
        <f>"بازياري"</f>
        <v>بازياري</v>
      </c>
      <c r="D923" s="1" t="str">
        <f>"قراردادي بهره بردار"</f>
        <v>قراردادي بهره بردار</v>
      </c>
      <c r="E923" s="1" t="str">
        <f t="shared" si="98"/>
        <v>پروژه بهره برداري نيروگاه بوشهر</v>
      </c>
      <c r="F923" s="1">
        <v>12694032</v>
      </c>
      <c r="G923" s="1">
        <v>3245090</v>
      </c>
      <c r="H923" s="1">
        <v>0</v>
      </c>
      <c r="I923" s="1">
        <v>6391843</v>
      </c>
      <c r="J923" s="1">
        <v>0</v>
      </c>
      <c r="K923" s="1">
        <v>5500000</v>
      </c>
      <c r="L923" s="1">
        <v>0</v>
      </c>
      <c r="M923" s="1">
        <v>400000</v>
      </c>
      <c r="N923" s="1">
        <v>1960536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1342000</v>
      </c>
      <c r="U923" s="1">
        <v>0</v>
      </c>
      <c r="V923" s="1">
        <v>2793547</v>
      </c>
      <c r="W923" s="1">
        <v>1100000</v>
      </c>
      <c r="X923" s="1">
        <v>1854337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1400384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5488671</v>
      </c>
      <c r="AM923" s="1">
        <v>0</v>
      </c>
      <c r="AN923" s="1">
        <v>44170440</v>
      </c>
      <c r="AO923" s="1">
        <v>5586261</v>
      </c>
      <c r="AP923" s="1">
        <v>38584179</v>
      </c>
      <c r="AQ923" s="1">
        <v>8565688</v>
      </c>
      <c r="AR923" s="1">
        <v>1284853</v>
      </c>
      <c r="AS923" s="1">
        <v>0</v>
      </c>
      <c r="AT923" s="1">
        <f t="shared" si="97"/>
        <v>54020981</v>
      </c>
    </row>
    <row r="924" spans="1:46" x14ac:dyDescent="0.2">
      <c r="A924" s="1" t="str">
        <f>"01191"</f>
        <v>01191</v>
      </c>
      <c r="B924" s="1" t="str">
        <f>"احسان"</f>
        <v>احسان</v>
      </c>
      <c r="C924" s="1" t="str">
        <f>"خان خانان"</f>
        <v>خان خانان</v>
      </c>
      <c r="D924" s="1" t="str">
        <f>"قراردادي بهره بردار"</f>
        <v>قراردادي بهره بردار</v>
      </c>
      <c r="E924" s="1" t="str">
        <f t="shared" si="98"/>
        <v>پروژه بهره برداري نيروگاه بوشهر</v>
      </c>
      <c r="F924" s="1">
        <v>11224702</v>
      </c>
      <c r="G924" s="1">
        <v>10520980</v>
      </c>
      <c r="H924" s="1">
        <v>0</v>
      </c>
      <c r="I924" s="1">
        <v>8697754</v>
      </c>
      <c r="J924" s="1">
        <v>0</v>
      </c>
      <c r="K924" s="1">
        <v>0</v>
      </c>
      <c r="L924" s="1">
        <v>0</v>
      </c>
      <c r="M924" s="1">
        <v>400000</v>
      </c>
      <c r="N924" s="1">
        <v>2092397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1342000</v>
      </c>
      <c r="U924" s="1">
        <v>0</v>
      </c>
      <c r="V924" s="1">
        <v>10487078</v>
      </c>
      <c r="W924" s="1">
        <v>1100000</v>
      </c>
      <c r="X924" s="1">
        <v>1741764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1494570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8269600</v>
      </c>
      <c r="AM924" s="1">
        <v>0</v>
      </c>
      <c r="AN924" s="1">
        <v>57370845</v>
      </c>
      <c r="AO924" s="1">
        <v>27073492</v>
      </c>
      <c r="AP924" s="1">
        <v>30297353</v>
      </c>
      <c r="AQ924" s="1">
        <v>11205769</v>
      </c>
      <c r="AR924" s="1">
        <v>1680865</v>
      </c>
      <c r="AS924" s="1">
        <v>0</v>
      </c>
      <c r="AT924" s="1">
        <f t="shared" si="97"/>
        <v>70257479</v>
      </c>
    </row>
    <row r="925" spans="1:46" x14ac:dyDescent="0.2">
      <c r="A925" s="1" t="str">
        <f>"01192"</f>
        <v>01192</v>
      </c>
      <c r="B925" s="1" t="str">
        <f>"حسين"</f>
        <v>حسين</v>
      </c>
      <c r="C925" s="1" t="str">
        <f>"معيني"</f>
        <v>معيني</v>
      </c>
      <c r="D925" s="1" t="str">
        <f>"قراردادي بهره بردار"</f>
        <v>قراردادي بهره بردار</v>
      </c>
      <c r="E925" s="1" t="str">
        <f t="shared" si="98"/>
        <v>پروژه بهره برداري نيروگاه بوشهر</v>
      </c>
      <c r="F925" s="1">
        <v>11249139</v>
      </c>
      <c r="G925" s="1">
        <v>10578254</v>
      </c>
      <c r="H925" s="1">
        <v>0</v>
      </c>
      <c r="I925" s="1">
        <v>8800616</v>
      </c>
      <c r="J925" s="1">
        <v>0</v>
      </c>
      <c r="K925" s="1">
        <v>4620000</v>
      </c>
      <c r="L925" s="1">
        <v>0</v>
      </c>
      <c r="M925" s="1">
        <v>400000</v>
      </c>
      <c r="N925" s="1">
        <v>2101855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1342000</v>
      </c>
      <c r="U925" s="1">
        <v>0</v>
      </c>
      <c r="V925" s="1">
        <v>10544167</v>
      </c>
      <c r="W925" s="1">
        <v>1100000</v>
      </c>
      <c r="X925" s="1">
        <v>1745556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1501325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8299087</v>
      </c>
      <c r="AM925" s="1">
        <v>0</v>
      </c>
      <c r="AN925" s="1">
        <v>62281999</v>
      </c>
      <c r="AO925" s="1">
        <v>7827920</v>
      </c>
      <c r="AP925" s="1">
        <v>54454079</v>
      </c>
      <c r="AQ925" s="1">
        <v>12188000</v>
      </c>
      <c r="AR925" s="1">
        <v>1828200</v>
      </c>
      <c r="AS925" s="1">
        <v>0</v>
      </c>
      <c r="AT925" s="1">
        <f t="shared" si="97"/>
        <v>76298199</v>
      </c>
    </row>
    <row r="926" spans="1:46" x14ac:dyDescent="0.2">
      <c r="A926" s="1" t="str">
        <f>"01193"</f>
        <v>01193</v>
      </c>
      <c r="B926" s="1" t="str">
        <f>"محمد حسين"</f>
        <v>محمد حسين</v>
      </c>
      <c r="C926" s="1" t="str">
        <f>"افضلي"</f>
        <v>افضلي</v>
      </c>
      <c r="D926" s="1" t="str">
        <f>"قراردادي کارگري"</f>
        <v>قراردادي کارگري</v>
      </c>
      <c r="E926" s="1" t="str">
        <f t="shared" si="98"/>
        <v>پروژه بهره برداري نيروگاه بوشهر</v>
      </c>
      <c r="F926" s="1">
        <v>8449745</v>
      </c>
      <c r="G926" s="1">
        <v>1757555</v>
      </c>
      <c r="H926" s="1">
        <v>0</v>
      </c>
      <c r="I926" s="1">
        <v>4486702</v>
      </c>
      <c r="J926" s="1">
        <v>0</v>
      </c>
      <c r="K926" s="1">
        <v>0</v>
      </c>
      <c r="L926" s="1">
        <v>0</v>
      </c>
      <c r="M926" s="1">
        <v>400000</v>
      </c>
      <c r="N926" s="1">
        <v>1236924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1629381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883517</v>
      </c>
      <c r="AF926" s="1">
        <v>1111269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1236924</v>
      </c>
      <c r="AM926" s="1">
        <v>0</v>
      </c>
      <c r="AN926" s="1">
        <v>22292017</v>
      </c>
      <c r="AO926" s="1">
        <v>1522652</v>
      </c>
      <c r="AP926" s="1">
        <v>20769365</v>
      </c>
      <c r="AQ926" s="1">
        <v>4236150</v>
      </c>
      <c r="AR926" s="1">
        <v>635422</v>
      </c>
      <c r="AS926" s="1">
        <v>0</v>
      </c>
      <c r="AT926" s="1">
        <f t="shared" si="97"/>
        <v>27163589</v>
      </c>
    </row>
    <row r="927" spans="1:46" x14ac:dyDescent="0.2">
      <c r="A927" s="1" t="str">
        <f>"01194"</f>
        <v>01194</v>
      </c>
      <c r="B927" s="1" t="str">
        <f>"محمد هادي"</f>
        <v>محمد هادي</v>
      </c>
      <c r="C927" s="1" t="str">
        <f>"كارآمد"</f>
        <v>كارآمد</v>
      </c>
      <c r="D927" s="1" t="str">
        <f>"قراردادي بهره بردار"</f>
        <v>قراردادي بهره بردار</v>
      </c>
      <c r="E927" s="1" t="str">
        <f t="shared" si="98"/>
        <v>پروژه بهره برداري نيروگاه بوشهر</v>
      </c>
      <c r="F927" s="1">
        <v>11408297</v>
      </c>
      <c r="G927" s="1">
        <v>16052864</v>
      </c>
      <c r="H927" s="1">
        <v>0</v>
      </c>
      <c r="I927" s="1">
        <v>9054186</v>
      </c>
      <c r="J927" s="1">
        <v>0</v>
      </c>
      <c r="K927" s="1">
        <v>3465000</v>
      </c>
      <c r="L927" s="1">
        <v>0</v>
      </c>
      <c r="M927" s="1">
        <v>400000</v>
      </c>
      <c r="N927" s="1">
        <v>2161720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10776276</v>
      </c>
      <c r="W927" s="1">
        <v>1100000</v>
      </c>
      <c r="X927" s="1">
        <v>1770253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1544086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8487092</v>
      </c>
      <c r="AM927" s="1">
        <v>0</v>
      </c>
      <c r="AN927" s="1">
        <v>66219774</v>
      </c>
      <c r="AO927" s="1">
        <v>8904921</v>
      </c>
      <c r="AP927" s="1">
        <v>57314853</v>
      </c>
      <c r="AQ927" s="1">
        <v>13243955</v>
      </c>
      <c r="AR927" s="1">
        <v>1986593</v>
      </c>
      <c r="AS927" s="1">
        <v>0</v>
      </c>
      <c r="AT927" s="1">
        <f t="shared" si="97"/>
        <v>81450322</v>
      </c>
    </row>
    <row r="928" spans="1:46" x14ac:dyDescent="0.2">
      <c r="A928" s="1" t="str">
        <f>"01195"</f>
        <v>01195</v>
      </c>
      <c r="B928" s="1" t="str">
        <f>"عليرضا"</f>
        <v>عليرضا</v>
      </c>
      <c r="C928" s="1" t="str">
        <f>"ايزدبخش"</f>
        <v>ايزدبخش</v>
      </c>
      <c r="D928" s="1" t="str">
        <f>"قراردادي بهره بردار"</f>
        <v>قراردادي بهره بردار</v>
      </c>
      <c r="E928" s="1" t="str">
        <f t="shared" si="98"/>
        <v>پروژه بهره برداري نيروگاه بوشهر</v>
      </c>
      <c r="F928" s="1">
        <v>10724679</v>
      </c>
      <c r="G928" s="1">
        <v>17500107</v>
      </c>
      <c r="H928" s="1">
        <v>0</v>
      </c>
      <c r="I928" s="1">
        <v>10238704</v>
      </c>
      <c r="J928" s="1">
        <v>0</v>
      </c>
      <c r="K928" s="1">
        <v>3465000</v>
      </c>
      <c r="L928" s="1">
        <v>0</v>
      </c>
      <c r="M928" s="1">
        <v>400000</v>
      </c>
      <c r="N928" s="1">
        <v>1917721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5841876</v>
      </c>
      <c r="W928" s="1">
        <v>1100000</v>
      </c>
      <c r="X928" s="1">
        <v>1664174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1369801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7326805</v>
      </c>
      <c r="AM928" s="1">
        <v>0</v>
      </c>
      <c r="AN928" s="1">
        <v>61548867</v>
      </c>
      <c r="AO928" s="1">
        <v>14035434</v>
      </c>
      <c r="AP928" s="1">
        <v>47513433</v>
      </c>
      <c r="AQ928" s="1">
        <v>12309773</v>
      </c>
      <c r="AR928" s="1">
        <v>1846466</v>
      </c>
      <c r="AS928" s="1">
        <v>0</v>
      </c>
      <c r="AT928" s="1">
        <f t="shared" si="97"/>
        <v>75705106</v>
      </c>
    </row>
    <row r="929" spans="1:46" x14ac:dyDescent="0.2">
      <c r="A929" s="1" t="str">
        <f>"01196"</f>
        <v>01196</v>
      </c>
      <c r="B929" s="1" t="str">
        <f>"محمد"</f>
        <v>محمد</v>
      </c>
      <c r="C929" s="1" t="str">
        <f>"نژاد فرحاني"</f>
        <v>نژاد فرحاني</v>
      </c>
      <c r="D929" s="1" t="str">
        <f>"قراردادي بهره بردار"</f>
        <v>قراردادي بهره بردار</v>
      </c>
      <c r="E929" s="1" t="str">
        <f t="shared" si="98"/>
        <v>پروژه بهره برداري نيروگاه بوشهر</v>
      </c>
      <c r="F929" s="1">
        <v>13532009</v>
      </c>
      <c r="G929" s="1">
        <v>18435262</v>
      </c>
      <c r="H929" s="1">
        <v>0</v>
      </c>
      <c r="I929" s="1">
        <v>14787237</v>
      </c>
      <c r="J929" s="1">
        <v>0</v>
      </c>
      <c r="K929" s="1">
        <v>4620000</v>
      </c>
      <c r="L929" s="1">
        <v>0</v>
      </c>
      <c r="M929" s="1">
        <v>400000</v>
      </c>
      <c r="N929" s="1">
        <v>2675134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1342000</v>
      </c>
      <c r="U929" s="1">
        <v>0</v>
      </c>
      <c r="V929" s="1">
        <v>8219216</v>
      </c>
      <c r="W929" s="1">
        <v>1100000</v>
      </c>
      <c r="X929" s="1">
        <v>2099795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1910810</v>
      </c>
      <c r="AF929" s="1">
        <v>2222538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9792033</v>
      </c>
      <c r="AM929" s="1">
        <v>0</v>
      </c>
      <c r="AN929" s="1">
        <v>81136034</v>
      </c>
      <c r="AO929" s="1">
        <v>17016118</v>
      </c>
      <c r="AP929" s="1">
        <v>64119916</v>
      </c>
      <c r="AQ929" s="1">
        <v>15039174</v>
      </c>
      <c r="AR929" s="1">
        <v>2255876</v>
      </c>
      <c r="AS929" s="1">
        <v>0</v>
      </c>
      <c r="AT929" s="1">
        <f t="shared" si="97"/>
        <v>98431084</v>
      </c>
    </row>
    <row r="930" spans="1:46" x14ac:dyDescent="0.2">
      <c r="A930" s="1" t="str">
        <f>"01197"</f>
        <v>01197</v>
      </c>
      <c r="B930" s="1" t="str">
        <f>"حميدرضا"</f>
        <v>حميدرضا</v>
      </c>
      <c r="C930" s="1" t="str">
        <f>"بني اسد"</f>
        <v>بني اسد</v>
      </c>
      <c r="D930" s="1" t="str">
        <f>"قراردادي بهره بردار"</f>
        <v>قراردادي بهره بردار</v>
      </c>
      <c r="E930" s="1" t="str">
        <f t="shared" si="98"/>
        <v>پروژه بهره برداري نيروگاه بوشهر</v>
      </c>
      <c r="F930" s="1">
        <v>11170017</v>
      </c>
      <c r="G930" s="1">
        <v>14264215</v>
      </c>
      <c r="H930" s="1">
        <v>0</v>
      </c>
      <c r="I930" s="1">
        <v>10818327</v>
      </c>
      <c r="J930" s="1">
        <v>0</v>
      </c>
      <c r="K930" s="1">
        <v>4620000</v>
      </c>
      <c r="L930" s="1">
        <v>0</v>
      </c>
      <c r="M930" s="1">
        <v>400000</v>
      </c>
      <c r="N930" s="1">
        <v>2049849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1342000</v>
      </c>
      <c r="U930" s="1">
        <v>0</v>
      </c>
      <c r="V930" s="1">
        <v>6150493</v>
      </c>
      <c r="W930" s="1">
        <v>1100000</v>
      </c>
      <c r="X930" s="1">
        <v>1733279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1464177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7743539</v>
      </c>
      <c r="AM930" s="1">
        <v>0</v>
      </c>
      <c r="AN930" s="1">
        <v>62855896</v>
      </c>
      <c r="AO930" s="1">
        <v>13160499</v>
      </c>
      <c r="AP930" s="1">
        <v>49695397</v>
      </c>
      <c r="AQ930" s="1">
        <v>12302779</v>
      </c>
      <c r="AR930" s="1">
        <v>1845417</v>
      </c>
      <c r="AS930" s="1">
        <v>0</v>
      </c>
      <c r="AT930" s="1">
        <f t="shared" si="97"/>
        <v>77004092</v>
      </c>
    </row>
    <row r="931" spans="1:46" x14ac:dyDescent="0.2">
      <c r="A931" s="1" t="str">
        <f>"01198"</f>
        <v>01198</v>
      </c>
      <c r="B931" s="1" t="str">
        <f>"امين"</f>
        <v>امين</v>
      </c>
      <c r="C931" s="1" t="str">
        <f>"غريب زاده"</f>
        <v>غريب زاده</v>
      </c>
      <c r="D931" s="1" t="str">
        <f>"قراردادي کارگري"</f>
        <v>قراردادي کارگري</v>
      </c>
      <c r="E931" s="1" t="str">
        <f t="shared" si="98"/>
        <v>پروژه بهره برداري نيروگاه بوشهر</v>
      </c>
      <c r="F931" s="1">
        <v>8543646</v>
      </c>
      <c r="G931" s="1">
        <v>3707724</v>
      </c>
      <c r="H931" s="1">
        <v>0</v>
      </c>
      <c r="I931" s="1">
        <v>4557277</v>
      </c>
      <c r="J931" s="1">
        <v>0</v>
      </c>
      <c r="K931" s="1">
        <v>0</v>
      </c>
      <c r="L931" s="1">
        <v>0</v>
      </c>
      <c r="M931" s="1">
        <v>400000</v>
      </c>
      <c r="N931" s="1">
        <v>1270753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1655011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907682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1270753</v>
      </c>
      <c r="AM931" s="1">
        <v>0</v>
      </c>
      <c r="AN931" s="1">
        <v>23412846</v>
      </c>
      <c r="AO931" s="1">
        <v>1678899</v>
      </c>
      <c r="AP931" s="1">
        <v>21733947</v>
      </c>
      <c r="AQ931" s="1">
        <v>4682569</v>
      </c>
      <c r="AR931" s="1">
        <v>702385</v>
      </c>
      <c r="AS931" s="1">
        <v>0</v>
      </c>
      <c r="AT931" s="1">
        <f t="shared" si="97"/>
        <v>28797800</v>
      </c>
    </row>
    <row r="932" spans="1:46" x14ac:dyDescent="0.2">
      <c r="A932" s="1" t="str">
        <f>"01199"</f>
        <v>01199</v>
      </c>
      <c r="B932" s="1" t="str">
        <f>"مهدي"</f>
        <v>مهدي</v>
      </c>
      <c r="C932" s="1" t="str">
        <f>"غلام نژاد دزفولي"</f>
        <v>غلام نژاد دزفولي</v>
      </c>
      <c r="D932" s="1" t="str">
        <f t="shared" ref="D932:D939" si="99">"قراردادي بهره بردار"</f>
        <v>قراردادي بهره بردار</v>
      </c>
      <c r="E932" s="1" t="str">
        <f t="shared" si="98"/>
        <v>پروژه بهره برداري نيروگاه بوشهر</v>
      </c>
      <c r="F932" s="1">
        <v>10458431</v>
      </c>
      <c r="G932" s="1">
        <v>13044316</v>
      </c>
      <c r="H932" s="1">
        <v>0</v>
      </c>
      <c r="I932" s="1">
        <v>9791964</v>
      </c>
      <c r="J932" s="1">
        <v>0</v>
      </c>
      <c r="K932" s="1">
        <v>4620000</v>
      </c>
      <c r="L932" s="1">
        <v>0</v>
      </c>
      <c r="M932" s="1">
        <v>400000</v>
      </c>
      <c r="N932" s="1">
        <v>1818636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5624493</v>
      </c>
      <c r="W932" s="1">
        <v>1100000</v>
      </c>
      <c r="X932" s="1">
        <v>1622860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1299026</v>
      </c>
      <c r="AF932" s="1">
        <v>2222538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7034606</v>
      </c>
      <c r="AM932" s="1">
        <v>0</v>
      </c>
      <c r="AN932" s="1">
        <v>59036870</v>
      </c>
      <c r="AO932" s="1">
        <v>8228938</v>
      </c>
      <c r="AP932" s="1">
        <v>50807932</v>
      </c>
      <c r="AQ932" s="1">
        <v>11362866</v>
      </c>
      <c r="AR932" s="1">
        <v>1704430</v>
      </c>
      <c r="AS932" s="1">
        <v>0</v>
      </c>
      <c r="AT932" s="1">
        <f t="shared" si="97"/>
        <v>72104166</v>
      </c>
    </row>
    <row r="933" spans="1:46" x14ac:dyDescent="0.2">
      <c r="A933" s="1" t="str">
        <f>"01200"</f>
        <v>01200</v>
      </c>
      <c r="B933" s="1" t="str">
        <f>"ابراهيم"</f>
        <v>ابراهيم</v>
      </c>
      <c r="C933" s="1" t="str">
        <f>"حيدري"</f>
        <v>حيدري</v>
      </c>
      <c r="D933" s="1" t="str">
        <f t="shared" si="99"/>
        <v>قراردادي بهره بردار</v>
      </c>
      <c r="E933" s="1" t="str">
        <f t="shared" si="98"/>
        <v>پروژه بهره برداري نيروگاه بوشهر</v>
      </c>
      <c r="F933" s="1">
        <v>10150108</v>
      </c>
      <c r="G933" s="1">
        <v>0</v>
      </c>
      <c r="H933" s="1">
        <v>0</v>
      </c>
      <c r="I933" s="1">
        <v>9499942</v>
      </c>
      <c r="J933" s="1">
        <v>0</v>
      </c>
      <c r="K933" s="1">
        <v>4620000</v>
      </c>
      <c r="L933" s="1">
        <v>0</v>
      </c>
      <c r="M933" s="1">
        <v>400000</v>
      </c>
      <c r="N933" s="1">
        <v>1689452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1342000</v>
      </c>
      <c r="U933" s="1">
        <v>0</v>
      </c>
      <c r="V933" s="1">
        <v>4840804</v>
      </c>
      <c r="W933" s="1">
        <v>1100000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1206751</v>
      </c>
      <c r="AF933" s="1">
        <v>3333807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3620254</v>
      </c>
      <c r="AM933" s="1">
        <v>0</v>
      </c>
      <c r="AN933" s="1">
        <v>41803118</v>
      </c>
      <c r="AO933" s="1">
        <v>7106320</v>
      </c>
      <c r="AP933" s="1">
        <v>34696798</v>
      </c>
      <c r="AQ933" s="1">
        <v>7425462</v>
      </c>
      <c r="AR933" s="1">
        <v>1113819</v>
      </c>
      <c r="AS933" s="1">
        <v>0</v>
      </c>
      <c r="AT933" s="1">
        <f t="shared" si="97"/>
        <v>50342399</v>
      </c>
    </row>
    <row r="934" spans="1:46" x14ac:dyDescent="0.2">
      <c r="A934" s="1" t="str">
        <f>"01201"</f>
        <v>01201</v>
      </c>
      <c r="B934" s="1" t="str">
        <f>"مهدي"</f>
        <v>مهدي</v>
      </c>
      <c r="C934" s="1" t="str">
        <f>"عوض پور"</f>
        <v>عوض پور</v>
      </c>
      <c r="D934" s="1" t="str">
        <f t="shared" si="99"/>
        <v>قراردادي بهره بردار</v>
      </c>
      <c r="E934" s="1" t="str">
        <f t="shared" si="98"/>
        <v>پروژه بهره برداري نيروگاه بوشهر</v>
      </c>
      <c r="F934" s="1">
        <v>10771592</v>
      </c>
      <c r="G934" s="1">
        <v>13671363</v>
      </c>
      <c r="H934" s="1">
        <v>0</v>
      </c>
      <c r="I934" s="1">
        <v>10395297</v>
      </c>
      <c r="J934" s="1">
        <v>0</v>
      </c>
      <c r="K934" s="1">
        <v>4620000</v>
      </c>
      <c r="L934" s="1">
        <v>0</v>
      </c>
      <c r="M934" s="1">
        <v>400000</v>
      </c>
      <c r="N934" s="1">
        <v>1935570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1342000</v>
      </c>
      <c r="U934" s="1">
        <v>0</v>
      </c>
      <c r="V934" s="1">
        <v>5894866</v>
      </c>
      <c r="W934" s="1">
        <v>1100000</v>
      </c>
      <c r="X934" s="1">
        <v>1671454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1382551</v>
      </c>
      <c r="AF934" s="1">
        <v>1111269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7379127</v>
      </c>
      <c r="AM934" s="1">
        <v>0</v>
      </c>
      <c r="AN934" s="1">
        <v>61675089</v>
      </c>
      <c r="AO934" s="1">
        <v>8512450</v>
      </c>
      <c r="AP934" s="1">
        <v>53162639</v>
      </c>
      <c r="AQ934" s="1">
        <v>11844364</v>
      </c>
      <c r="AR934" s="1">
        <v>1776655</v>
      </c>
      <c r="AS934" s="1">
        <v>0</v>
      </c>
      <c r="AT934" s="1">
        <f t="shared" si="97"/>
        <v>75296108</v>
      </c>
    </row>
    <row r="935" spans="1:46" x14ac:dyDescent="0.2">
      <c r="A935" s="1" t="str">
        <f>"01203"</f>
        <v>01203</v>
      </c>
      <c r="B935" s="1" t="str">
        <f>"علي"</f>
        <v>علي</v>
      </c>
      <c r="C935" s="1" t="str">
        <f>"زنده بودي"</f>
        <v>زنده بودي</v>
      </c>
      <c r="D935" s="1" t="str">
        <f t="shared" si="99"/>
        <v>قراردادي بهره بردار</v>
      </c>
      <c r="E935" s="1" t="str">
        <f t="shared" si="98"/>
        <v>پروژه بهره برداري نيروگاه بوشهر</v>
      </c>
      <c r="F935" s="1">
        <v>11140666</v>
      </c>
      <c r="G935" s="1">
        <v>14397233</v>
      </c>
      <c r="H935" s="1">
        <v>0</v>
      </c>
      <c r="I935" s="1">
        <v>11004621</v>
      </c>
      <c r="J935" s="1">
        <v>0</v>
      </c>
      <c r="K935" s="1">
        <v>4620000</v>
      </c>
      <c r="L935" s="1">
        <v>0</v>
      </c>
      <c r="M935" s="1">
        <v>400000</v>
      </c>
      <c r="N935" s="1">
        <v>2073505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1342000</v>
      </c>
      <c r="U935" s="1">
        <v>0</v>
      </c>
      <c r="V935" s="1">
        <v>6278493</v>
      </c>
      <c r="W935" s="1">
        <v>1100000</v>
      </c>
      <c r="X935" s="1">
        <v>1728724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1481075</v>
      </c>
      <c r="AF935" s="1">
        <v>2222538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7785425</v>
      </c>
      <c r="AM935" s="1">
        <v>0</v>
      </c>
      <c r="AN935" s="1">
        <v>65574280</v>
      </c>
      <c r="AO935" s="1">
        <v>32451166</v>
      </c>
      <c r="AP935" s="1">
        <v>33123114</v>
      </c>
      <c r="AQ935" s="1">
        <v>12401948</v>
      </c>
      <c r="AR935" s="1">
        <v>1860292</v>
      </c>
      <c r="AS935" s="1">
        <v>0</v>
      </c>
      <c r="AT935" s="1">
        <f t="shared" si="97"/>
        <v>79836520</v>
      </c>
    </row>
    <row r="936" spans="1:46" x14ac:dyDescent="0.2">
      <c r="A936" s="1" t="str">
        <f>"01204"</f>
        <v>01204</v>
      </c>
      <c r="B936" s="1" t="str">
        <f>"فتح اله"</f>
        <v>فتح اله</v>
      </c>
      <c r="C936" s="1" t="str">
        <f>"محسني پور"</f>
        <v>محسني پور</v>
      </c>
      <c r="D936" s="1" t="str">
        <f t="shared" si="99"/>
        <v>قراردادي بهره بردار</v>
      </c>
      <c r="E936" s="1" t="str">
        <f t="shared" si="98"/>
        <v>پروژه بهره برداري نيروگاه بوشهر</v>
      </c>
      <c r="F936" s="1">
        <v>12071799</v>
      </c>
      <c r="G936" s="1">
        <v>18151426</v>
      </c>
      <c r="H936" s="1">
        <v>0</v>
      </c>
      <c r="I936" s="1">
        <v>12417034</v>
      </c>
      <c r="J936" s="1">
        <v>0</v>
      </c>
      <c r="K936" s="1">
        <v>4620000</v>
      </c>
      <c r="L936" s="1">
        <v>0</v>
      </c>
      <c r="M936" s="1">
        <v>400000</v>
      </c>
      <c r="N936" s="1">
        <v>2420674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1342000</v>
      </c>
      <c r="U936" s="1">
        <v>0</v>
      </c>
      <c r="V936" s="1">
        <v>7114978</v>
      </c>
      <c r="W936" s="1">
        <v>1100000</v>
      </c>
      <c r="X936" s="1">
        <v>1873210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1729052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8808695</v>
      </c>
      <c r="AM936" s="1">
        <v>0</v>
      </c>
      <c r="AN936" s="1">
        <v>72048868</v>
      </c>
      <c r="AO936" s="1">
        <v>13499367</v>
      </c>
      <c r="AP936" s="1">
        <v>58549501</v>
      </c>
      <c r="AQ936" s="1">
        <v>14141374</v>
      </c>
      <c r="AR936" s="1">
        <v>2121206</v>
      </c>
      <c r="AS936" s="1">
        <v>0</v>
      </c>
      <c r="AT936" s="1">
        <f t="shared" si="97"/>
        <v>88311448</v>
      </c>
    </row>
    <row r="937" spans="1:46" x14ac:dyDescent="0.2">
      <c r="A937" s="1" t="str">
        <f>"01205"</f>
        <v>01205</v>
      </c>
      <c r="B937" s="1" t="str">
        <f>"مهدي"</f>
        <v>مهدي</v>
      </c>
      <c r="C937" s="1" t="str">
        <f>"عالي زاده"</f>
        <v>عالي زاده</v>
      </c>
      <c r="D937" s="1" t="str">
        <f t="shared" si="99"/>
        <v>قراردادي بهره بردار</v>
      </c>
      <c r="E937" s="1" t="str">
        <f t="shared" si="98"/>
        <v>پروژه بهره برداري نيروگاه بوشهر</v>
      </c>
      <c r="F937" s="1">
        <v>10570281</v>
      </c>
      <c r="G937" s="1">
        <v>15225778</v>
      </c>
      <c r="H937" s="1">
        <v>0</v>
      </c>
      <c r="I937" s="1">
        <v>9105492</v>
      </c>
      <c r="J937" s="1">
        <v>0</v>
      </c>
      <c r="K937" s="1">
        <v>4620000</v>
      </c>
      <c r="L937" s="1">
        <v>0</v>
      </c>
      <c r="M937" s="1">
        <v>400000</v>
      </c>
      <c r="N937" s="1">
        <v>1847594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1342000</v>
      </c>
      <c r="U937" s="1">
        <v>0</v>
      </c>
      <c r="V937" s="1">
        <v>5252083</v>
      </c>
      <c r="W937" s="1">
        <v>1100000</v>
      </c>
      <c r="X937" s="1">
        <v>1640216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1319710</v>
      </c>
      <c r="AF937" s="1">
        <v>2222538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5546561</v>
      </c>
      <c r="AM937" s="1">
        <v>0</v>
      </c>
      <c r="AN937" s="1">
        <v>60192253</v>
      </c>
      <c r="AO937" s="1">
        <v>13352441</v>
      </c>
      <c r="AP937" s="1">
        <v>46839812</v>
      </c>
      <c r="AQ937" s="1">
        <v>11325543</v>
      </c>
      <c r="AR937" s="1">
        <v>1698831</v>
      </c>
      <c r="AS937" s="1">
        <v>0</v>
      </c>
      <c r="AT937" s="1">
        <f t="shared" si="97"/>
        <v>73216627</v>
      </c>
    </row>
    <row r="938" spans="1:46" x14ac:dyDescent="0.2">
      <c r="A938" s="1" t="str">
        <f>"01206"</f>
        <v>01206</v>
      </c>
      <c r="B938" s="1" t="str">
        <f>"عليرضا"</f>
        <v>عليرضا</v>
      </c>
      <c r="C938" s="1" t="str">
        <f>"قايد"</f>
        <v>قايد</v>
      </c>
      <c r="D938" s="1" t="str">
        <f t="shared" si="99"/>
        <v>قراردادي بهره بردار</v>
      </c>
      <c r="E938" s="1" t="str">
        <f>"پروژه تعميرات نيروگاه بوشهر"</f>
        <v>پروژه تعميرات نيروگاه بوشهر</v>
      </c>
      <c r="F938" s="1">
        <v>33840445</v>
      </c>
      <c r="G938" s="1">
        <v>0</v>
      </c>
      <c r="H938" s="1">
        <v>0</v>
      </c>
      <c r="I938" s="1">
        <v>40913721</v>
      </c>
      <c r="J938" s="1">
        <v>0</v>
      </c>
      <c r="K938" s="1">
        <v>5500000</v>
      </c>
      <c r="L938" s="1">
        <v>0</v>
      </c>
      <c r="M938" s="1">
        <v>400000</v>
      </c>
      <c r="N938" s="1">
        <v>5423834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8947600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3874167</v>
      </c>
      <c r="AF938" s="1">
        <v>3333807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5423834</v>
      </c>
      <c r="AM938" s="1">
        <v>0</v>
      </c>
      <c r="AN938" s="1">
        <v>108757408</v>
      </c>
      <c r="AO938" s="1">
        <v>27927915</v>
      </c>
      <c r="AP938" s="1">
        <v>80829493</v>
      </c>
      <c r="AQ938" s="1">
        <v>15039174</v>
      </c>
      <c r="AR938" s="1">
        <v>2255876</v>
      </c>
      <c r="AS938" s="1">
        <v>0</v>
      </c>
      <c r="AT938" s="1">
        <f t="shared" si="97"/>
        <v>126052458</v>
      </c>
    </row>
    <row r="939" spans="1:46" x14ac:dyDescent="0.2">
      <c r="A939" s="1" t="str">
        <f>"01207"</f>
        <v>01207</v>
      </c>
      <c r="B939" s="1" t="str">
        <f>"ابوالفضل"</f>
        <v>ابوالفضل</v>
      </c>
      <c r="C939" s="1" t="str">
        <f>"شهابي"</f>
        <v>شهابي</v>
      </c>
      <c r="D939" s="1" t="str">
        <f t="shared" si="99"/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14434520</v>
      </c>
      <c r="G939" s="1">
        <v>5642803</v>
      </c>
      <c r="H939" s="1">
        <v>0</v>
      </c>
      <c r="I939" s="1">
        <v>10963686</v>
      </c>
      <c r="J939" s="1">
        <v>0</v>
      </c>
      <c r="K939" s="1">
        <v>5500000</v>
      </c>
      <c r="L939" s="1">
        <v>0</v>
      </c>
      <c r="M939" s="1">
        <v>400000</v>
      </c>
      <c r="N939" s="1">
        <v>2144319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3091216</v>
      </c>
      <c r="W939" s="1">
        <v>1100000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1531656</v>
      </c>
      <c r="AF939" s="1">
        <v>1111269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1837987</v>
      </c>
      <c r="AM939" s="1">
        <v>0</v>
      </c>
      <c r="AN939" s="1">
        <v>47757456</v>
      </c>
      <c r="AO939" s="1">
        <v>24557694</v>
      </c>
      <c r="AP939" s="1">
        <v>23199762</v>
      </c>
      <c r="AQ939" s="1">
        <v>9329237</v>
      </c>
      <c r="AR939" s="1">
        <v>1399386</v>
      </c>
      <c r="AS939" s="1">
        <v>0</v>
      </c>
      <c r="AT939" s="1">
        <f t="shared" si="97"/>
        <v>58486079</v>
      </c>
    </row>
    <row r="940" spans="1:46" x14ac:dyDescent="0.2">
      <c r="A940" s="1" t="str">
        <f>"01208"</f>
        <v>01208</v>
      </c>
      <c r="B940" s="1" t="str">
        <f>"عليرضا"</f>
        <v>عليرضا</v>
      </c>
      <c r="C940" s="1" t="str">
        <f>"فياض"</f>
        <v>فياض</v>
      </c>
      <c r="D940" s="1" t="str">
        <f t="shared" ref="D940:D947" si="100">"قراردادي کارگري"</f>
        <v>قراردادي کارگري</v>
      </c>
      <c r="E940" s="1" t="str">
        <f t="shared" ref="E940:E947" si="101">"پروژه تعميرات نيروگاه بوشهر"</f>
        <v>پروژه تعميرات نيروگاه بوشهر</v>
      </c>
      <c r="F940" s="1">
        <v>5269027</v>
      </c>
      <c r="G940" s="1">
        <v>1121624</v>
      </c>
      <c r="H940" s="1">
        <v>0</v>
      </c>
      <c r="I940" s="1">
        <v>3530248</v>
      </c>
      <c r="J940" s="1">
        <v>0</v>
      </c>
      <c r="K940" s="1">
        <v>0</v>
      </c>
      <c r="L940" s="1">
        <v>3500010</v>
      </c>
      <c r="M940" s="1">
        <v>400000</v>
      </c>
      <c r="N940" s="1">
        <v>2810148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3477481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21208538</v>
      </c>
      <c r="AO940" s="1">
        <v>1524598</v>
      </c>
      <c r="AP940" s="1">
        <v>19683940</v>
      </c>
      <c r="AQ940" s="1">
        <v>4241708</v>
      </c>
      <c r="AR940" s="1">
        <v>636256</v>
      </c>
      <c r="AS940" s="1">
        <v>0</v>
      </c>
      <c r="AT940" s="1">
        <f t="shared" si="97"/>
        <v>26086502</v>
      </c>
    </row>
    <row r="941" spans="1:46" x14ac:dyDescent="0.2">
      <c r="A941" s="1" t="str">
        <f>"01209"</f>
        <v>01209</v>
      </c>
      <c r="B941" s="1" t="str">
        <f>"اسماعيل"</f>
        <v>اسماعيل</v>
      </c>
      <c r="C941" s="1" t="str">
        <f>"انصاري"</f>
        <v>انصاري</v>
      </c>
      <c r="D941" s="1" t="str">
        <f t="shared" si="100"/>
        <v>قراردادي کارگري</v>
      </c>
      <c r="E941" s="1" t="str">
        <f t="shared" si="101"/>
        <v>پروژه تعميرات نيروگاه بوشهر</v>
      </c>
      <c r="F941" s="1">
        <v>5708534</v>
      </c>
      <c r="G941" s="1">
        <v>2522694</v>
      </c>
      <c r="H941" s="1">
        <v>0</v>
      </c>
      <c r="I941" s="1">
        <v>3425120</v>
      </c>
      <c r="J941" s="1">
        <v>0</v>
      </c>
      <c r="K941" s="1">
        <v>0</v>
      </c>
      <c r="L941" s="1">
        <v>3500010</v>
      </c>
      <c r="M941" s="1">
        <v>400000</v>
      </c>
      <c r="N941" s="1">
        <v>3044551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5224105</v>
      </c>
      <c r="W941" s="1">
        <v>1100000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2432827</v>
      </c>
      <c r="AE941" s="1">
        <v>0</v>
      </c>
      <c r="AF941" s="1">
        <v>2222538</v>
      </c>
      <c r="AG941" s="1">
        <v>0</v>
      </c>
      <c r="AH941" s="1">
        <v>0</v>
      </c>
      <c r="AI941" s="1">
        <v>0</v>
      </c>
      <c r="AJ941" s="1">
        <v>2018155</v>
      </c>
      <c r="AK941" s="1">
        <v>0</v>
      </c>
      <c r="AL941" s="1">
        <v>0</v>
      </c>
      <c r="AM941" s="1">
        <v>0</v>
      </c>
      <c r="AN941" s="1">
        <v>31598534</v>
      </c>
      <c r="AO941" s="1">
        <v>2787421</v>
      </c>
      <c r="AP941" s="1">
        <v>28811113</v>
      </c>
      <c r="AQ941" s="1">
        <v>5875199</v>
      </c>
      <c r="AR941" s="1">
        <v>881280</v>
      </c>
      <c r="AS941" s="1">
        <v>0</v>
      </c>
      <c r="AT941" s="1">
        <f t="shared" si="97"/>
        <v>38355013</v>
      </c>
    </row>
    <row r="942" spans="1:46" x14ac:dyDescent="0.2">
      <c r="A942" s="1" t="str">
        <f>"01210"</f>
        <v>01210</v>
      </c>
      <c r="B942" s="1" t="str">
        <f>"رضا"</f>
        <v>رضا</v>
      </c>
      <c r="C942" s="1" t="str">
        <f>"يادگاري"</f>
        <v>يادگاري</v>
      </c>
      <c r="D942" s="1" t="str">
        <f t="shared" si="100"/>
        <v>قراردادي کارگري</v>
      </c>
      <c r="E942" s="1" t="str">
        <f t="shared" si="101"/>
        <v>پروژه تعميرات نيروگاه بوشهر</v>
      </c>
      <c r="F942" s="1">
        <v>5152836</v>
      </c>
      <c r="G942" s="1">
        <v>0</v>
      </c>
      <c r="H942" s="1">
        <v>0</v>
      </c>
      <c r="I942" s="1">
        <v>3091702</v>
      </c>
      <c r="J942" s="1">
        <v>0</v>
      </c>
      <c r="K942" s="1">
        <v>0</v>
      </c>
      <c r="L942" s="1">
        <v>3500010</v>
      </c>
      <c r="M942" s="1">
        <v>400000</v>
      </c>
      <c r="N942" s="1">
        <v>2748179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4862532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2222538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23077797</v>
      </c>
      <c r="AO942" s="1">
        <v>1499868</v>
      </c>
      <c r="AP942" s="1">
        <v>21577929</v>
      </c>
      <c r="AQ942" s="1">
        <v>4171052</v>
      </c>
      <c r="AR942" s="1">
        <v>625658</v>
      </c>
      <c r="AS942" s="1">
        <v>0</v>
      </c>
      <c r="AT942" s="1">
        <f t="shared" si="97"/>
        <v>27874507</v>
      </c>
    </row>
    <row r="943" spans="1:46" x14ac:dyDescent="0.2">
      <c r="A943" s="1" t="str">
        <f>"01211"</f>
        <v>01211</v>
      </c>
      <c r="B943" s="1" t="str">
        <f>"اميد"</f>
        <v>اميد</v>
      </c>
      <c r="C943" s="1" t="str">
        <f>"غريبي"</f>
        <v>غريبي</v>
      </c>
      <c r="D943" s="1" t="str">
        <f t="shared" si="100"/>
        <v>قراردادي کارگري</v>
      </c>
      <c r="E943" s="1" t="str">
        <f t="shared" si="101"/>
        <v>پروژه تعميرات نيروگاه بوشهر</v>
      </c>
      <c r="F943" s="1">
        <v>5167991</v>
      </c>
      <c r="G943" s="1">
        <v>4371434</v>
      </c>
      <c r="H943" s="1">
        <v>0</v>
      </c>
      <c r="I943" s="1">
        <v>3100795</v>
      </c>
      <c r="J943" s="1">
        <v>0</v>
      </c>
      <c r="K943" s="1">
        <v>0</v>
      </c>
      <c r="L943" s="1">
        <v>3500010</v>
      </c>
      <c r="M943" s="1">
        <v>400000</v>
      </c>
      <c r="N943" s="1">
        <v>2756262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4792518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25189010</v>
      </c>
      <c r="AO943" s="1">
        <v>1803231</v>
      </c>
      <c r="AP943" s="1">
        <v>23385779</v>
      </c>
      <c r="AQ943" s="1">
        <v>5037802</v>
      </c>
      <c r="AR943" s="1">
        <v>755670</v>
      </c>
      <c r="AS943" s="1">
        <v>0</v>
      </c>
      <c r="AT943" s="1">
        <f t="shared" si="97"/>
        <v>30982482</v>
      </c>
    </row>
    <row r="944" spans="1:46" x14ac:dyDescent="0.2">
      <c r="A944" s="1" t="str">
        <f>"01212"</f>
        <v>01212</v>
      </c>
      <c r="B944" s="1" t="str">
        <f>"پيمان"</f>
        <v>پيمان</v>
      </c>
      <c r="C944" s="1" t="str">
        <f>"زارعي"</f>
        <v>زارعي</v>
      </c>
      <c r="D944" s="1" t="str">
        <f t="shared" si="100"/>
        <v>قراردادي کارگري</v>
      </c>
      <c r="E944" s="1" t="str">
        <f t="shared" si="101"/>
        <v>پروژه تعميرات نيروگاه بوشهر</v>
      </c>
      <c r="F944" s="1">
        <v>5157888</v>
      </c>
      <c r="G944" s="1">
        <v>4365093</v>
      </c>
      <c r="H944" s="1">
        <v>0</v>
      </c>
      <c r="I944" s="1">
        <v>3094733</v>
      </c>
      <c r="J944" s="1">
        <v>0</v>
      </c>
      <c r="K944" s="1">
        <v>0</v>
      </c>
      <c r="L944" s="1">
        <v>3500010</v>
      </c>
      <c r="M944" s="1">
        <v>400000</v>
      </c>
      <c r="N944" s="1">
        <v>2750873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4786051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25154648</v>
      </c>
      <c r="AO944" s="1">
        <v>1800825</v>
      </c>
      <c r="AP944" s="1">
        <v>23353823</v>
      </c>
      <c r="AQ944" s="1">
        <v>5030930</v>
      </c>
      <c r="AR944" s="1">
        <v>754639</v>
      </c>
      <c r="AS944" s="1">
        <v>0</v>
      </c>
      <c r="AT944" s="1">
        <f t="shared" si="97"/>
        <v>30940217</v>
      </c>
    </row>
    <row r="945" spans="1:46" x14ac:dyDescent="0.2">
      <c r="A945" s="1" t="str">
        <f>"01214"</f>
        <v>01214</v>
      </c>
      <c r="B945" s="1" t="str">
        <f>"سيدمحمد"</f>
        <v>سيدمحمد</v>
      </c>
      <c r="C945" s="1" t="str">
        <f>"مساوات"</f>
        <v>مساوات</v>
      </c>
      <c r="D945" s="1" t="str">
        <f t="shared" si="100"/>
        <v>قراردادي کارگري</v>
      </c>
      <c r="E945" s="1" t="str">
        <f t="shared" si="101"/>
        <v>پروژه تعميرات نيروگاه بوشهر</v>
      </c>
      <c r="F945" s="1">
        <v>5248820</v>
      </c>
      <c r="G945" s="1">
        <v>0</v>
      </c>
      <c r="H945" s="1">
        <v>0</v>
      </c>
      <c r="I945" s="1">
        <v>3149292</v>
      </c>
      <c r="J945" s="1">
        <v>0</v>
      </c>
      <c r="K945" s="1">
        <v>0</v>
      </c>
      <c r="L945" s="1">
        <v>3500010</v>
      </c>
      <c r="M945" s="1">
        <v>400000</v>
      </c>
      <c r="N945" s="1">
        <v>2799371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4844248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21041741</v>
      </c>
      <c r="AO945" s="1">
        <v>1512922</v>
      </c>
      <c r="AP945" s="1">
        <v>19528819</v>
      </c>
      <c r="AQ945" s="1">
        <v>4208348</v>
      </c>
      <c r="AR945" s="1">
        <v>631252</v>
      </c>
      <c r="AS945" s="1">
        <v>0</v>
      </c>
      <c r="AT945" s="1">
        <f t="shared" si="97"/>
        <v>25881341</v>
      </c>
    </row>
    <row r="946" spans="1:46" x14ac:dyDescent="0.2">
      <c r="A946" s="1" t="str">
        <f>"01215"</f>
        <v>01215</v>
      </c>
      <c r="B946" s="1" t="str">
        <f>"عبدالمحمد"</f>
        <v>عبدالمحمد</v>
      </c>
      <c r="C946" s="1" t="str">
        <f>"ماهيني"</f>
        <v>ماهيني</v>
      </c>
      <c r="D946" s="1" t="str">
        <f t="shared" si="100"/>
        <v>قراردادي کارگري</v>
      </c>
      <c r="E946" s="1" t="str">
        <f t="shared" si="101"/>
        <v>پروژه تعميرات نيروگاه بوشهر</v>
      </c>
      <c r="F946" s="1">
        <v>4885091</v>
      </c>
      <c r="G946" s="1">
        <v>5429446</v>
      </c>
      <c r="H946" s="1">
        <v>0</v>
      </c>
      <c r="I946" s="1">
        <v>2931054</v>
      </c>
      <c r="J946" s="1">
        <v>0</v>
      </c>
      <c r="K946" s="1">
        <v>0</v>
      </c>
      <c r="L946" s="1">
        <v>3500010</v>
      </c>
      <c r="M946" s="1">
        <v>400000</v>
      </c>
      <c r="N946" s="1">
        <v>2605381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4534603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2160238</v>
      </c>
      <c r="AE946" s="1">
        <v>0</v>
      </c>
      <c r="AF946" s="1">
        <v>1111269</v>
      </c>
      <c r="AG946" s="1">
        <v>0</v>
      </c>
      <c r="AH946" s="1">
        <v>0</v>
      </c>
      <c r="AI946" s="1">
        <v>0</v>
      </c>
      <c r="AJ946" s="1">
        <v>2672958</v>
      </c>
      <c r="AK946" s="1">
        <v>0</v>
      </c>
      <c r="AL946" s="1">
        <v>0</v>
      </c>
      <c r="AM946" s="1">
        <v>0</v>
      </c>
      <c r="AN946" s="1">
        <v>31330050</v>
      </c>
      <c r="AO946" s="1">
        <v>3305109</v>
      </c>
      <c r="AP946" s="1">
        <v>28024941</v>
      </c>
      <c r="AQ946" s="1">
        <v>6043756</v>
      </c>
      <c r="AR946" s="1">
        <v>906563</v>
      </c>
      <c r="AS946" s="1">
        <v>0</v>
      </c>
      <c r="AT946" s="1">
        <f t="shared" si="97"/>
        <v>38280369</v>
      </c>
    </row>
    <row r="947" spans="1:46" x14ac:dyDescent="0.2">
      <c r="A947" s="1" t="str">
        <f>"01216"</f>
        <v>01216</v>
      </c>
      <c r="B947" s="1" t="str">
        <f>"محمدصادق"</f>
        <v>محمدصادق</v>
      </c>
      <c r="C947" s="1" t="str">
        <f>"احمدي"</f>
        <v>احمدي</v>
      </c>
      <c r="D947" s="1" t="str">
        <f t="shared" si="100"/>
        <v>قراردادي کارگري</v>
      </c>
      <c r="E947" s="1" t="str">
        <f t="shared" si="101"/>
        <v>پروژه تعميرات نيروگاه بوشهر</v>
      </c>
      <c r="F947" s="1">
        <v>4683019</v>
      </c>
      <c r="G947" s="1">
        <v>3010231</v>
      </c>
      <c r="H947" s="1">
        <v>0</v>
      </c>
      <c r="I947" s="1">
        <v>2809811</v>
      </c>
      <c r="J947" s="1">
        <v>0</v>
      </c>
      <c r="K947" s="1">
        <v>0</v>
      </c>
      <c r="L947" s="1">
        <v>3500010</v>
      </c>
      <c r="M947" s="1">
        <v>400000</v>
      </c>
      <c r="N947" s="1">
        <v>2497610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3137495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2093346</v>
      </c>
      <c r="AE947" s="1">
        <v>0</v>
      </c>
      <c r="AF947" s="1">
        <v>1111269</v>
      </c>
      <c r="AG947" s="1">
        <v>0</v>
      </c>
      <c r="AH947" s="1">
        <v>0</v>
      </c>
      <c r="AI947" s="1">
        <v>0</v>
      </c>
      <c r="AJ947" s="1">
        <v>2408185</v>
      </c>
      <c r="AK947" s="1">
        <v>0</v>
      </c>
      <c r="AL947" s="1">
        <v>0</v>
      </c>
      <c r="AM947" s="1">
        <v>0</v>
      </c>
      <c r="AN947" s="1">
        <v>26750976</v>
      </c>
      <c r="AO947" s="1">
        <v>2448928</v>
      </c>
      <c r="AP947" s="1">
        <v>24302048</v>
      </c>
      <c r="AQ947" s="1">
        <v>5127941</v>
      </c>
      <c r="AR947" s="1">
        <v>769191</v>
      </c>
      <c r="AS947" s="1">
        <v>0</v>
      </c>
      <c r="AT947" s="1">
        <f t="shared" si="97"/>
        <v>32648108</v>
      </c>
    </row>
    <row r="948" spans="1:46" x14ac:dyDescent="0.2">
      <c r="A948" s="1" t="str">
        <f>"01217"</f>
        <v>01217</v>
      </c>
      <c r="B948" s="1" t="str">
        <f>"ابراهيم"</f>
        <v>ابراهيم</v>
      </c>
      <c r="C948" s="1" t="str">
        <f>"محمدي نژاد"</f>
        <v>محمدي نژاد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11328946</v>
      </c>
      <c r="G948" s="1">
        <v>18197291</v>
      </c>
      <c r="H948" s="1">
        <v>0</v>
      </c>
      <c r="I948" s="1">
        <v>10871624</v>
      </c>
      <c r="J948" s="1">
        <v>0</v>
      </c>
      <c r="K948" s="1">
        <v>5500000</v>
      </c>
      <c r="L948" s="1">
        <v>0</v>
      </c>
      <c r="M948" s="1">
        <v>400000</v>
      </c>
      <c r="N948" s="1">
        <v>2141369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1342000</v>
      </c>
      <c r="U948" s="1">
        <v>0</v>
      </c>
      <c r="V948" s="1">
        <v>6348529</v>
      </c>
      <c r="W948" s="1">
        <v>1100000</v>
      </c>
      <c r="X948" s="1">
        <v>1757940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1529549</v>
      </c>
      <c r="AF948" s="1">
        <v>1111269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7987331</v>
      </c>
      <c r="AM948" s="1">
        <v>0</v>
      </c>
      <c r="AN948" s="1">
        <v>69615848</v>
      </c>
      <c r="AO948" s="1">
        <v>11818793</v>
      </c>
      <c r="AP948" s="1">
        <v>57797055</v>
      </c>
      <c r="AQ948" s="1">
        <v>13432516</v>
      </c>
      <c r="AR948" s="1">
        <v>2014877</v>
      </c>
      <c r="AS948" s="1">
        <v>0</v>
      </c>
      <c r="AT948" s="1">
        <f t="shared" si="97"/>
        <v>85063241</v>
      </c>
    </row>
    <row r="949" spans="1:46" x14ac:dyDescent="0.2">
      <c r="A949" s="1" t="str">
        <f>"01218"</f>
        <v>01218</v>
      </c>
      <c r="B949" s="1" t="str">
        <f>"عليرضا"</f>
        <v>عليرضا</v>
      </c>
      <c r="C949" s="1" t="str">
        <f>"حاجياني"</f>
        <v>حاجياني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10965491</v>
      </c>
      <c r="G949" s="1">
        <v>17673211</v>
      </c>
      <c r="H949" s="1">
        <v>0</v>
      </c>
      <c r="I949" s="1">
        <v>10948327</v>
      </c>
      <c r="J949" s="1">
        <v>0</v>
      </c>
      <c r="K949" s="1">
        <v>4620000</v>
      </c>
      <c r="L949" s="1">
        <v>0</v>
      </c>
      <c r="M949" s="1">
        <v>400000</v>
      </c>
      <c r="N949" s="1">
        <v>2009155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1342000</v>
      </c>
      <c r="U949" s="1">
        <v>0</v>
      </c>
      <c r="V949" s="1">
        <v>6096317</v>
      </c>
      <c r="W949" s="1">
        <v>1100000</v>
      </c>
      <c r="X949" s="1">
        <v>1701542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1435111</v>
      </c>
      <c r="AF949" s="1">
        <v>2222538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7594979</v>
      </c>
      <c r="AM949" s="1">
        <v>0</v>
      </c>
      <c r="AN949" s="1">
        <v>68108671</v>
      </c>
      <c r="AO949" s="1">
        <v>9538176</v>
      </c>
      <c r="AP949" s="1">
        <v>58570495</v>
      </c>
      <c r="AQ949" s="1">
        <v>12908827</v>
      </c>
      <c r="AR949" s="1">
        <v>1936324</v>
      </c>
      <c r="AS949" s="1">
        <v>0</v>
      </c>
      <c r="AT949" s="1">
        <f t="shared" si="97"/>
        <v>82953822</v>
      </c>
    </row>
    <row r="950" spans="1:46" x14ac:dyDescent="0.2">
      <c r="A950" s="1" t="str">
        <f>"01219"</f>
        <v>01219</v>
      </c>
      <c r="B950" s="1" t="str">
        <f>"محسن"</f>
        <v>محسن</v>
      </c>
      <c r="C950" s="1" t="str">
        <f>"قيصي زاده"</f>
        <v>قيصي زاده</v>
      </c>
      <c r="D950" s="1" t="str">
        <f>"قراردادي بهره بردار"</f>
        <v>قراردادي بهره بردار</v>
      </c>
      <c r="E950" s="1" t="str">
        <f>"پروژه بهره برداري نيروگاه بوشهر"</f>
        <v>پروژه بهره برداري نيروگاه بوشهر</v>
      </c>
      <c r="F950" s="1">
        <v>22408590</v>
      </c>
      <c r="G950" s="1">
        <v>8021571</v>
      </c>
      <c r="H950" s="1">
        <v>0</v>
      </c>
      <c r="I950" s="1">
        <v>17270239</v>
      </c>
      <c r="J950" s="1">
        <v>0</v>
      </c>
      <c r="K950" s="1">
        <v>5500000</v>
      </c>
      <c r="L950" s="1">
        <v>0</v>
      </c>
      <c r="M950" s="1">
        <v>400000</v>
      </c>
      <c r="N950" s="1">
        <v>3189490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5088187</v>
      </c>
      <c r="W950" s="1">
        <v>1100000</v>
      </c>
      <c r="X950" s="1">
        <v>0</v>
      </c>
      <c r="Y950" s="1">
        <v>0</v>
      </c>
      <c r="Z950" s="1">
        <v>4969414</v>
      </c>
      <c r="AA950" s="1">
        <v>0</v>
      </c>
      <c r="AB950" s="1">
        <v>0</v>
      </c>
      <c r="AC950" s="1">
        <v>0</v>
      </c>
      <c r="AD950" s="1">
        <v>0</v>
      </c>
      <c r="AE950" s="1">
        <v>2278207</v>
      </c>
      <c r="AF950" s="1">
        <v>1111269</v>
      </c>
      <c r="AG950" s="1">
        <v>3001500</v>
      </c>
      <c r="AH950" s="1">
        <v>0</v>
      </c>
      <c r="AI950" s="1">
        <v>0</v>
      </c>
      <c r="AJ950" s="1">
        <v>0</v>
      </c>
      <c r="AK950" s="1">
        <v>0</v>
      </c>
      <c r="AL950" s="1">
        <v>2733848</v>
      </c>
      <c r="AM950" s="1">
        <v>0</v>
      </c>
      <c r="AN950" s="1">
        <v>77072315</v>
      </c>
      <c r="AO950" s="1">
        <v>6431661</v>
      </c>
      <c r="AP950" s="1">
        <v>70640654</v>
      </c>
      <c r="AQ950" s="1">
        <v>14198326</v>
      </c>
      <c r="AR950" s="1">
        <v>2129749</v>
      </c>
      <c r="AS950" s="1">
        <v>0</v>
      </c>
      <c r="AT950" s="1">
        <f t="shared" si="97"/>
        <v>93400390</v>
      </c>
    </row>
    <row r="951" spans="1:46" x14ac:dyDescent="0.2">
      <c r="A951" s="1" t="str">
        <f>"01220"</f>
        <v>01220</v>
      </c>
      <c r="B951" s="1" t="str">
        <f>"امير"</f>
        <v>امير</v>
      </c>
      <c r="C951" s="1" t="str">
        <f>"عالي پور"</f>
        <v>عالي پور</v>
      </c>
      <c r="D951" s="1" t="str">
        <f>"قراردادي کارگري"</f>
        <v>قراردادي کارگري</v>
      </c>
      <c r="E951" s="1" t="str">
        <f>"پروژه تعميرات نيروگاه بوشهر"</f>
        <v>پروژه تعميرات نيروگاه بوشهر</v>
      </c>
      <c r="F951" s="1">
        <v>4475895</v>
      </c>
      <c r="G951" s="1">
        <v>1968539</v>
      </c>
      <c r="H951" s="1">
        <v>0</v>
      </c>
      <c r="I951" s="1">
        <v>2685537</v>
      </c>
      <c r="J951" s="1">
        <v>0</v>
      </c>
      <c r="K951" s="1">
        <v>0</v>
      </c>
      <c r="L951" s="1">
        <v>3500010</v>
      </c>
      <c r="M951" s="1">
        <v>400000</v>
      </c>
      <c r="N951" s="1">
        <v>2387144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1449859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1957288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2099775</v>
      </c>
      <c r="AK951" s="1">
        <v>0</v>
      </c>
      <c r="AL951" s="1">
        <v>0</v>
      </c>
      <c r="AM951" s="1">
        <v>0</v>
      </c>
      <c r="AN951" s="1">
        <v>22024047</v>
      </c>
      <c r="AO951" s="1">
        <v>1581683</v>
      </c>
      <c r="AP951" s="1">
        <v>20442364</v>
      </c>
      <c r="AQ951" s="1">
        <v>4404809</v>
      </c>
      <c r="AR951" s="1">
        <v>660721</v>
      </c>
      <c r="AS951" s="1">
        <v>0</v>
      </c>
      <c r="AT951" s="1">
        <f t="shared" si="97"/>
        <v>27089577</v>
      </c>
    </row>
    <row r="952" spans="1:46" x14ac:dyDescent="0.2">
      <c r="A952" s="1" t="str">
        <f>"01221"</f>
        <v>01221</v>
      </c>
      <c r="B952" s="1" t="str">
        <f>"بهروز"</f>
        <v>بهروز</v>
      </c>
      <c r="C952" s="1" t="str">
        <f>"ايسپره"</f>
        <v>ايسپره</v>
      </c>
      <c r="D952" s="1" t="str">
        <f t="shared" ref="D952:D964" si="102">"قراردادي بهره بردار"</f>
        <v>قراردادي بهره بردار</v>
      </c>
      <c r="E952" s="1" t="str">
        <f t="shared" ref="E952:E964" si="103">"پروژه بهره برداري نيروگاه بوشهر"</f>
        <v>پروژه بهره برداري نيروگاه بوشهر</v>
      </c>
      <c r="F952" s="1">
        <v>11695384</v>
      </c>
      <c r="G952" s="1">
        <v>9865633</v>
      </c>
      <c r="H952" s="1">
        <v>0</v>
      </c>
      <c r="I952" s="1">
        <v>8527670</v>
      </c>
      <c r="J952" s="1">
        <v>0</v>
      </c>
      <c r="K952" s="1">
        <v>0</v>
      </c>
      <c r="L952" s="1">
        <v>0</v>
      </c>
      <c r="M952" s="1">
        <v>400000</v>
      </c>
      <c r="N952" s="1">
        <v>1591729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2477085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1136950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1819120</v>
      </c>
      <c r="AM952" s="1">
        <v>0</v>
      </c>
      <c r="AN952" s="1">
        <v>38613571</v>
      </c>
      <c r="AO952" s="1">
        <v>4850139</v>
      </c>
      <c r="AP952" s="1">
        <v>33763432</v>
      </c>
      <c r="AQ952" s="1">
        <v>7722714</v>
      </c>
      <c r="AR952" s="1">
        <v>1158407</v>
      </c>
      <c r="AS952" s="1">
        <v>0</v>
      </c>
      <c r="AT952" s="1">
        <f t="shared" si="97"/>
        <v>47494692</v>
      </c>
    </row>
    <row r="953" spans="1:46" x14ac:dyDescent="0.2">
      <c r="A953" s="1" t="str">
        <f>"01222"</f>
        <v>01222</v>
      </c>
      <c r="B953" s="1" t="str">
        <f>"محمد"</f>
        <v>محمد</v>
      </c>
      <c r="C953" s="1" t="str">
        <f>"اومن"</f>
        <v>اومن</v>
      </c>
      <c r="D953" s="1" t="str">
        <f t="shared" si="102"/>
        <v>قراردادي بهره بردار</v>
      </c>
      <c r="E953" s="1" t="str">
        <f t="shared" si="103"/>
        <v>پروژه بهره برداري نيروگاه بوشهر</v>
      </c>
      <c r="F953" s="1">
        <v>13380494</v>
      </c>
      <c r="G953" s="1">
        <v>4808362</v>
      </c>
      <c r="H953" s="1">
        <v>0</v>
      </c>
      <c r="I953" s="1">
        <v>9344798</v>
      </c>
      <c r="J953" s="1">
        <v>0</v>
      </c>
      <c r="K953" s="1">
        <v>4125000</v>
      </c>
      <c r="L953" s="1">
        <v>0</v>
      </c>
      <c r="M953" s="1">
        <v>400000</v>
      </c>
      <c r="N953" s="1">
        <v>1948564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1342000</v>
      </c>
      <c r="U953" s="1">
        <v>0</v>
      </c>
      <c r="V953" s="1">
        <v>3408831</v>
      </c>
      <c r="W953" s="1">
        <v>1100000</v>
      </c>
      <c r="X953" s="1">
        <v>2076284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1391832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8022624</v>
      </c>
      <c r="AM953" s="1">
        <v>0</v>
      </c>
      <c r="AN953" s="1">
        <v>51348789</v>
      </c>
      <c r="AO953" s="1">
        <v>17379146</v>
      </c>
      <c r="AP953" s="1">
        <v>33969643</v>
      </c>
      <c r="AQ953" s="1">
        <v>10001358</v>
      </c>
      <c r="AR953" s="1">
        <v>1500204</v>
      </c>
      <c r="AS953" s="1">
        <v>0</v>
      </c>
      <c r="AT953" s="1">
        <f t="shared" si="97"/>
        <v>62850351</v>
      </c>
    </row>
    <row r="954" spans="1:46" x14ac:dyDescent="0.2">
      <c r="A954" s="1" t="str">
        <f>"01223"</f>
        <v>01223</v>
      </c>
      <c r="B954" s="1" t="str">
        <f>"مهدي"</f>
        <v>مهدي</v>
      </c>
      <c r="C954" s="1" t="str">
        <f>"سالاروند"</f>
        <v>سالاروند</v>
      </c>
      <c r="D954" s="1" t="str">
        <f t="shared" si="102"/>
        <v>قراردادي بهره بردار</v>
      </c>
      <c r="E954" s="1" t="str">
        <f t="shared" si="103"/>
        <v>پروژه بهره برداري نيروگاه بوشهر</v>
      </c>
      <c r="F954" s="1">
        <v>13324469</v>
      </c>
      <c r="G954" s="1">
        <v>5428948</v>
      </c>
      <c r="H954" s="1">
        <v>0</v>
      </c>
      <c r="I954" s="1">
        <v>8970321</v>
      </c>
      <c r="J954" s="1">
        <v>0</v>
      </c>
      <c r="K954" s="1">
        <v>5500000</v>
      </c>
      <c r="L954" s="1">
        <v>0</v>
      </c>
      <c r="M954" s="1">
        <v>400000</v>
      </c>
      <c r="N954" s="1">
        <v>2068851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1342000</v>
      </c>
      <c r="U954" s="1">
        <v>0</v>
      </c>
      <c r="V954" s="1">
        <v>5712090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1477750</v>
      </c>
      <c r="AF954" s="1">
        <v>1111269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2719061</v>
      </c>
      <c r="AM954" s="1">
        <v>0</v>
      </c>
      <c r="AN954" s="1">
        <v>49154759</v>
      </c>
      <c r="AO954" s="1">
        <v>6686977</v>
      </c>
      <c r="AP954" s="1">
        <v>42467782</v>
      </c>
      <c r="AQ954" s="1">
        <v>9340298</v>
      </c>
      <c r="AR954" s="1">
        <v>1401045</v>
      </c>
      <c r="AS954" s="1">
        <v>0</v>
      </c>
      <c r="AT954" s="1">
        <f t="shared" si="97"/>
        <v>59896102</v>
      </c>
    </row>
    <row r="955" spans="1:46" x14ac:dyDescent="0.2">
      <c r="A955" s="1" t="str">
        <f>"01224"</f>
        <v>01224</v>
      </c>
      <c r="B955" s="1" t="str">
        <f>"يوسف"</f>
        <v>يوسف</v>
      </c>
      <c r="C955" s="1" t="str">
        <f>"رضايي بانبيدي"</f>
        <v>رضايي بانبيدي</v>
      </c>
      <c r="D955" s="1" t="str">
        <f t="shared" si="102"/>
        <v>قراردادي بهره بردار</v>
      </c>
      <c r="E955" s="1" t="str">
        <f t="shared" si="103"/>
        <v>پروژه بهره برداري نيروگاه بوشهر</v>
      </c>
      <c r="F955" s="1">
        <v>10068090</v>
      </c>
      <c r="G955" s="1">
        <v>2630436</v>
      </c>
      <c r="H955" s="1">
        <v>0</v>
      </c>
      <c r="I955" s="1">
        <v>6986476</v>
      </c>
      <c r="J955" s="1">
        <v>0</v>
      </c>
      <c r="K955" s="1">
        <v>4620000</v>
      </c>
      <c r="L955" s="1">
        <v>0</v>
      </c>
      <c r="M955" s="1">
        <v>400000</v>
      </c>
      <c r="N955" s="1">
        <v>1828385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1342000</v>
      </c>
      <c r="U955" s="1">
        <v>0</v>
      </c>
      <c r="V955" s="1">
        <v>2264421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1305990</v>
      </c>
      <c r="AF955" s="1">
        <v>1111269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2455260</v>
      </c>
      <c r="AM955" s="1">
        <v>0</v>
      </c>
      <c r="AN955" s="1">
        <v>36112327</v>
      </c>
      <c r="AO955" s="1">
        <v>10947852</v>
      </c>
      <c r="AP955" s="1">
        <v>25164475</v>
      </c>
      <c r="AQ955" s="1">
        <v>6731812</v>
      </c>
      <c r="AR955" s="1">
        <v>1009772</v>
      </c>
      <c r="AS955" s="1">
        <v>0</v>
      </c>
      <c r="AT955" s="1">
        <f t="shared" si="97"/>
        <v>43853911</v>
      </c>
    </row>
    <row r="956" spans="1:46" x14ac:dyDescent="0.2">
      <c r="A956" s="1" t="str">
        <f>"01225"</f>
        <v>01225</v>
      </c>
      <c r="B956" s="1" t="str">
        <f>"حامد"</f>
        <v>حامد</v>
      </c>
      <c r="C956" s="1" t="str">
        <f>"علي نژاد"</f>
        <v>علي نژاد</v>
      </c>
      <c r="D956" s="1" t="str">
        <f t="shared" si="102"/>
        <v>قراردادي بهره بردار</v>
      </c>
      <c r="E956" s="1" t="str">
        <f t="shared" si="103"/>
        <v>پروژه بهره برداري نيروگاه بوشهر</v>
      </c>
      <c r="F956" s="1">
        <v>13136940</v>
      </c>
      <c r="G956" s="1">
        <v>6103410</v>
      </c>
      <c r="H956" s="1">
        <v>0</v>
      </c>
      <c r="I956" s="1">
        <v>8654302</v>
      </c>
      <c r="J956" s="1">
        <v>0</v>
      </c>
      <c r="K956" s="1">
        <v>5500000</v>
      </c>
      <c r="L956" s="1">
        <v>0</v>
      </c>
      <c r="M956" s="1">
        <v>400000</v>
      </c>
      <c r="N956" s="1">
        <v>1991930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1342000</v>
      </c>
      <c r="U956" s="1">
        <v>0</v>
      </c>
      <c r="V956" s="1">
        <v>5167602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1422808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1991930</v>
      </c>
      <c r="AM956" s="1">
        <v>0</v>
      </c>
      <c r="AN956" s="1">
        <v>46810922</v>
      </c>
      <c r="AO956" s="1">
        <v>5228780</v>
      </c>
      <c r="AP956" s="1">
        <v>41582142</v>
      </c>
      <c r="AQ956" s="1">
        <v>9093784</v>
      </c>
      <c r="AR956" s="1">
        <v>1364068</v>
      </c>
      <c r="AS956" s="1">
        <v>0</v>
      </c>
      <c r="AT956" s="1">
        <f t="shared" si="97"/>
        <v>57268774</v>
      </c>
    </row>
    <row r="957" spans="1:46" x14ac:dyDescent="0.2">
      <c r="A957" s="1" t="str">
        <f>"01226"</f>
        <v>01226</v>
      </c>
      <c r="B957" s="1" t="str">
        <f>"حيدر"</f>
        <v>حيدر</v>
      </c>
      <c r="C957" s="1" t="str">
        <f>"مير علايي"</f>
        <v>مير علايي</v>
      </c>
      <c r="D957" s="1" t="str">
        <f t="shared" si="102"/>
        <v>قراردادي بهره بردار</v>
      </c>
      <c r="E957" s="1" t="str">
        <f t="shared" si="103"/>
        <v>پروژه بهره برداري نيروگاه بوشهر</v>
      </c>
      <c r="F957" s="1">
        <v>10045726</v>
      </c>
      <c r="G957" s="1">
        <v>3445833</v>
      </c>
      <c r="H957" s="1">
        <v>0</v>
      </c>
      <c r="I957" s="1">
        <v>6333596</v>
      </c>
      <c r="J957" s="1">
        <v>0</v>
      </c>
      <c r="K957" s="1">
        <v>0</v>
      </c>
      <c r="L957" s="1">
        <v>0</v>
      </c>
      <c r="M957" s="1">
        <v>400000</v>
      </c>
      <c r="N957" s="1">
        <v>1703465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4229805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1216762</v>
      </c>
      <c r="AF957" s="1">
        <v>1111269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1849477</v>
      </c>
      <c r="AM957" s="1">
        <v>0</v>
      </c>
      <c r="AN957" s="1">
        <v>31435933</v>
      </c>
      <c r="AO957" s="1">
        <v>2835670</v>
      </c>
      <c r="AP957" s="1">
        <v>28600263</v>
      </c>
      <c r="AQ957" s="1">
        <v>6064933</v>
      </c>
      <c r="AR957" s="1">
        <v>909740</v>
      </c>
      <c r="AS957" s="1">
        <v>0</v>
      </c>
      <c r="AT957" s="1">
        <f t="shared" si="97"/>
        <v>38410606</v>
      </c>
    </row>
    <row r="958" spans="1:46" x14ac:dyDescent="0.2">
      <c r="A958" s="1" t="str">
        <f>"01227"</f>
        <v>01227</v>
      </c>
      <c r="B958" s="1" t="str">
        <f>"اصغر"</f>
        <v>اصغر</v>
      </c>
      <c r="C958" s="1" t="str">
        <f>"خسروي"</f>
        <v>خسروي</v>
      </c>
      <c r="D958" s="1" t="str">
        <f t="shared" si="102"/>
        <v>قراردادي بهره بردار</v>
      </c>
      <c r="E958" s="1" t="str">
        <f t="shared" si="103"/>
        <v>پروژه بهره برداري نيروگاه بوشهر</v>
      </c>
      <c r="F958" s="1">
        <v>9506268</v>
      </c>
      <c r="G958" s="1">
        <v>0</v>
      </c>
      <c r="H958" s="1">
        <v>0</v>
      </c>
      <c r="I958" s="1">
        <v>6055687</v>
      </c>
      <c r="J958" s="1">
        <v>0</v>
      </c>
      <c r="K958" s="1">
        <v>4620000</v>
      </c>
      <c r="L958" s="1">
        <v>0</v>
      </c>
      <c r="M958" s="1">
        <v>400000</v>
      </c>
      <c r="N958" s="1">
        <v>1628858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4019898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1163470</v>
      </c>
      <c r="AF958" s="1">
        <v>1111269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1745206</v>
      </c>
      <c r="AM958" s="1">
        <v>0</v>
      </c>
      <c r="AN958" s="1">
        <v>31350656</v>
      </c>
      <c r="AO958" s="1">
        <v>2821344</v>
      </c>
      <c r="AP958" s="1">
        <v>28529312</v>
      </c>
      <c r="AQ958" s="1">
        <v>6047877</v>
      </c>
      <c r="AR958" s="1">
        <v>907182</v>
      </c>
      <c r="AS958" s="1">
        <v>0</v>
      </c>
      <c r="AT958" s="1">
        <f t="shared" si="97"/>
        <v>38305715</v>
      </c>
    </row>
    <row r="959" spans="1:46" x14ac:dyDescent="0.2">
      <c r="A959" s="1" t="str">
        <f>"01228"</f>
        <v>01228</v>
      </c>
      <c r="B959" s="1" t="str">
        <f>"پيمان"</f>
        <v>پيمان</v>
      </c>
      <c r="C959" s="1" t="str">
        <f>"قائدي"</f>
        <v>قائدي</v>
      </c>
      <c r="D959" s="1" t="str">
        <f t="shared" si="102"/>
        <v>قراردادي بهره بردار</v>
      </c>
      <c r="E959" s="1" t="str">
        <f t="shared" si="103"/>
        <v>پروژه بهره برداري نيروگاه بوشهر</v>
      </c>
      <c r="F959" s="1">
        <v>10312389</v>
      </c>
      <c r="G959" s="1">
        <v>5938561</v>
      </c>
      <c r="H959" s="1">
        <v>0</v>
      </c>
      <c r="I959" s="1">
        <v>6113375</v>
      </c>
      <c r="J959" s="1">
        <v>0</v>
      </c>
      <c r="K959" s="1">
        <v>0</v>
      </c>
      <c r="L959" s="1">
        <v>0</v>
      </c>
      <c r="M959" s="1">
        <v>400000</v>
      </c>
      <c r="N959" s="1">
        <v>1700737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4232707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1214813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1822220</v>
      </c>
      <c r="AM959" s="1">
        <v>0</v>
      </c>
      <c r="AN959" s="1">
        <v>32834802</v>
      </c>
      <c r="AO959" s="1">
        <v>3146246</v>
      </c>
      <c r="AP959" s="1">
        <v>29688556</v>
      </c>
      <c r="AQ959" s="1">
        <v>6566960</v>
      </c>
      <c r="AR959" s="1">
        <v>985044</v>
      </c>
      <c r="AS959" s="1">
        <v>0</v>
      </c>
      <c r="AT959" s="1">
        <f t="shared" si="97"/>
        <v>40386806</v>
      </c>
    </row>
    <row r="960" spans="1:46" x14ac:dyDescent="0.2">
      <c r="A960" s="1" t="str">
        <f>"01229"</f>
        <v>01229</v>
      </c>
      <c r="B960" s="1" t="str">
        <f>"ميثم"</f>
        <v>ميثم</v>
      </c>
      <c r="C960" s="1" t="str">
        <f>"دهقاني"</f>
        <v>دهقاني</v>
      </c>
      <c r="D960" s="1" t="str">
        <f t="shared" si="102"/>
        <v>قراردادي بهره بردار</v>
      </c>
      <c r="E960" s="1" t="str">
        <f t="shared" si="103"/>
        <v>پروژه بهره برداري نيروگاه بوشهر</v>
      </c>
      <c r="F960" s="1">
        <v>11541484</v>
      </c>
      <c r="G960" s="1">
        <v>5178692</v>
      </c>
      <c r="H960" s="1">
        <v>0</v>
      </c>
      <c r="I960" s="1">
        <v>7694718</v>
      </c>
      <c r="J960" s="1">
        <v>0</v>
      </c>
      <c r="K960" s="1">
        <v>4620000</v>
      </c>
      <c r="L960" s="1">
        <v>0</v>
      </c>
      <c r="M960" s="1">
        <v>400000</v>
      </c>
      <c r="N960" s="1">
        <v>1949237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4765943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1392311</v>
      </c>
      <c r="AF960" s="1">
        <v>1111269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2506161</v>
      </c>
      <c r="AM960" s="1">
        <v>0</v>
      </c>
      <c r="AN960" s="1">
        <v>42259815</v>
      </c>
      <c r="AO960" s="1">
        <v>4654083</v>
      </c>
      <c r="AP960" s="1">
        <v>37605732</v>
      </c>
      <c r="AQ960" s="1">
        <v>8229709</v>
      </c>
      <c r="AR960" s="1">
        <v>1234456</v>
      </c>
      <c r="AS960" s="1">
        <v>0</v>
      </c>
      <c r="AT960" s="1">
        <f t="shared" si="97"/>
        <v>51723980</v>
      </c>
    </row>
    <row r="961" spans="1:46" x14ac:dyDescent="0.2">
      <c r="A961" s="1" t="str">
        <f>"01230"</f>
        <v>01230</v>
      </c>
      <c r="B961" s="1" t="str">
        <f>"محمد شريف"</f>
        <v>محمد شريف</v>
      </c>
      <c r="C961" s="1" t="str">
        <f>"دل آرام"</f>
        <v>دل آرام</v>
      </c>
      <c r="D961" s="1" t="str">
        <f t="shared" si="102"/>
        <v>قراردادي بهره بردار</v>
      </c>
      <c r="E961" s="1" t="str">
        <f t="shared" si="103"/>
        <v>پروژه بهره برداري نيروگاه بوشهر</v>
      </c>
      <c r="F961" s="1">
        <v>14821413</v>
      </c>
      <c r="G961" s="1">
        <v>10010997</v>
      </c>
      <c r="H961" s="1">
        <v>0</v>
      </c>
      <c r="I961" s="1">
        <v>11239552</v>
      </c>
      <c r="J961" s="1">
        <v>0</v>
      </c>
      <c r="K961" s="1">
        <v>0</v>
      </c>
      <c r="L961" s="1">
        <v>0</v>
      </c>
      <c r="M961" s="1">
        <v>400000</v>
      </c>
      <c r="N961" s="1">
        <v>2478717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1342000</v>
      </c>
      <c r="U961" s="1">
        <v>0</v>
      </c>
      <c r="V961" s="1">
        <v>7197989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1770512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3965947</v>
      </c>
      <c r="AM961" s="1">
        <v>0</v>
      </c>
      <c r="AN961" s="1">
        <v>54327127</v>
      </c>
      <c r="AO961" s="1">
        <v>6491502</v>
      </c>
      <c r="AP961" s="1">
        <v>47835625</v>
      </c>
      <c r="AQ961" s="1">
        <v>10597025</v>
      </c>
      <c r="AR961" s="1">
        <v>1589554</v>
      </c>
      <c r="AS961" s="1">
        <v>0</v>
      </c>
      <c r="AT961" s="1">
        <f t="shared" si="97"/>
        <v>66513706</v>
      </c>
    </row>
    <row r="962" spans="1:46" x14ac:dyDescent="0.2">
      <c r="A962" s="1" t="str">
        <f>"01231"</f>
        <v>01231</v>
      </c>
      <c r="B962" s="1" t="str">
        <f>"جواد"</f>
        <v>جواد</v>
      </c>
      <c r="C962" s="1" t="str">
        <f>"سهرابي"</f>
        <v>سهرابي</v>
      </c>
      <c r="D962" s="1" t="str">
        <f t="shared" si="102"/>
        <v>قراردادي بهره بردار</v>
      </c>
      <c r="E962" s="1" t="str">
        <f t="shared" si="103"/>
        <v>پروژه بهره برداري نيروگاه بوشهر</v>
      </c>
      <c r="F962" s="1">
        <v>9151313</v>
      </c>
      <c r="G962" s="1">
        <v>0</v>
      </c>
      <c r="H962" s="1">
        <v>0</v>
      </c>
      <c r="I962" s="1">
        <v>5202600</v>
      </c>
      <c r="J962" s="1">
        <v>0</v>
      </c>
      <c r="K962" s="1">
        <v>4620000</v>
      </c>
      <c r="L962" s="1">
        <v>0</v>
      </c>
      <c r="M962" s="1">
        <v>400000</v>
      </c>
      <c r="N962" s="1">
        <v>1376853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3641820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983465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1494869</v>
      </c>
      <c r="AM962" s="1">
        <v>0</v>
      </c>
      <c r="AN962" s="1">
        <v>27970920</v>
      </c>
      <c r="AO962" s="1">
        <v>2329114</v>
      </c>
      <c r="AP962" s="1">
        <v>25641806</v>
      </c>
      <c r="AQ962" s="1">
        <v>5594184</v>
      </c>
      <c r="AR962" s="1">
        <v>839128</v>
      </c>
      <c r="AS962" s="1">
        <v>0</v>
      </c>
      <c r="AT962" s="1">
        <f t="shared" si="97"/>
        <v>34404232</v>
      </c>
    </row>
    <row r="963" spans="1:46" x14ac:dyDescent="0.2">
      <c r="A963" s="1" t="str">
        <f>"01232"</f>
        <v>01232</v>
      </c>
      <c r="B963" s="1" t="str">
        <f>"محمد جواد"</f>
        <v>محمد جواد</v>
      </c>
      <c r="C963" s="1" t="str">
        <f>"حيدري"</f>
        <v>حيدري</v>
      </c>
      <c r="D963" s="1" t="str">
        <f t="shared" si="102"/>
        <v>قراردادي بهره بردار</v>
      </c>
      <c r="E963" s="1" t="str">
        <f t="shared" si="103"/>
        <v>پروژه بهره برداري نيروگاه بوشهر</v>
      </c>
      <c r="F963" s="1">
        <v>9941839</v>
      </c>
      <c r="G963" s="1">
        <v>548372</v>
      </c>
      <c r="H963" s="1">
        <v>0</v>
      </c>
      <c r="I963" s="1">
        <v>6138348</v>
      </c>
      <c r="J963" s="1">
        <v>0</v>
      </c>
      <c r="K963" s="1">
        <v>3465000</v>
      </c>
      <c r="L963" s="1">
        <v>0</v>
      </c>
      <c r="M963" s="1">
        <v>400000</v>
      </c>
      <c r="N963" s="1">
        <v>1662640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3521011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1187599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1781399</v>
      </c>
      <c r="AM963" s="1">
        <v>0</v>
      </c>
      <c r="AN963" s="1">
        <v>29746208</v>
      </c>
      <c r="AO963" s="1">
        <v>2627364</v>
      </c>
      <c r="AP963" s="1">
        <v>27118844</v>
      </c>
      <c r="AQ963" s="1">
        <v>5949242</v>
      </c>
      <c r="AR963" s="1">
        <v>892386</v>
      </c>
      <c r="AS963" s="1">
        <v>0</v>
      </c>
      <c r="AT963" s="1">
        <f t="shared" ref="AT963:AT1026" si="104">AS963+AR963+AQ963+AN963</f>
        <v>36587836</v>
      </c>
    </row>
    <row r="964" spans="1:46" x14ac:dyDescent="0.2">
      <c r="A964" s="1" t="str">
        <f>"01233"</f>
        <v>01233</v>
      </c>
      <c r="B964" s="1" t="str">
        <f>"کامران"</f>
        <v>کامران</v>
      </c>
      <c r="C964" s="1" t="str">
        <f>"زارعي"</f>
        <v>زارعي</v>
      </c>
      <c r="D964" s="1" t="str">
        <f t="shared" si="102"/>
        <v>قراردادي بهره بردار</v>
      </c>
      <c r="E964" s="1" t="str">
        <f t="shared" si="103"/>
        <v>پروژه بهره برداري نيروگاه بوشهر</v>
      </c>
      <c r="F964" s="1">
        <v>10635447</v>
      </c>
      <c r="G964" s="1">
        <v>522770</v>
      </c>
      <c r="H964" s="1">
        <v>0</v>
      </c>
      <c r="I964" s="1">
        <v>6244511</v>
      </c>
      <c r="J964" s="1">
        <v>0</v>
      </c>
      <c r="K964" s="1">
        <v>0</v>
      </c>
      <c r="L964" s="1">
        <v>0</v>
      </c>
      <c r="M964" s="1">
        <v>386207</v>
      </c>
      <c r="N964" s="1">
        <v>1285413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2027712</v>
      </c>
      <c r="W964" s="1">
        <v>1062069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918152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1193598</v>
      </c>
      <c r="AM964" s="1">
        <v>0</v>
      </c>
      <c r="AN964" s="1">
        <v>24275879</v>
      </c>
      <c r="AO964" s="1">
        <v>1737312</v>
      </c>
      <c r="AP964" s="1">
        <v>22538567</v>
      </c>
      <c r="AQ964" s="1">
        <v>4855176</v>
      </c>
      <c r="AR964" s="1">
        <v>728276</v>
      </c>
      <c r="AS964" s="1">
        <v>0</v>
      </c>
      <c r="AT964" s="1">
        <f t="shared" si="104"/>
        <v>29859331</v>
      </c>
    </row>
    <row r="965" spans="1:46" x14ac:dyDescent="0.2">
      <c r="A965" s="1" t="str">
        <f>"01234"</f>
        <v>01234</v>
      </c>
      <c r="B965" s="1" t="str">
        <f>"محسن"</f>
        <v>محسن</v>
      </c>
      <c r="C965" s="1" t="str">
        <f>"نيکنام"</f>
        <v>نيکنام</v>
      </c>
      <c r="D965" s="1" t="str">
        <f>"قراردادي کارگري"</f>
        <v>قراردادي کارگري</v>
      </c>
      <c r="E965" s="1" t="str">
        <f>"پروژه تعميرات نيروگاه بوشهر"</f>
        <v>پروژه تعميرات نيروگاه بوشهر</v>
      </c>
      <c r="F965" s="1">
        <v>6835085</v>
      </c>
      <c r="G965" s="1">
        <v>6498317</v>
      </c>
      <c r="H965" s="1">
        <v>0</v>
      </c>
      <c r="I965" s="1">
        <v>4101051</v>
      </c>
      <c r="J965" s="1">
        <v>0</v>
      </c>
      <c r="K965" s="1">
        <v>0</v>
      </c>
      <c r="L965" s="1">
        <v>3500010</v>
      </c>
      <c r="M965" s="1">
        <v>400000</v>
      </c>
      <c r="N965" s="1">
        <v>3645379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1953153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2222538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30255533</v>
      </c>
      <c r="AO965" s="1">
        <v>2561798</v>
      </c>
      <c r="AP965" s="1">
        <v>27693735</v>
      </c>
      <c r="AQ965" s="1">
        <v>5606599</v>
      </c>
      <c r="AR965" s="1">
        <v>840990</v>
      </c>
      <c r="AS965" s="1">
        <v>0</v>
      </c>
      <c r="AT965" s="1">
        <f t="shared" si="104"/>
        <v>36703122</v>
      </c>
    </row>
    <row r="966" spans="1:46" x14ac:dyDescent="0.2">
      <c r="A966" s="1" t="str">
        <f>"01235"</f>
        <v>01235</v>
      </c>
      <c r="B966" s="1" t="str">
        <f>"محمد"</f>
        <v>محمد</v>
      </c>
      <c r="C966" s="1" t="str">
        <f>"حسن زاده"</f>
        <v>حسن زاده</v>
      </c>
      <c r="D966" s="1" t="str">
        <f t="shared" ref="D966:D971" si="105">"قراردادي بهره بردار"</f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14026837</v>
      </c>
      <c r="G966" s="1">
        <v>8005032</v>
      </c>
      <c r="H966" s="1">
        <v>0</v>
      </c>
      <c r="I966" s="1">
        <v>10935918</v>
      </c>
      <c r="J966" s="1">
        <v>0</v>
      </c>
      <c r="K966" s="1">
        <v>5500000</v>
      </c>
      <c r="L966" s="1">
        <v>0</v>
      </c>
      <c r="M966" s="1">
        <v>400000</v>
      </c>
      <c r="N966" s="1">
        <v>2317787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6051480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1655563</v>
      </c>
      <c r="AF966" s="1">
        <v>2222538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2913790</v>
      </c>
      <c r="AM966" s="1">
        <v>0</v>
      </c>
      <c r="AN966" s="1">
        <v>55128945</v>
      </c>
      <c r="AO966" s="1">
        <v>7240530</v>
      </c>
      <c r="AP966" s="1">
        <v>47888415</v>
      </c>
      <c r="AQ966" s="1">
        <v>10581281</v>
      </c>
      <c r="AR966" s="1">
        <v>1587192</v>
      </c>
      <c r="AS966" s="1">
        <v>0</v>
      </c>
      <c r="AT966" s="1">
        <f t="shared" si="104"/>
        <v>67297418</v>
      </c>
    </row>
    <row r="967" spans="1:46" x14ac:dyDescent="0.2">
      <c r="A967" s="1" t="str">
        <f>"01236"</f>
        <v>01236</v>
      </c>
      <c r="B967" s="1" t="str">
        <f>"لاله"</f>
        <v>لاله</v>
      </c>
      <c r="C967" s="1" t="str">
        <f>"محمدي"</f>
        <v>محمدي</v>
      </c>
      <c r="D967" s="1" t="str">
        <f t="shared" si="105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11163141</v>
      </c>
      <c r="G967" s="1">
        <v>359745</v>
      </c>
      <c r="H967" s="1">
        <v>0</v>
      </c>
      <c r="I967" s="1">
        <v>6948148</v>
      </c>
      <c r="J967" s="1">
        <v>0</v>
      </c>
      <c r="K967" s="1">
        <v>4125000</v>
      </c>
      <c r="L967" s="1">
        <v>0</v>
      </c>
      <c r="M967" s="1">
        <v>400000</v>
      </c>
      <c r="N967" s="1">
        <v>1387116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1342000</v>
      </c>
      <c r="U967" s="1">
        <v>0</v>
      </c>
      <c r="V967" s="1">
        <v>2167816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990798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1188957</v>
      </c>
      <c r="AM967" s="1">
        <v>0</v>
      </c>
      <c r="AN967" s="1">
        <v>31172721</v>
      </c>
      <c r="AO967" s="1">
        <v>11213096</v>
      </c>
      <c r="AP967" s="1">
        <v>19959625</v>
      </c>
      <c r="AQ967" s="1">
        <v>5966144</v>
      </c>
      <c r="AR967" s="1">
        <v>894922</v>
      </c>
      <c r="AS967" s="1">
        <v>0</v>
      </c>
      <c r="AT967" s="1">
        <f t="shared" si="104"/>
        <v>38033787</v>
      </c>
    </row>
    <row r="968" spans="1:46" x14ac:dyDescent="0.2">
      <c r="A968" s="1" t="str">
        <f>"01237"</f>
        <v>01237</v>
      </c>
      <c r="B968" s="1" t="str">
        <f>"اميد"</f>
        <v>اميد</v>
      </c>
      <c r="C968" s="1" t="str">
        <f>"تکين"</f>
        <v>تکين</v>
      </c>
      <c r="D968" s="1" t="str">
        <f t="shared" si="105"/>
        <v>قراردادي بهره بردار</v>
      </c>
      <c r="E968" s="1" t="str">
        <f>"پروژه بهره برداري نيروگاه بوشهر"</f>
        <v>پروژه بهره برداري نيروگاه بوشهر</v>
      </c>
      <c r="F968" s="1">
        <v>11113047</v>
      </c>
      <c r="G968" s="1">
        <v>13798759</v>
      </c>
      <c r="H968" s="1">
        <v>0</v>
      </c>
      <c r="I968" s="1">
        <v>9713453</v>
      </c>
      <c r="J968" s="1">
        <v>0</v>
      </c>
      <c r="K968" s="1">
        <v>4620000</v>
      </c>
      <c r="L968" s="1">
        <v>0</v>
      </c>
      <c r="M968" s="1">
        <v>400000</v>
      </c>
      <c r="N968" s="1">
        <v>2056689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1342000</v>
      </c>
      <c r="U968" s="1">
        <v>0</v>
      </c>
      <c r="V968" s="1">
        <v>6017504</v>
      </c>
      <c r="W968" s="1">
        <v>1100000</v>
      </c>
      <c r="X968" s="1">
        <v>1724438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1469064</v>
      </c>
      <c r="AF968" s="1">
        <v>1111269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7741103</v>
      </c>
      <c r="AM968" s="1">
        <v>0</v>
      </c>
      <c r="AN968" s="1">
        <v>62207326</v>
      </c>
      <c r="AO968" s="1">
        <v>24243815</v>
      </c>
      <c r="AP968" s="1">
        <v>37963511</v>
      </c>
      <c r="AQ968" s="1">
        <v>11950811</v>
      </c>
      <c r="AR968" s="1">
        <v>1792622</v>
      </c>
      <c r="AS968" s="1">
        <v>0</v>
      </c>
      <c r="AT968" s="1">
        <f t="shared" si="104"/>
        <v>75950759</v>
      </c>
    </row>
    <row r="969" spans="1:46" x14ac:dyDescent="0.2">
      <c r="A969" s="1" t="str">
        <f>"01238"</f>
        <v>01238</v>
      </c>
      <c r="B969" s="1" t="str">
        <f>"محمد امين"</f>
        <v>محمد امين</v>
      </c>
      <c r="C969" s="1" t="str">
        <f>"صمصامي"</f>
        <v>صمصامي</v>
      </c>
      <c r="D969" s="1" t="str">
        <f t="shared" si="105"/>
        <v>قراردادي بهره بردار</v>
      </c>
      <c r="E969" s="1" t="str">
        <f>"پروژه تعميرات نيروگاه بوشهر"</f>
        <v>پروژه تعميرات نيروگاه بوشهر</v>
      </c>
      <c r="F969" s="1">
        <v>12263174</v>
      </c>
      <c r="G969" s="1">
        <v>1027220</v>
      </c>
      <c r="H969" s="1">
        <v>0</v>
      </c>
      <c r="I969" s="1">
        <v>8230195</v>
      </c>
      <c r="J969" s="1">
        <v>0</v>
      </c>
      <c r="K969" s="1">
        <v>5500000</v>
      </c>
      <c r="L969" s="1">
        <v>0</v>
      </c>
      <c r="M969" s="1">
        <v>400000</v>
      </c>
      <c r="N969" s="1">
        <v>1493325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2476002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1066661</v>
      </c>
      <c r="AF969" s="1">
        <v>1111269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1706658</v>
      </c>
      <c r="AM969" s="1">
        <v>0</v>
      </c>
      <c r="AN969" s="1">
        <v>36374504</v>
      </c>
      <c r="AO969" s="1">
        <v>4427721</v>
      </c>
      <c r="AP969" s="1">
        <v>31946783</v>
      </c>
      <c r="AQ969" s="1">
        <v>7052647</v>
      </c>
      <c r="AR969" s="1">
        <v>1057897</v>
      </c>
      <c r="AS969" s="1">
        <v>0</v>
      </c>
      <c r="AT969" s="1">
        <f t="shared" si="104"/>
        <v>44485048</v>
      </c>
    </row>
    <row r="970" spans="1:46" x14ac:dyDescent="0.2">
      <c r="A970" s="1" t="str">
        <f>"01239"</f>
        <v>01239</v>
      </c>
      <c r="B970" s="1" t="str">
        <f>"مختار"</f>
        <v>مختار</v>
      </c>
      <c r="C970" s="1" t="str">
        <f>"كانيک زاده"</f>
        <v>كانيک زاده</v>
      </c>
      <c r="D970" s="1" t="str">
        <f t="shared" si="105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11963266</v>
      </c>
      <c r="G970" s="1">
        <v>3566081</v>
      </c>
      <c r="H970" s="1">
        <v>0</v>
      </c>
      <c r="I970" s="1">
        <v>5639347</v>
      </c>
      <c r="J970" s="1">
        <v>0</v>
      </c>
      <c r="K970" s="1">
        <v>4125000</v>
      </c>
      <c r="L970" s="1">
        <v>0</v>
      </c>
      <c r="M970" s="1">
        <v>400000</v>
      </c>
      <c r="N970" s="1">
        <v>1511416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2148912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1079583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1295500</v>
      </c>
      <c r="AM970" s="1">
        <v>0</v>
      </c>
      <c r="AN970" s="1">
        <v>32829105</v>
      </c>
      <c r="AO970" s="1">
        <v>3145288</v>
      </c>
      <c r="AP970" s="1">
        <v>29683817</v>
      </c>
      <c r="AQ970" s="1">
        <v>6565821</v>
      </c>
      <c r="AR970" s="1">
        <v>984873</v>
      </c>
      <c r="AS970" s="1">
        <v>0</v>
      </c>
      <c r="AT970" s="1">
        <f t="shared" si="104"/>
        <v>40379799</v>
      </c>
    </row>
    <row r="971" spans="1:46" x14ac:dyDescent="0.2">
      <c r="A971" s="1" t="str">
        <f>"01240"</f>
        <v>01240</v>
      </c>
      <c r="B971" s="1" t="str">
        <f>"رضا"</f>
        <v>رضا</v>
      </c>
      <c r="C971" s="1" t="str">
        <f>"كريمي"</f>
        <v>كريمي</v>
      </c>
      <c r="D971" s="1" t="str">
        <f t="shared" si="105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8672237</v>
      </c>
      <c r="G971" s="1">
        <v>6560068</v>
      </c>
      <c r="H971" s="1">
        <v>0</v>
      </c>
      <c r="I971" s="1">
        <v>5314766</v>
      </c>
      <c r="J971" s="1">
        <v>0</v>
      </c>
      <c r="K971" s="1">
        <v>0</v>
      </c>
      <c r="L971" s="1">
        <v>0</v>
      </c>
      <c r="M971" s="1">
        <v>400000</v>
      </c>
      <c r="N971" s="1">
        <v>1319773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1756924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942695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1319773</v>
      </c>
      <c r="AM971" s="1">
        <v>0</v>
      </c>
      <c r="AN971" s="1">
        <v>27386236</v>
      </c>
      <c r="AO971" s="1">
        <v>7719028</v>
      </c>
      <c r="AP971" s="1">
        <v>19667208</v>
      </c>
      <c r="AQ971" s="1">
        <v>5477247</v>
      </c>
      <c r="AR971" s="1">
        <v>821587</v>
      </c>
      <c r="AS971" s="1">
        <v>0</v>
      </c>
      <c r="AT971" s="1">
        <f t="shared" si="104"/>
        <v>33685070</v>
      </c>
    </row>
    <row r="972" spans="1:46" x14ac:dyDescent="0.2">
      <c r="A972" s="1" t="str">
        <f>"01241"</f>
        <v>01241</v>
      </c>
      <c r="B972" s="1" t="str">
        <f>"عباس"</f>
        <v>عباس</v>
      </c>
      <c r="C972" s="1" t="str">
        <f>"احمدي"</f>
        <v>احمدي</v>
      </c>
      <c r="D972" s="1" t="str">
        <f t="shared" ref="D972:D989" si="106">"قراردادي کارگري"</f>
        <v>قراردادي کارگري</v>
      </c>
      <c r="E972" s="1" t="str">
        <f>"پروژه بهره برداري نيروگاه بوشهر"</f>
        <v>پروژه بهره برداري نيروگاه بوشهر</v>
      </c>
      <c r="F972" s="1">
        <v>11296824</v>
      </c>
      <c r="G972" s="1">
        <v>13286586</v>
      </c>
      <c r="H972" s="1">
        <v>0</v>
      </c>
      <c r="I972" s="1">
        <v>6492609</v>
      </c>
      <c r="J972" s="1">
        <v>0</v>
      </c>
      <c r="K972" s="1">
        <v>0</v>
      </c>
      <c r="L972" s="1">
        <v>0</v>
      </c>
      <c r="M972" s="1">
        <v>400000</v>
      </c>
      <c r="N972" s="1">
        <v>1275635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2106963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911168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1093402</v>
      </c>
      <c r="AM972" s="1">
        <v>0</v>
      </c>
      <c r="AN972" s="1">
        <v>37963187</v>
      </c>
      <c r="AO972" s="1">
        <v>4007815</v>
      </c>
      <c r="AP972" s="1">
        <v>33955372</v>
      </c>
      <c r="AQ972" s="1">
        <v>7592637</v>
      </c>
      <c r="AR972" s="1">
        <v>1138896</v>
      </c>
      <c r="AS972" s="1">
        <v>0</v>
      </c>
      <c r="AT972" s="1">
        <f t="shared" si="104"/>
        <v>46694720</v>
      </c>
    </row>
    <row r="973" spans="1:46" x14ac:dyDescent="0.2">
      <c r="A973" s="1" t="str">
        <f>"01242"</f>
        <v>01242</v>
      </c>
      <c r="B973" s="1" t="str">
        <f>"مسعود"</f>
        <v>مسعود</v>
      </c>
      <c r="C973" s="1" t="str">
        <f>"احمدي باغکي"</f>
        <v>احمدي باغکي</v>
      </c>
      <c r="D973" s="1" t="str">
        <f t="shared" si="106"/>
        <v>قراردادي کارگري</v>
      </c>
      <c r="E973" s="1" t="str">
        <f t="shared" ref="E973:E989" si="107">"پروژه تعميرات نيروگاه بوشهر"</f>
        <v>پروژه تعميرات نيروگاه بوشهر</v>
      </c>
      <c r="F973" s="1">
        <v>4359703</v>
      </c>
      <c r="G973" s="1">
        <v>1614788</v>
      </c>
      <c r="H973" s="1">
        <v>0</v>
      </c>
      <c r="I973" s="1">
        <v>2615822</v>
      </c>
      <c r="J973" s="1">
        <v>0</v>
      </c>
      <c r="K973" s="1">
        <v>0</v>
      </c>
      <c r="L973" s="1">
        <v>3541712</v>
      </c>
      <c r="M973" s="1">
        <v>400000</v>
      </c>
      <c r="N973" s="1">
        <v>2325176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1429241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1195673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18582115</v>
      </c>
      <c r="AO973" s="1">
        <v>1340748</v>
      </c>
      <c r="AP973" s="1">
        <v>17241367</v>
      </c>
      <c r="AQ973" s="1">
        <v>3716423</v>
      </c>
      <c r="AR973" s="1">
        <v>557463</v>
      </c>
      <c r="AS973" s="1">
        <v>0</v>
      </c>
      <c r="AT973" s="1">
        <f t="shared" si="104"/>
        <v>22856001</v>
      </c>
    </row>
    <row r="974" spans="1:46" x14ac:dyDescent="0.2">
      <c r="A974" s="1" t="str">
        <f>"01244"</f>
        <v>01244</v>
      </c>
      <c r="B974" s="1" t="str">
        <f>"مهدي"</f>
        <v>مهدي</v>
      </c>
      <c r="C974" s="1" t="str">
        <f>"باروني"</f>
        <v>باروني</v>
      </c>
      <c r="D974" s="1" t="str">
        <f t="shared" si="106"/>
        <v>قراردادي کارگري</v>
      </c>
      <c r="E974" s="1" t="str">
        <f t="shared" si="107"/>
        <v>پروژه تعميرات نيروگاه بوشهر</v>
      </c>
      <c r="F974" s="1">
        <v>5319545</v>
      </c>
      <c r="G974" s="1">
        <v>0</v>
      </c>
      <c r="H974" s="1">
        <v>0</v>
      </c>
      <c r="I974" s="1">
        <v>3191727</v>
      </c>
      <c r="J974" s="1">
        <v>0</v>
      </c>
      <c r="K974" s="1">
        <v>0</v>
      </c>
      <c r="L974" s="1">
        <v>3541712</v>
      </c>
      <c r="M974" s="1">
        <v>400000</v>
      </c>
      <c r="N974" s="1">
        <v>2837091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1634008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18024083</v>
      </c>
      <c r="AO974" s="1">
        <v>1301686</v>
      </c>
      <c r="AP974" s="1">
        <v>16722397</v>
      </c>
      <c r="AQ974" s="1">
        <v>3604817</v>
      </c>
      <c r="AR974" s="1">
        <v>540722</v>
      </c>
      <c r="AS974" s="1">
        <v>0</v>
      </c>
      <c r="AT974" s="1">
        <f t="shared" si="104"/>
        <v>22169622</v>
      </c>
    </row>
    <row r="975" spans="1:46" x14ac:dyDescent="0.2">
      <c r="A975" s="1" t="str">
        <f>"01245"</f>
        <v>01245</v>
      </c>
      <c r="B975" s="1" t="str">
        <f>"محمد"</f>
        <v>محمد</v>
      </c>
      <c r="C975" s="1" t="str">
        <f>"براشکه"</f>
        <v>براشکه</v>
      </c>
      <c r="D975" s="1" t="str">
        <f t="shared" si="106"/>
        <v>قراردادي کارگري</v>
      </c>
      <c r="E975" s="1" t="str">
        <f t="shared" si="107"/>
        <v>پروژه تعميرات نيروگاه بوشهر</v>
      </c>
      <c r="F975" s="1">
        <v>4723433</v>
      </c>
      <c r="G975" s="1">
        <v>228182</v>
      </c>
      <c r="H975" s="1">
        <v>0</v>
      </c>
      <c r="I975" s="1">
        <v>2834060</v>
      </c>
      <c r="J975" s="1">
        <v>0</v>
      </c>
      <c r="K975" s="1">
        <v>0</v>
      </c>
      <c r="L975" s="1">
        <v>3541712</v>
      </c>
      <c r="M975" s="1">
        <v>400000</v>
      </c>
      <c r="N975" s="1">
        <v>2519164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1506837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16853388</v>
      </c>
      <c r="AO975" s="1">
        <v>1219737</v>
      </c>
      <c r="AP975" s="1">
        <v>15633651</v>
      </c>
      <c r="AQ975" s="1">
        <v>3370678</v>
      </c>
      <c r="AR975" s="1">
        <v>505602</v>
      </c>
      <c r="AS975" s="1">
        <v>0</v>
      </c>
      <c r="AT975" s="1">
        <f t="shared" si="104"/>
        <v>20729668</v>
      </c>
    </row>
    <row r="976" spans="1:46" x14ac:dyDescent="0.2">
      <c r="A976" s="1" t="str">
        <f>"01246"</f>
        <v>01246</v>
      </c>
      <c r="B976" s="1" t="str">
        <f>"دانيال"</f>
        <v>دانيال</v>
      </c>
      <c r="C976" s="1" t="str">
        <f>"برزگر"</f>
        <v>برزگر</v>
      </c>
      <c r="D976" s="1" t="str">
        <f t="shared" si="106"/>
        <v>قراردادي کارگري</v>
      </c>
      <c r="E976" s="1" t="str">
        <f t="shared" si="107"/>
        <v>پروژه تعميرات نيروگاه بوشهر</v>
      </c>
      <c r="F976" s="1">
        <v>4485998</v>
      </c>
      <c r="G976" s="1">
        <v>0</v>
      </c>
      <c r="H976" s="1">
        <v>0</v>
      </c>
      <c r="I976" s="1">
        <v>2691599</v>
      </c>
      <c r="J976" s="1">
        <v>0</v>
      </c>
      <c r="K976" s="1">
        <v>0</v>
      </c>
      <c r="L976" s="1">
        <v>3541712</v>
      </c>
      <c r="M976" s="1">
        <v>400000</v>
      </c>
      <c r="N976" s="1">
        <v>2392533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1456184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16068026</v>
      </c>
      <c r="AO976" s="1">
        <v>1472116</v>
      </c>
      <c r="AP976" s="1">
        <v>14595910</v>
      </c>
      <c r="AQ976" s="1">
        <v>3213605</v>
      </c>
      <c r="AR976" s="1">
        <v>482041</v>
      </c>
      <c r="AS976" s="1">
        <v>0</v>
      </c>
      <c r="AT976" s="1">
        <f t="shared" si="104"/>
        <v>19763672</v>
      </c>
    </row>
    <row r="977" spans="1:46" x14ac:dyDescent="0.2">
      <c r="A977" s="1" t="str">
        <f>"01247"</f>
        <v>01247</v>
      </c>
      <c r="B977" s="1" t="str">
        <f>"ميثم"</f>
        <v>ميثم</v>
      </c>
      <c r="C977" s="1" t="str">
        <f>"بلاغي"</f>
        <v>بلاغي</v>
      </c>
      <c r="D977" s="1" t="str">
        <f t="shared" si="106"/>
        <v>قراردادي کارگري</v>
      </c>
      <c r="E977" s="1" t="str">
        <f t="shared" si="107"/>
        <v>پروژه تعميرات نيروگاه بوشهر</v>
      </c>
      <c r="F977" s="1">
        <v>2270697</v>
      </c>
      <c r="G977" s="1">
        <v>2163782</v>
      </c>
      <c r="H977" s="1">
        <v>0</v>
      </c>
      <c r="I977" s="1">
        <v>1362418</v>
      </c>
      <c r="J977" s="1">
        <v>0</v>
      </c>
      <c r="K977" s="1">
        <v>0</v>
      </c>
      <c r="L977" s="1">
        <v>1831920</v>
      </c>
      <c r="M977" s="1">
        <v>206897</v>
      </c>
      <c r="N977" s="1">
        <v>1211039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742607</v>
      </c>
      <c r="W977" s="1">
        <v>568966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10358326</v>
      </c>
      <c r="AO977" s="1">
        <v>743083</v>
      </c>
      <c r="AP977" s="1">
        <v>9615243</v>
      </c>
      <c r="AQ977" s="1">
        <v>2071665</v>
      </c>
      <c r="AR977" s="1">
        <v>310750</v>
      </c>
      <c r="AS977" s="1">
        <v>0</v>
      </c>
      <c r="AT977" s="1">
        <f t="shared" si="104"/>
        <v>12740741</v>
      </c>
    </row>
    <row r="978" spans="1:46" x14ac:dyDescent="0.2">
      <c r="A978" s="1" t="str">
        <f>"01249"</f>
        <v>01249</v>
      </c>
      <c r="B978" s="1" t="str">
        <f>"محمدرضا"</f>
        <v>محمدرضا</v>
      </c>
      <c r="C978" s="1" t="str">
        <f>"پورجماد"</f>
        <v>پورجماد</v>
      </c>
      <c r="D978" s="1" t="str">
        <f t="shared" si="106"/>
        <v>قراردادي کارگري</v>
      </c>
      <c r="E978" s="1" t="str">
        <f t="shared" si="107"/>
        <v>پروژه تعميرات نيروگاه بوشهر</v>
      </c>
      <c r="F978" s="1">
        <v>5051800</v>
      </c>
      <c r="G978" s="1">
        <v>3597104</v>
      </c>
      <c r="H978" s="1">
        <v>0</v>
      </c>
      <c r="I978" s="1">
        <v>3031080</v>
      </c>
      <c r="J978" s="1">
        <v>0</v>
      </c>
      <c r="K978" s="1">
        <v>0</v>
      </c>
      <c r="L978" s="1">
        <v>3541712</v>
      </c>
      <c r="M978" s="1">
        <v>400000</v>
      </c>
      <c r="N978" s="1">
        <v>2694293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1576889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1333138</v>
      </c>
      <c r="AE978" s="1">
        <v>0</v>
      </c>
      <c r="AF978" s="1">
        <v>2222538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24548554</v>
      </c>
      <c r="AO978" s="1">
        <v>1602821</v>
      </c>
      <c r="AP978" s="1">
        <v>22945733</v>
      </c>
      <c r="AQ978" s="1">
        <v>4465203</v>
      </c>
      <c r="AR978" s="1">
        <v>669780</v>
      </c>
      <c r="AS978" s="1">
        <v>0</v>
      </c>
      <c r="AT978" s="1">
        <f t="shared" si="104"/>
        <v>29683537</v>
      </c>
    </row>
    <row r="979" spans="1:46" x14ac:dyDescent="0.2">
      <c r="A979" s="1" t="str">
        <f>"01250"</f>
        <v>01250</v>
      </c>
      <c r="B979" s="1" t="str">
        <f>"حيدر"</f>
        <v>حيدر</v>
      </c>
      <c r="C979" s="1" t="str">
        <f>"پورمحمد"</f>
        <v>پورمحمد</v>
      </c>
      <c r="D979" s="1" t="str">
        <f t="shared" si="106"/>
        <v>قراردادي کارگري</v>
      </c>
      <c r="E979" s="1" t="str">
        <f t="shared" si="107"/>
        <v>پروژه تعميرات نيروگاه بوشهر</v>
      </c>
      <c r="F979" s="1">
        <v>4450636</v>
      </c>
      <c r="G979" s="1">
        <v>327787</v>
      </c>
      <c r="H979" s="1">
        <v>0</v>
      </c>
      <c r="I979" s="1">
        <v>2670382</v>
      </c>
      <c r="J979" s="1">
        <v>0</v>
      </c>
      <c r="K979" s="1">
        <v>0</v>
      </c>
      <c r="L979" s="1">
        <v>3541712</v>
      </c>
      <c r="M979" s="1">
        <v>400000</v>
      </c>
      <c r="N979" s="1">
        <v>2373672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1448640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1111269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17424098</v>
      </c>
      <c r="AO979" s="1">
        <v>1181898</v>
      </c>
      <c r="AP979" s="1">
        <v>16242200</v>
      </c>
      <c r="AQ979" s="1">
        <v>3262566</v>
      </c>
      <c r="AR979" s="1">
        <v>489385</v>
      </c>
      <c r="AS979" s="1">
        <v>0</v>
      </c>
      <c r="AT979" s="1">
        <f t="shared" si="104"/>
        <v>21176049</v>
      </c>
    </row>
    <row r="980" spans="1:46" x14ac:dyDescent="0.2">
      <c r="A980" s="1" t="str">
        <f>"01252"</f>
        <v>01252</v>
      </c>
      <c r="B980" s="1" t="str">
        <f>"امراله"</f>
        <v>امراله</v>
      </c>
      <c r="C980" s="1" t="str">
        <f>"ثابت لقب"</f>
        <v>ثابت لقب</v>
      </c>
      <c r="D980" s="1" t="str">
        <f t="shared" si="106"/>
        <v>قراردادي کارگري</v>
      </c>
      <c r="E980" s="1" t="str">
        <f t="shared" si="107"/>
        <v>پروژه تعميرات نيروگاه بوشهر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f t="shared" si="104"/>
        <v>0</v>
      </c>
    </row>
    <row r="981" spans="1:46" x14ac:dyDescent="0.2">
      <c r="A981" s="1" t="str">
        <f>"01255"</f>
        <v>01255</v>
      </c>
      <c r="B981" s="1" t="str">
        <f>"سيد جعفر"</f>
        <v>سيد جعفر</v>
      </c>
      <c r="C981" s="1" t="str">
        <f>"حسيني"</f>
        <v>حسيني</v>
      </c>
      <c r="D981" s="1" t="str">
        <f t="shared" si="106"/>
        <v>قراردادي کارگري</v>
      </c>
      <c r="E981" s="1" t="str">
        <f t="shared" si="107"/>
        <v>پروژه تعميرات نيروگاه بوشهر</v>
      </c>
      <c r="F981" s="1">
        <v>4576931</v>
      </c>
      <c r="G981" s="1">
        <v>5797882</v>
      </c>
      <c r="H981" s="1">
        <v>0</v>
      </c>
      <c r="I981" s="1">
        <v>2746159</v>
      </c>
      <c r="J981" s="1">
        <v>0</v>
      </c>
      <c r="K981" s="1">
        <v>0</v>
      </c>
      <c r="L981" s="1">
        <v>3541712</v>
      </c>
      <c r="M981" s="1">
        <v>400000</v>
      </c>
      <c r="N981" s="1">
        <v>2441030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1475583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1238819</v>
      </c>
      <c r="AE981" s="1">
        <v>0</v>
      </c>
      <c r="AF981" s="1">
        <v>1111269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24429385</v>
      </c>
      <c r="AO981" s="1">
        <v>1672268</v>
      </c>
      <c r="AP981" s="1">
        <v>22757117</v>
      </c>
      <c r="AQ981" s="1">
        <v>4663623</v>
      </c>
      <c r="AR981" s="1">
        <v>699543</v>
      </c>
      <c r="AS981" s="1">
        <v>0</v>
      </c>
      <c r="AT981" s="1">
        <f t="shared" si="104"/>
        <v>29792551</v>
      </c>
    </row>
    <row r="982" spans="1:46" x14ac:dyDescent="0.2">
      <c r="A982" s="1" t="str">
        <f>"01256"</f>
        <v>01256</v>
      </c>
      <c r="B982" s="1" t="str">
        <f>"احمد"</f>
        <v>احمد</v>
      </c>
      <c r="C982" s="1" t="str">
        <f>"حسيني ملائي"</f>
        <v>حسيني ملائي</v>
      </c>
      <c r="D982" s="1" t="str">
        <f t="shared" si="106"/>
        <v>قراردادي کارگري</v>
      </c>
      <c r="E982" s="1" t="str">
        <f t="shared" si="107"/>
        <v>پروژه تعميرات نيروگاه بوشهر</v>
      </c>
      <c r="F982" s="1">
        <v>4677967</v>
      </c>
      <c r="G982" s="1">
        <v>566431</v>
      </c>
      <c r="H982" s="1">
        <v>0</v>
      </c>
      <c r="I982" s="1">
        <v>2806780</v>
      </c>
      <c r="J982" s="1">
        <v>0</v>
      </c>
      <c r="K982" s="1">
        <v>0</v>
      </c>
      <c r="L982" s="1">
        <v>3541712</v>
      </c>
      <c r="M982" s="1">
        <v>400000</v>
      </c>
      <c r="N982" s="1">
        <v>2494915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1497138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17084943</v>
      </c>
      <c r="AO982" s="1">
        <v>1235946</v>
      </c>
      <c r="AP982" s="1">
        <v>15848997</v>
      </c>
      <c r="AQ982" s="1">
        <v>3416989</v>
      </c>
      <c r="AR982" s="1">
        <v>512548</v>
      </c>
      <c r="AS982" s="1">
        <v>0</v>
      </c>
      <c r="AT982" s="1">
        <f t="shared" si="104"/>
        <v>21014480</v>
      </c>
    </row>
    <row r="983" spans="1:46" x14ac:dyDescent="0.2">
      <c r="A983" s="1" t="str">
        <f>"01259"</f>
        <v>01259</v>
      </c>
      <c r="B983" s="1" t="str">
        <f>"علي"</f>
        <v>علي</v>
      </c>
      <c r="C983" s="1" t="str">
        <f>"شمسائي"</f>
        <v>شمسائي</v>
      </c>
      <c r="D983" s="1" t="str">
        <f t="shared" si="106"/>
        <v>قراردادي کارگري</v>
      </c>
      <c r="E983" s="1" t="str">
        <f t="shared" si="107"/>
        <v>پروژه تعميرات نيروگاه بوشهر</v>
      </c>
      <c r="F983" s="1">
        <v>4576931</v>
      </c>
      <c r="G983" s="1">
        <v>0</v>
      </c>
      <c r="H983" s="1">
        <v>0</v>
      </c>
      <c r="I983" s="1">
        <v>2746159</v>
      </c>
      <c r="J983" s="1">
        <v>0</v>
      </c>
      <c r="K983" s="1">
        <v>0</v>
      </c>
      <c r="L983" s="1">
        <v>4852744</v>
      </c>
      <c r="M983" s="1">
        <v>400000</v>
      </c>
      <c r="N983" s="1">
        <v>2441030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1606686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1360880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19084430</v>
      </c>
      <c r="AO983" s="1">
        <v>1375910</v>
      </c>
      <c r="AP983" s="1">
        <v>17708520</v>
      </c>
      <c r="AQ983" s="1">
        <v>3816886</v>
      </c>
      <c r="AR983" s="1">
        <v>572533</v>
      </c>
      <c r="AS983" s="1">
        <v>0</v>
      </c>
      <c r="AT983" s="1">
        <f t="shared" si="104"/>
        <v>23473849</v>
      </c>
    </row>
    <row r="984" spans="1:46" x14ac:dyDescent="0.2">
      <c r="A984" s="1" t="str">
        <f>"01260"</f>
        <v>01260</v>
      </c>
      <c r="B984" s="1" t="str">
        <f>"سيد علي"</f>
        <v>سيد علي</v>
      </c>
      <c r="C984" s="1" t="str">
        <f>"عسکري"</f>
        <v>عسکري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4566827</v>
      </c>
      <c r="G984" s="1">
        <v>0</v>
      </c>
      <c r="H984" s="1">
        <v>0</v>
      </c>
      <c r="I984" s="1">
        <v>2740096</v>
      </c>
      <c r="J984" s="1">
        <v>0</v>
      </c>
      <c r="K984" s="1">
        <v>0</v>
      </c>
      <c r="L984" s="1">
        <v>3541712</v>
      </c>
      <c r="M984" s="1">
        <v>400000</v>
      </c>
      <c r="N984" s="1">
        <v>2435641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1473428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16257704</v>
      </c>
      <c r="AO984" s="1">
        <v>1178039</v>
      </c>
      <c r="AP984" s="1">
        <v>15079665</v>
      </c>
      <c r="AQ984" s="1">
        <v>3251541</v>
      </c>
      <c r="AR984" s="1">
        <v>487731</v>
      </c>
      <c r="AS984" s="1">
        <v>0</v>
      </c>
      <c r="AT984" s="1">
        <f t="shared" si="104"/>
        <v>19996976</v>
      </c>
    </row>
    <row r="985" spans="1:46" x14ac:dyDescent="0.2">
      <c r="A985" s="1" t="str">
        <f>"01262"</f>
        <v>01262</v>
      </c>
      <c r="B985" s="1" t="str">
        <f>"حميد"</f>
        <v>حميد</v>
      </c>
      <c r="C985" s="1" t="str">
        <f>"فرريزي"</f>
        <v>فرريزي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5354908</v>
      </c>
      <c r="G985" s="1">
        <v>2505377</v>
      </c>
      <c r="H985" s="1">
        <v>0</v>
      </c>
      <c r="I985" s="1">
        <v>3212945</v>
      </c>
      <c r="J985" s="1">
        <v>0</v>
      </c>
      <c r="K985" s="1">
        <v>0</v>
      </c>
      <c r="L985" s="1">
        <v>3541712</v>
      </c>
      <c r="M985" s="1">
        <v>400000</v>
      </c>
      <c r="N985" s="1">
        <v>2855951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1641552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2222538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22834983</v>
      </c>
      <c r="AO985" s="1">
        <v>1482871</v>
      </c>
      <c r="AP985" s="1">
        <v>21352112</v>
      </c>
      <c r="AQ985" s="1">
        <v>4122489</v>
      </c>
      <c r="AR985" s="1">
        <v>618373</v>
      </c>
      <c r="AS985" s="1">
        <v>0</v>
      </c>
      <c r="AT985" s="1">
        <f t="shared" si="104"/>
        <v>27575845</v>
      </c>
    </row>
    <row r="986" spans="1:46" x14ac:dyDescent="0.2">
      <c r="A986" s="1" t="str">
        <f>"01263"</f>
        <v>01263</v>
      </c>
      <c r="B986" s="1" t="str">
        <f>"حسين"</f>
        <v>حسين</v>
      </c>
      <c r="C986" s="1" t="str">
        <f>"فقيه"</f>
        <v>فقيه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4667863</v>
      </c>
      <c r="G986" s="1">
        <v>3732542</v>
      </c>
      <c r="H986" s="1">
        <v>0</v>
      </c>
      <c r="I986" s="1">
        <v>2800718</v>
      </c>
      <c r="J986" s="1">
        <v>0</v>
      </c>
      <c r="K986" s="1">
        <v>0</v>
      </c>
      <c r="L986" s="1">
        <v>3541712</v>
      </c>
      <c r="M986" s="1">
        <v>400000</v>
      </c>
      <c r="N986" s="1">
        <v>2489527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1494982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20227344</v>
      </c>
      <c r="AO986" s="1">
        <v>1455914</v>
      </c>
      <c r="AP986" s="1">
        <v>18771430</v>
      </c>
      <c r="AQ986" s="1">
        <v>4045469</v>
      </c>
      <c r="AR986" s="1">
        <v>606820</v>
      </c>
      <c r="AS986" s="1">
        <v>0</v>
      </c>
      <c r="AT986" s="1">
        <f t="shared" si="104"/>
        <v>24879633</v>
      </c>
    </row>
    <row r="987" spans="1:46" x14ac:dyDescent="0.2">
      <c r="A987" s="1" t="str">
        <f>"01264"</f>
        <v>01264</v>
      </c>
      <c r="B987" s="1" t="str">
        <f>"محمد علي"</f>
        <v>محمد علي</v>
      </c>
      <c r="C987" s="1" t="str">
        <f>"قناعت زاده"</f>
        <v>قناعت زاده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4859832</v>
      </c>
      <c r="G987" s="1">
        <v>0</v>
      </c>
      <c r="H987" s="1">
        <v>0</v>
      </c>
      <c r="I987" s="1">
        <v>2915899</v>
      </c>
      <c r="J987" s="1">
        <v>0</v>
      </c>
      <c r="K987" s="1">
        <v>0</v>
      </c>
      <c r="L987" s="1">
        <v>3541712</v>
      </c>
      <c r="M987" s="1">
        <v>400000</v>
      </c>
      <c r="N987" s="1">
        <v>2591910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1535936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1295009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18240298</v>
      </c>
      <c r="AO987" s="1">
        <v>1316821</v>
      </c>
      <c r="AP987" s="1">
        <v>16923477</v>
      </c>
      <c r="AQ987" s="1">
        <v>3648060</v>
      </c>
      <c r="AR987" s="1">
        <v>547209</v>
      </c>
      <c r="AS987" s="1">
        <v>0</v>
      </c>
      <c r="AT987" s="1">
        <f t="shared" si="104"/>
        <v>22435567</v>
      </c>
    </row>
    <row r="988" spans="1:46" x14ac:dyDescent="0.2">
      <c r="A988" s="1" t="str">
        <f>"01266"</f>
        <v>01266</v>
      </c>
      <c r="B988" s="1" t="str">
        <f>"مجيد"</f>
        <v>مجيد</v>
      </c>
      <c r="C988" s="1" t="str">
        <f>"ماندني زاده"</f>
        <v>ماندني زاده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4566827</v>
      </c>
      <c r="G988" s="1">
        <v>0</v>
      </c>
      <c r="H988" s="1">
        <v>0</v>
      </c>
      <c r="I988" s="1">
        <v>2740096</v>
      </c>
      <c r="J988" s="1">
        <v>0</v>
      </c>
      <c r="K988" s="1">
        <v>0</v>
      </c>
      <c r="L988" s="1">
        <v>3541712</v>
      </c>
      <c r="M988" s="1">
        <v>400000</v>
      </c>
      <c r="N988" s="1">
        <v>2435641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1473428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16257704</v>
      </c>
      <c r="AO988" s="1">
        <v>1178039</v>
      </c>
      <c r="AP988" s="1">
        <v>15079665</v>
      </c>
      <c r="AQ988" s="1">
        <v>3251541</v>
      </c>
      <c r="AR988" s="1">
        <v>487731</v>
      </c>
      <c r="AS988" s="1">
        <v>0</v>
      </c>
      <c r="AT988" s="1">
        <f t="shared" si="104"/>
        <v>19996976</v>
      </c>
    </row>
    <row r="989" spans="1:46" x14ac:dyDescent="0.2">
      <c r="A989" s="1" t="str">
        <f>"01267"</f>
        <v>01267</v>
      </c>
      <c r="B989" s="1" t="str">
        <f>"کريم"</f>
        <v>کريم</v>
      </c>
      <c r="C989" s="1" t="str">
        <f>"محمدي"</f>
        <v>محمدي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4445584</v>
      </c>
      <c r="G989" s="1">
        <v>764209</v>
      </c>
      <c r="H989" s="1">
        <v>0</v>
      </c>
      <c r="I989" s="1">
        <v>2667350</v>
      </c>
      <c r="J989" s="1">
        <v>0</v>
      </c>
      <c r="K989" s="1">
        <v>0</v>
      </c>
      <c r="L989" s="1">
        <v>3541712</v>
      </c>
      <c r="M989" s="1">
        <v>400000</v>
      </c>
      <c r="N989" s="1">
        <v>2370978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1447562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1212731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17950126</v>
      </c>
      <c r="AO989" s="1">
        <v>1296509</v>
      </c>
      <c r="AP989" s="1">
        <v>16653617</v>
      </c>
      <c r="AQ989" s="1">
        <v>3590025</v>
      </c>
      <c r="AR989" s="1">
        <v>538504</v>
      </c>
      <c r="AS989" s="1">
        <v>0</v>
      </c>
      <c r="AT989" s="1">
        <f t="shared" si="104"/>
        <v>22078655</v>
      </c>
    </row>
    <row r="990" spans="1:46" x14ac:dyDescent="0.2">
      <c r="A990" s="1" t="str">
        <f>"01268"</f>
        <v>01268</v>
      </c>
      <c r="B990" s="1" t="str">
        <f>"رضا"</f>
        <v>رضا</v>
      </c>
      <c r="C990" s="1" t="str">
        <f>"سهيلي راد"</f>
        <v>سهيلي راد</v>
      </c>
      <c r="D990" s="1" t="str">
        <f>"قراردادي بهره بردار"</f>
        <v>قراردادي بهره بردار</v>
      </c>
      <c r="E990" s="1" t="str">
        <f>"پروژه بهره برداري نيروگاه بوشهر"</f>
        <v>پروژه بهره برداري نيروگاه بوشهر</v>
      </c>
      <c r="F990" s="1">
        <v>10576852</v>
      </c>
      <c r="G990" s="1">
        <v>3047494</v>
      </c>
      <c r="H990" s="1">
        <v>0</v>
      </c>
      <c r="I990" s="1">
        <v>4798249</v>
      </c>
      <c r="J990" s="1">
        <v>0</v>
      </c>
      <c r="K990" s="1">
        <v>5500000</v>
      </c>
      <c r="L990" s="1">
        <v>0</v>
      </c>
      <c r="M990" s="1">
        <v>400000</v>
      </c>
      <c r="N990" s="1">
        <v>1162397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1836412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830284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996340</v>
      </c>
      <c r="AM990" s="1">
        <v>0</v>
      </c>
      <c r="AN990" s="1">
        <v>30248028</v>
      </c>
      <c r="AO990" s="1">
        <v>7885775</v>
      </c>
      <c r="AP990" s="1">
        <v>22362253</v>
      </c>
      <c r="AQ990" s="1">
        <v>6049606</v>
      </c>
      <c r="AR990" s="1">
        <v>907441</v>
      </c>
      <c r="AS990" s="1">
        <v>0</v>
      </c>
      <c r="AT990" s="1">
        <f t="shared" si="104"/>
        <v>37205075</v>
      </c>
    </row>
    <row r="991" spans="1:46" x14ac:dyDescent="0.2">
      <c r="A991" s="1" t="str">
        <f>"01269"</f>
        <v>01269</v>
      </c>
      <c r="B991" s="1" t="str">
        <f>"حسن"</f>
        <v>حسن</v>
      </c>
      <c r="C991" s="1" t="str">
        <f>"انصاري"</f>
        <v>انصاري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4940660</v>
      </c>
      <c r="G991" s="1">
        <v>3420149</v>
      </c>
      <c r="H991" s="1">
        <v>0</v>
      </c>
      <c r="I991" s="1">
        <v>2964396</v>
      </c>
      <c r="J991" s="1">
        <v>0</v>
      </c>
      <c r="K991" s="1">
        <v>0</v>
      </c>
      <c r="L991" s="1">
        <v>3541712</v>
      </c>
      <c r="M991" s="1">
        <v>400000</v>
      </c>
      <c r="N991" s="1">
        <v>2635019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1553179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20555115</v>
      </c>
      <c r="AO991" s="1">
        <v>1478858</v>
      </c>
      <c r="AP991" s="1">
        <v>19076257</v>
      </c>
      <c r="AQ991" s="1">
        <v>4111023</v>
      </c>
      <c r="AR991" s="1">
        <v>616653</v>
      </c>
      <c r="AS991" s="1">
        <v>0</v>
      </c>
      <c r="AT991" s="1">
        <f t="shared" si="104"/>
        <v>25282791</v>
      </c>
    </row>
    <row r="992" spans="1:46" x14ac:dyDescent="0.2">
      <c r="A992" s="1" t="str">
        <f>"01270"</f>
        <v>01270</v>
      </c>
      <c r="B992" s="1" t="str">
        <f>"عليرضا"</f>
        <v>عليرضا</v>
      </c>
      <c r="C992" s="1" t="str">
        <f>"رجب زاده"</f>
        <v>رجب زاده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4435480</v>
      </c>
      <c r="G992" s="1">
        <v>435976</v>
      </c>
      <c r="H992" s="1">
        <v>0</v>
      </c>
      <c r="I992" s="1">
        <v>2661288</v>
      </c>
      <c r="J992" s="1">
        <v>0</v>
      </c>
      <c r="K992" s="1">
        <v>0</v>
      </c>
      <c r="L992" s="1">
        <v>3541712</v>
      </c>
      <c r="M992" s="1">
        <v>400000</v>
      </c>
      <c r="N992" s="1">
        <v>2365590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1445407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1111269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17496722</v>
      </c>
      <c r="AO992" s="1">
        <v>1186982</v>
      </c>
      <c r="AP992" s="1">
        <v>16309740</v>
      </c>
      <c r="AQ992" s="1">
        <v>3277091</v>
      </c>
      <c r="AR992" s="1">
        <v>491564</v>
      </c>
      <c r="AS992" s="1">
        <v>0</v>
      </c>
      <c r="AT992" s="1">
        <f t="shared" si="104"/>
        <v>21265377</v>
      </c>
    </row>
    <row r="993" spans="1:46" x14ac:dyDescent="0.2">
      <c r="A993" s="1" t="str">
        <f>"01272"</f>
        <v>01272</v>
      </c>
      <c r="B993" s="1" t="str">
        <f>"عبداله"</f>
        <v>عبداله</v>
      </c>
      <c r="C993" s="1" t="str">
        <f>"هنرمند"</f>
        <v>هنرمند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5132629</v>
      </c>
      <c r="G993" s="1">
        <v>1213342</v>
      </c>
      <c r="H993" s="1">
        <v>0</v>
      </c>
      <c r="I993" s="1">
        <v>3079578</v>
      </c>
      <c r="J993" s="1">
        <v>0</v>
      </c>
      <c r="K993" s="1">
        <v>0</v>
      </c>
      <c r="L993" s="1">
        <v>3541712</v>
      </c>
      <c r="M993" s="1">
        <v>400000</v>
      </c>
      <c r="N993" s="1">
        <v>2737402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1594132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18798795</v>
      </c>
      <c r="AO993" s="1">
        <v>1355916</v>
      </c>
      <c r="AP993" s="1">
        <v>17442879</v>
      </c>
      <c r="AQ993" s="1">
        <v>3759759</v>
      </c>
      <c r="AR993" s="1">
        <v>563964</v>
      </c>
      <c r="AS993" s="1">
        <v>0</v>
      </c>
      <c r="AT993" s="1">
        <f t="shared" si="104"/>
        <v>23122518</v>
      </c>
    </row>
    <row r="994" spans="1:46" x14ac:dyDescent="0.2">
      <c r="A994" s="1" t="str">
        <f>"01273"</f>
        <v>01273</v>
      </c>
      <c r="B994" s="1" t="str">
        <f>"ايمان"</f>
        <v>ايمان</v>
      </c>
      <c r="C994" s="1" t="str">
        <f>"آشوري"</f>
        <v>آشوري</v>
      </c>
      <c r="D994" s="1" t="str">
        <f>"قراردادي کارگري"</f>
        <v>قراردادي کارگري</v>
      </c>
      <c r="E994" s="1" t="str">
        <f>"پروژه تعميرات نيروگاه بوشهر"</f>
        <v>پروژه تعميرات نيروگاه بوشهر</v>
      </c>
      <c r="F994" s="1">
        <v>5147784</v>
      </c>
      <c r="G994" s="1">
        <v>0</v>
      </c>
      <c r="H994" s="1">
        <v>0</v>
      </c>
      <c r="I994" s="1">
        <v>3088670</v>
      </c>
      <c r="J994" s="1">
        <v>0</v>
      </c>
      <c r="K994" s="1">
        <v>0</v>
      </c>
      <c r="L994" s="1">
        <v>3541712</v>
      </c>
      <c r="M994" s="1">
        <v>400000</v>
      </c>
      <c r="N994" s="1">
        <v>2745485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1597365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2222538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19843554</v>
      </c>
      <c r="AO994" s="1">
        <v>1273471</v>
      </c>
      <c r="AP994" s="1">
        <v>18570083</v>
      </c>
      <c r="AQ994" s="1">
        <v>3524203</v>
      </c>
      <c r="AR994" s="1">
        <v>528630</v>
      </c>
      <c r="AS994" s="1">
        <v>0</v>
      </c>
      <c r="AT994" s="1">
        <f t="shared" si="104"/>
        <v>23896387</v>
      </c>
    </row>
    <row r="995" spans="1:46" x14ac:dyDescent="0.2">
      <c r="A995" s="1" t="str">
        <f>"01274"</f>
        <v>01274</v>
      </c>
      <c r="B995" s="1" t="str">
        <f>"حيدر"</f>
        <v>حيدر</v>
      </c>
      <c r="C995" s="1" t="str">
        <f>"قاسمي قلعه سيدي"</f>
        <v>قاسمي قلعه سيدي</v>
      </c>
      <c r="D995" s="1" t="str">
        <f>"قراردادي بهره بردار"</f>
        <v>قراردادي بهره بردار</v>
      </c>
      <c r="E995" s="1" t="str">
        <f>"پروژه بهره برداري نيروگاه بوشهر"</f>
        <v>پروژه بهره برداري نيروگاه بوشهر</v>
      </c>
      <c r="F995" s="1">
        <v>11915256</v>
      </c>
      <c r="G995" s="1">
        <v>2909370</v>
      </c>
      <c r="H995" s="1">
        <v>0</v>
      </c>
      <c r="I995" s="1">
        <v>10352437</v>
      </c>
      <c r="J995" s="1">
        <v>0</v>
      </c>
      <c r="K995" s="1">
        <v>4620000</v>
      </c>
      <c r="L995" s="1">
        <v>0</v>
      </c>
      <c r="M995" s="1">
        <v>400000</v>
      </c>
      <c r="N995" s="1">
        <v>2027653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1342000</v>
      </c>
      <c r="U995" s="1">
        <v>0</v>
      </c>
      <c r="V995" s="1">
        <v>2921965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1448323</v>
      </c>
      <c r="AF995" s="1">
        <v>2222538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3475976</v>
      </c>
      <c r="AM995" s="1">
        <v>0</v>
      </c>
      <c r="AN995" s="1">
        <v>44735518</v>
      </c>
      <c r="AO995" s="1">
        <v>5496420</v>
      </c>
      <c r="AP995" s="1">
        <v>39239098</v>
      </c>
      <c r="AQ995" s="1">
        <v>8234196</v>
      </c>
      <c r="AR995" s="1">
        <v>1235129</v>
      </c>
      <c r="AS995" s="1">
        <v>0</v>
      </c>
      <c r="AT995" s="1">
        <f t="shared" si="104"/>
        <v>54204843</v>
      </c>
    </row>
    <row r="996" spans="1:46" x14ac:dyDescent="0.2">
      <c r="A996" s="1" t="str">
        <f>"01275"</f>
        <v>01275</v>
      </c>
      <c r="B996" s="1" t="str">
        <f>"ماجد"</f>
        <v>ماجد</v>
      </c>
      <c r="C996" s="1" t="str">
        <f>"مجدميان سعدوني"</f>
        <v>مجدميان سعدوني</v>
      </c>
      <c r="D996" s="1" t="str">
        <f t="shared" ref="D996:D1002" si="108">"قراردادي کارگري"</f>
        <v>قراردادي کارگري</v>
      </c>
      <c r="E996" s="1" t="str">
        <f t="shared" ref="E996:E1027" si="109">"پروژه تعميرات نيروگاه بوشهر"</f>
        <v>پروژه تعميرات نيروگاه بوشهر</v>
      </c>
      <c r="F996" s="1">
        <v>4657760</v>
      </c>
      <c r="G996" s="1">
        <v>2484427</v>
      </c>
      <c r="H996" s="1">
        <v>0</v>
      </c>
      <c r="I996" s="1">
        <v>2794656</v>
      </c>
      <c r="J996" s="1">
        <v>0</v>
      </c>
      <c r="K996" s="1">
        <v>0</v>
      </c>
      <c r="L996" s="1">
        <v>3541712</v>
      </c>
      <c r="M996" s="1">
        <v>400000</v>
      </c>
      <c r="N996" s="1">
        <v>2484138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1492826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18955519</v>
      </c>
      <c r="AO996" s="1">
        <v>1366886</v>
      </c>
      <c r="AP996" s="1">
        <v>17588633</v>
      </c>
      <c r="AQ996" s="1">
        <v>3791104</v>
      </c>
      <c r="AR996" s="1">
        <v>568666</v>
      </c>
      <c r="AS996" s="1">
        <v>0</v>
      </c>
      <c r="AT996" s="1">
        <f t="shared" si="104"/>
        <v>23315289</v>
      </c>
    </row>
    <row r="997" spans="1:46" x14ac:dyDescent="0.2">
      <c r="A997" s="1" t="str">
        <f>"01276"</f>
        <v>01276</v>
      </c>
      <c r="B997" s="1" t="str">
        <f>"کاظم"</f>
        <v>کاظم</v>
      </c>
      <c r="C997" s="1" t="str">
        <f>"زارعي نيا"</f>
        <v>زارعي نيا</v>
      </c>
      <c r="D997" s="1" t="str">
        <f t="shared" si="108"/>
        <v>قراردادي کارگري</v>
      </c>
      <c r="E997" s="1" t="str">
        <f t="shared" si="109"/>
        <v>پروژه تعميرات نيروگاه بوشهر</v>
      </c>
      <c r="F997" s="1">
        <v>4485998</v>
      </c>
      <c r="G997" s="1">
        <v>0</v>
      </c>
      <c r="H997" s="1">
        <v>0</v>
      </c>
      <c r="I997" s="1">
        <v>2691599</v>
      </c>
      <c r="J997" s="1">
        <v>0</v>
      </c>
      <c r="K997" s="1">
        <v>0</v>
      </c>
      <c r="L997" s="1">
        <v>3541712</v>
      </c>
      <c r="M997" s="1">
        <v>400000</v>
      </c>
      <c r="N997" s="1">
        <v>2392533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1456184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16068026</v>
      </c>
      <c r="AO997" s="1">
        <v>1164762</v>
      </c>
      <c r="AP997" s="1">
        <v>14903264</v>
      </c>
      <c r="AQ997" s="1">
        <v>3213605</v>
      </c>
      <c r="AR997" s="1">
        <v>482041</v>
      </c>
      <c r="AS997" s="1">
        <v>0</v>
      </c>
      <c r="AT997" s="1">
        <f t="shared" si="104"/>
        <v>19763672</v>
      </c>
    </row>
    <row r="998" spans="1:46" x14ac:dyDescent="0.2">
      <c r="A998" s="1" t="str">
        <f>"01277"</f>
        <v>01277</v>
      </c>
      <c r="B998" s="1" t="str">
        <f>"عبدالمجيد"</f>
        <v>عبدالمجيد</v>
      </c>
      <c r="C998" s="1" t="str">
        <f>"صادقي پور"</f>
        <v>صادقي پور</v>
      </c>
      <c r="D998" s="1" t="str">
        <f t="shared" si="108"/>
        <v>قراردادي کارگري</v>
      </c>
      <c r="E998" s="1" t="str">
        <f t="shared" si="109"/>
        <v>پروژه تعميرات نيروگاه بوشهر</v>
      </c>
      <c r="F998" s="1">
        <v>6420838</v>
      </c>
      <c r="G998" s="1">
        <v>720685</v>
      </c>
      <c r="H998" s="1">
        <v>0</v>
      </c>
      <c r="I998" s="1">
        <v>3852503</v>
      </c>
      <c r="J998" s="1">
        <v>0</v>
      </c>
      <c r="K998" s="1">
        <v>0</v>
      </c>
      <c r="L998" s="1">
        <v>3541712</v>
      </c>
      <c r="M998" s="1">
        <v>400000</v>
      </c>
      <c r="N998" s="1">
        <v>3424447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1868949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1111269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22440403</v>
      </c>
      <c r="AO998" s="1">
        <v>1533039</v>
      </c>
      <c r="AP998" s="1">
        <v>20907364</v>
      </c>
      <c r="AQ998" s="1">
        <v>4265827</v>
      </c>
      <c r="AR998" s="1">
        <v>639874</v>
      </c>
      <c r="AS998" s="1">
        <v>0</v>
      </c>
      <c r="AT998" s="1">
        <f t="shared" si="104"/>
        <v>27346104</v>
      </c>
    </row>
    <row r="999" spans="1:46" x14ac:dyDescent="0.2">
      <c r="A999" s="1" t="str">
        <f>"01278"</f>
        <v>01278</v>
      </c>
      <c r="B999" s="1" t="str">
        <f>"روح الله"</f>
        <v>روح الله</v>
      </c>
      <c r="C999" s="1" t="str">
        <f>"ونکي"</f>
        <v>ونکي</v>
      </c>
      <c r="D999" s="1" t="str">
        <f t="shared" si="108"/>
        <v>قراردادي کارگري</v>
      </c>
      <c r="E999" s="1" t="str">
        <f t="shared" si="109"/>
        <v>پروژه تعميرات نيروگاه بوشهر</v>
      </c>
      <c r="F999" s="1">
        <v>6319802</v>
      </c>
      <c r="G999" s="1">
        <v>1281137</v>
      </c>
      <c r="H999" s="1">
        <v>0</v>
      </c>
      <c r="I999" s="1">
        <v>3791881</v>
      </c>
      <c r="J999" s="1">
        <v>0</v>
      </c>
      <c r="K999" s="1">
        <v>0</v>
      </c>
      <c r="L999" s="1">
        <v>3541712</v>
      </c>
      <c r="M999" s="1">
        <v>400000</v>
      </c>
      <c r="N999" s="1">
        <v>3370561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1847396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1111269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22763758</v>
      </c>
      <c r="AO999" s="1">
        <v>3475674</v>
      </c>
      <c r="AP999" s="1">
        <v>19288084</v>
      </c>
      <c r="AQ999" s="1">
        <v>4330498</v>
      </c>
      <c r="AR999" s="1">
        <v>649575</v>
      </c>
      <c r="AS999" s="1">
        <v>0</v>
      </c>
      <c r="AT999" s="1">
        <f t="shared" si="104"/>
        <v>27743831</v>
      </c>
    </row>
    <row r="1000" spans="1:46" x14ac:dyDescent="0.2">
      <c r="A1000" s="1" t="str">
        <f>"01279"</f>
        <v>01279</v>
      </c>
      <c r="B1000" s="1" t="str">
        <f>"بهرام"</f>
        <v>بهرام</v>
      </c>
      <c r="C1000" s="1" t="str">
        <f>"قائدي"</f>
        <v>قائدي</v>
      </c>
      <c r="D1000" s="1" t="str">
        <f t="shared" si="108"/>
        <v>قراردادي کارگري</v>
      </c>
      <c r="E1000" s="1" t="str">
        <f t="shared" si="109"/>
        <v>پروژه تعميرات نيروگاه بوشهر</v>
      </c>
      <c r="F1000" s="1">
        <v>5460996</v>
      </c>
      <c r="G1000" s="1">
        <v>7988443</v>
      </c>
      <c r="H1000" s="1">
        <v>0</v>
      </c>
      <c r="I1000" s="1">
        <v>3276598</v>
      </c>
      <c r="J1000" s="1">
        <v>0</v>
      </c>
      <c r="K1000" s="1">
        <v>0</v>
      </c>
      <c r="L1000" s="1">
        <v>3500010</v>
      </c>
      <c r="M1000" s="1">
        <v>400000</v>
      </c>
      <c r="N1000" s="1">
        <v>2912531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1660013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26298591</v>
      </c>
      <c r="AO1000" s="1">
        <v>2416491</v>
      </c>
      <c r="AP1000" s="1">
        <v>23882100</v>
      </c>
      <c r="AQ1000" s="1">
        <v>5259718</v>
      </c>
      <c r="AR1000" s="1">
        <v>788958</v>
      </c>
      <c r="AS1000" s="1">
        <v>0</v>
      </c>
      <c r="AT1000" s="1">
        <f t="shared" si="104"/>
        <v>32347267</v>
      </c>
    </row>
    <row r="1001" spans="1:46" x14ac:dyDescent="0.2">
      <c r="A1001" s="1" t="str">
        <f>"01280"</f>
        <v>01280</v>
      </c>
      <c r="B1001" s="1" t="str">
        <f>"روح اله"</f>
        <v>روح اله</v>
      </c>
      <c r="C1001" s="1" t="str">
        <f>"حقيقي"</f>
        <v>حقيقي</v>
      </c>
      <c r="D1001" s="1" t="str">
        <f t="shared" si="108"/>
        <v>قراردادي کارگري</v>
      </c>
      <c r="E1001" s="1" t="str">
        <f t="shared" si="109"/>
        <v>پروژه تعميرات نيروگاه بوشهر</v>
      </c>
      <c r="F1001" s="1">
        <v>4425377</v>
      </c>
      <c r="G1001" s="1">
        <v>11714656</v>
      </c>
      <c r="H1001" s="1">
        <v>0</v>
      </c>
      <c r="I1001" s="1">
        <v>2655226</v>
      </c>
      <c r="J1001" s="1">
        <v>0</v>
      </c>
      <c r="K1001" s="1">
        <v>0</v>
      </c>
      <c r="L1001" s="1">
        <v>3500010</v>
      </c>
      <c r="M1001" s="1">
        <v>400000</v>
      </c>
      <c r="N1001" s="1">
        <v>2360201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1439082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27594552</v>
      </c>
      <c r="AO1001" s="1">
        <v>1971619</v>
      </c>
      <c r="AP1001" s="1">
        <v>25622933</v>
      </c>
      <c r="AQ1001" s="1">
        <v>5518910</v>
      </c>
      <c r="AR1001" s="1">
        <v>827837</v>
      </c>
      <c r="AS1001" s="1">
        <v>0</v>
      </c>
      <c r="AT1001" s="1">
        <f t="shared" si="104"/>
        <v>33941299</v>
      </c>
    </row>
    <row r="1002" spans="1:46" x14ac:dyDescent="0.2">
      <c r="A1002" s="1" t="str">
        <f>"01281"</f>
        <v>01281</v>
      </c>
      <c r="B1002" s="1" t="str">
        <f>"فرشيد"</f>
        <v>فرشيد</v>
      </c>
      <c r="C1002" s="1" t="str">
        <f>"نگين تاجي"</f>
        <v>نگين تاجي</v>
      </c>
      <c r="D1002" s="1" t="str">
        <f t="shared" si="108"/>
        <v>قراردادي کارگري</v>
      </c>
      <c r="E1002" s="1" t="str">
        <f t="shared" si="109"/>
        <v>پروژه تعميرات نيروگاه بوشهر</v>
      </c>
      <c r="F1002" s="1">
        <v>4359703</v>
      </c>
      <c r="G1002" s="1">
        <v>1716905</v>
      </c>
      <c r="H1002" s="1">
        <v>0</v>
      </c>
      <c r="I1002" s="1">
        <v>2615822</v>
      </c>
      <c r="J1002" s="1">
        <v>0</v>
      </c>
      <c r="K1002" s="1">
        <v>0</v>
      </c>
      <c r="L1002" s="1">
        <v>3500010</v>
      </c>
      <c r="M1002" s="1">
        <v>400000</v>
      </c>
      <c r="N1002" s="1">
        <v>2325176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1425071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1986317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1373524</v>
      </c>
      <c r="AK1002" s="1">
        <v>0</v>
      </c>
      <c r="AL1002" s="1">
        <v>0</v>
      </c>
      <c r="AM1002" s="1">
        <v>0</v>
      </c>
      <c r="AN1002" s="1">
        <v>20802528</v>
      </c>
      <c r="AO1002" s="1">
        <v>1496177</v>
      </c>
      <c r="AP1002" s="1">
        <v>19306351</v>
      </c>
      <c r="AQ1002" s="1">
        <v>4160506</v>
      </c>
      <c r="AR1002" s="1">
        <v>624076</v>
      </c>
      <c r="AS1002" s="1">
        <v>0</v>
      </c>
      <c r="AT1002" s="1">
        <f t="shared" si="104"/>
        <v>25587110</v>
      </c>
    </row>
    <row r="1003" spans="1:46" x14ac:dyDescent="0.2">
      <c r="A1003" s="1" t="str">
        <f>"01282"</f>
        <v>01282</v>
      </c>
      <c r="B1003" s="1" t="str">
        <f>"محمدرضا"</f>
        <v>محمدرضا</v>
      </c>
      <c r="C1003" s="1" t="str">
        <f>"ارجمند"</f>
        <v>ارجمند</v>
      </c>
      <c r="D1003" s="1" t="str">
        <f t="shared" ref="D1003:D1034" si="110">"قراردادي بهره بردار"</f>
        <v>قراردادي بهره بردار</v>
      </c>
      <c r="E1003" s="1" t="str">
        <f t="shared" si="109"/>
        <v>پروژه تعميرات نيروگاه بوشهر</v>
      </c>
      <c r="F1003" s="1">
        <v>7176624</v>
      </c>
      <c r="G1003" s="1">
        <v>2141504</v>
      </c>
      <c r="H1003" s="1">
        <v>0</v>
      </c>
      <c r="I1003" s="1">
        <v>3348482</v>
      </c>
      <c r="J1003" s="1">
        <v>0</v>
      </c>
      <c r="K1003" s="1">
        <v>3465000</v>
      </c>
      <c r="L1003" s="1">
        <v>0</v>
      </c>
      <c r="M1003" s="1">
        <v>400000</v>
      </c>
      <c r="N1003" s="1">
        <v>876674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1290465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626196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876674</v>
      </c>
      <c r="AM1003" s="1">
        <v>0</v>
      </c>
      <c r="AN1003" s="1">
        <v>21301619</v>
      </c>
      <c r="AO1003" s="1">
        <v>2051113</v>
      </c>
      <c r="AP1003" s="1">
        <v>19250506</v>
      </c>
      <c r="AQ1003" s="1">
        <v>4260324</v>
      </c>
      <c r="AR1003" s="1">
        <v>639049</v>
      </c>
      <c r="AS1003" s="1">
        <v>0</v>
      </c>
      <c r="AT1003" s="1">
        <f t="shared" si="104"/>
        <v>26200992</v>
      </c>
    </row>
    <row r="1004" spans="1:46" x14ac:dyDescent="0.2">
      <c r="A1004" s="1" t="str">
        <f>"01283"</f>
        <v>01283</v>
      </c>
      <c r="B1004" s="1" t="str">
        <f>"داوود"</f>
        <v>داوود</v>
      </c>
      <c r="C1004" s="1" t="str">
        <f>"اسدي زاده قره جلو"</f>
        <v>اسدي زاده قره جلو</v>
      </c>
      <c r="D1004" s="1" t="str">
        <f t="shared" si="110"/>
        <v>قراردادي بهره بردار</v>
      </c>
      <c r="E1004" s="1" t="str">
        <f t="shared" si="109"/>
        <v>پروژه تعميرات نيروگاه بوشهر</v>
      </c>
      <c r="F1004" s="1">
        <v>6853444</v>
      </c>
      <c r="G1004" s="1">
        <v>1998436</v>
      </c>
      <c r="H1004" s="1">
        <v>0</v>
      </c>
      <c r="I1004" s="1">
        <v>3124779</v>
      </c>
      <c r="J1004" s="1">
        <v>0</v>
      </c>
      <c r="K1004" s="1">
        <v>4620000</v>
      </c>
      <c r="L1004" s="1">
        <v>0</v>
      </c>
      <c r="M1004" s="1">
        <v>400000</v>
      </c>
      <c r="N1004" s="1">
        <v>760533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1204252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543238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760533</v>
      </c>
      <c r="AM1004" s="1">
        <v>0</v>
      </c>
      <c r="AN1004" s="1">
        <v>21365215</v>
      </c>
      <c r="AO1004" s="1">
        <v>1535565</v>
      </c>
      <c r="AP1004" s="1">
        <v>19829650</v>
      </c>
      <c r="AQ1004" s="1">
        <v>4273043</v>
      </c>
      <c r="AR1004" s="1">
        <v>640956</v>
      </c>
      <c r="AS1004" s="1">
        <v>0</v>
      </c>
      <c r="AT1004" s="1">
        <f t="shared" si="104"/>
        <v>26279214</v>
      </c>
    </row>
    <row r="1005" spans="1:46" x14ac:dyDescent="0.2">
      <c r="A1005" s="1" t="str">
        <f>"01284"</f>
        <v>01284</v>
      </c>
      <c r="B1005" s="1" t="str">
        <f>"جاسم"</f>
        <v>جاسم</v>
      </c>
      <c r="C1005" s="1" t="str">
        <f>"اسکندري"</f>
        <v>اسکندري</v>
      </c>
      <c r="D1005" s="1" t="str">
        <f t="shared" si="110"/>
        <v>قراردادي بهره بردار</v>
      </c>
      <c r="E1005" s="1" t="str">
        <f t="shared" si="109"/>
        <v>پروژه تعميرات نيروگاه بوشهر</v>
      </c>
      <c r="F1005" s="1">
        <v>10070443</v>
      </c>
      <c r="G1005" s="1">
        <v>2819919</v>
      </c>
      <c r="H1005" s="1">
        <v>0</v>
      </c>
      <c r="I1005" s="1">
        <v>4409259</v>
      </c>
      <c r="J1005" s="1">
        <v>0</v>
      </c>
      <c r="K1005" s="1">
        <v>4125000</v>
      </c>
      <c r="L1005" s="1">
        <v>0</v>
      </c>
      <c r="M1005" s="1">
        <v>400000</v>
      </c>
      <c r="N1005" s="1">
        <v>977300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1699276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698072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837685</v>
      </c>
      <c r="AM1005" s="1">
        <v>0</v>
      </c>
      <c r="AN1005" s="1">
        <v>27136954</v>
      </c>
      <c r="AO1005" s="1">
        <v>2189008</v>
      </c>
      <c r="AP1005" s="1">
        <v>24947946</v>
      </c>
      <c r="AQ1005" s="1">
        <v>5427391</v>
      </c>
      <c r="AR1005" s="1">
        <v>814109</v>
      </c>
      <c r="AS1005" s="1">
        <v>0</v>
      </c>
      <c r="AT1005" s="1">
        <f t="shared" si="104"/>
        <v>33378454</v>
      </c>
    </row>
    <row r="1006" spans="1:46" x14ac:dyDescent="0.2">
      <c r="A1006" s="1" t="str">
        <f>"01285"</f>
        <v>01285</v>
      </c>
      <c r="B1006" s="1" t="str">
        <f>"مجتبي"</f>
        <v>مجتبي</v>
      </c>
      <c r="C1006" s="1" t="str">
        <f>"اعتمادي"</f>
        <v>اعتمادي</v>
      </c>
      <c r="D1006" s="1" t="str">
        <f t="shared" si="110"/>
        <v>قراردادي بهره بردار</v>
      </c>
      <c r="E1006" s="1" t="str">
        <f t="shared" si="109"/>
        <v>پروژه تعميرات نيروگاه بوشهر</v>
      </c>
      <c r="F1006" s="1">
        <v>7773966</v>
      </c>
      <c r="G1006" s="1">
        <v>2406213</v>
      </c>
      <c r="H1006" s="1">
        <v>0</v>
      </c>
      <c r="I1006" s="1">
        <v>3763178</v>
      </c>
      <c r="J1006" s="1">
        <v>0</v>
      </c>
      <c r="K1006" s="1">
        <v>4620000</v>
      </c>
      <c r="L1006" s="1">
        <v>0</v>
      </c>
      <c r="M1006" s="1">
        <v>400000</v>
      </c>
      <c r="N1006" s="1">
        <v>1091496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1449978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779640</v>
      </c>
      <c r="AF1006" s="1">
        <v>2222538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1091496</v>
      </c>
      <c r="AM1006" s="1">
        <v>0</v>
      </c>
      <c r="AN1006" s="1">
        <v>26698505</v>
      </c>
      <c r="AO1006" s="1">
        <v>1753318</v>
      </c>
      <c r="AP1006" s="1">
        <v>24945187</v>
      </c>
      <c r="AQ1006" s="1">
        <v>4895193</v>
      </c>
      <c r="AR1006" s="1">
        <v>734279</v>
      </c>
      <c r="AS1006" s="1">
        <v>0</v>
      </c>
      <c r="AT1006" s="1">
        <f t="shared" si="104"/>
        <v>32327977</v>
      </c>
    </row>
    <row r="1007" spans="1:46" x14ac:dyDescent="0.2">
      <c r="A1007" s="1" t="str">
        <f>"01288"</f>
        <v>01288</v>
      </c>
      <c r="B1007" s="1" t="str">
        <f>"مهدي"</f>
        <v>مهدي</v>
      </c>
      <c r="C1007" s="1" t="str">
        <f>"انصاري جابري"</f>
        <v>انصاري جابري</v>
      </c>
      <c r="D1007" s="1" t="str">
        <f t="shared" si="110"/>
        <v>قراردادي بهره بردار</v>
      </c>
      <c r="E1007" s="1" t="str">
        <f t="shared" si="109"/>
        <v>پروژه تعميرات نيروگاه بوشهر</v>
      </c>
      <c r="F1007" s="1">
        <v>10111312</v>
      </c>
      <c r="G1007" s="1">
        <v>2837594</v>
      </c>
      <c r="H1007" s="1">
        <v>0</v>
      </c>
      <c r="I1007" s="1">
        <v>4436896</v>
      </c>
      <c r="J1007" s="1">
        <v>0</v>
      </c>
      <c r="K1007" s="1">
        <v>4125000</v>
      </c>
      <c r="L1007" s="1">
        <v>0</v>
      </c>
      <c r="M1007" s="1">
        <v>400000</v>
      </c>
      <c r="N1007" s="1">
        <v>992079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1709927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708628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850354</v>
      </c>
      <c r="AM1007" s="1">
        <v>0</v>
      </c>
      <c r="AN1007" s="1">
        <v>27271790</v>
      </c>
      <c r="AO1007" s="1">
        <v>2211660</v>
      </c>
      <c r="AP1007" s="1">
        <v>25060130</v>
      </c>
      <c r="AQ1007" s="1">
        <v>5454358</v>
      </c>
      <c r="AR1007" s="1">
        <v>818154</v>
      </c>
      <c r="AS1007" s="1">
        <v>0</v>
      </c>
      <c r="AT1007" s="1">
        <f t="shared" si="104"/>
        <v>33544302</v>
      </c>
    </row>
    <row r="1008" spans="1:46" x14ac:dyDescent="0.2">
      <c r="A1008" s="1" t="str">
        <f>"01289"</f>
        <v>01289</v>
      </c>
      <c r="B1008" s="1" t="str">
        <f>"احسان"</f>
        <v>احسان</v>
      </c>
      <c r="C1008" s="1" t="str">
        <f>"اوستاد"</f>
        <v>اوستاد</v>
      </c>
      <c r="D1008" s="1" t="str">
        <f t="shared" si="110"/>
        <v>قراردادي بهره بردار</v>
      </c>
      <c r="E1008" s="1" t="str">
        <f t="shared" si="109"/>
        <v>پروژه تعميرات نيروگاه بوشهر</v>
      </c>
      <c r="F1008" s="1">
        <v>10361588</v>
      </c>
      <c r="G1008" s="1">
        <v>2946353</v>
      </c>
      <c r="H1008" s="1">
        <v>0</v>
      </c>
      <c r="I1008" s="1">
        <v>4606952</v>
      </c>
      <c r="J1008" s="1">
        <v>0</v>
      </c>
      <c r="K1008" s="1">
        <v>5500000</v>
      </c>
      <c r="L1008" s="1">
        <v>0</v>
      </c>
      <c r="M1008" s="1">
        <v>400000</v>
      </c>
      <c r="N1008" s="1">
        <v>1083485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1775465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773917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928702</v>
      </c>
      <c r="AM1008" s="1">
        <v>0</v>
      </c>
      <c r="AN1008" s="1">
        <v>29476462</v>
      </c>
      <c r="AO1008" s="1">
        <v>2582045</v>
      </c>
      <c r="AP1008" s="1">
        <v>26894417</v>
      </c>
      <c r="AQ1008" s="1">
        <v>5895292</v>
      </c>
      <c r="AR1008" s="1">
        <v>884294</v>
      </c>
      <c r="AS1008" s="1">
        <v>0</v>
      </c>
      <c r="AT1008" s="1">
        <f t="shared" si="104"/>
        <v>36256048</v>
      </c>
    </row>
    <row r="1009" spans="1:46" x14ac:dyDescent="0.2">
      <c r="A1009" s="1" t="str">
        <f>"01290"</f>
        <v>01290</v>
      </c>
      <c r="B1009" s="1" t="str">
        <f>"مرتضي"</f>
        <v>مرتضي</v>
      </c>
      <c r="C1009" s="1" t="str">
        <f>"اوشال"</f>
        <v>اوشال</v>
      </c>
      <c r="D1009" s="1" t="str">
        <f t="shared" si="110"/>
        <v>قراردادي بهره بردار</v>
      </c>
      <c r="E1009" s="1" t="str">
        <f t="shared" si="109"/>
        <v>پروژه تعميرات نيروگاه بوشهر</v>
      </c>
      <c r="F1009" s="1">
        <v>6768849</v>
      </c>
      <c r="G1009" s="1">
        <v>1960917</v>
      </c>
      <c r="H1009" s="1">
        <v>0</v>
      </c>
      <c r="I1009" s="1">
        <v>3066113</v>
      </c>
      <c r="J1009" s="1">
        <v>0</v>
      </c>
      <c r="K1009" s="1">
        <v>3465000</v>
      </c>
      <c r="L1009" s="1">
        <v>0</v>
      </c>
      <c r="M1009" s="1">
        <v>400000</v>
      </c>
      <c r="N1009" s="1">
        <v>730017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1181644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521440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730017</v>
      </c>
      <c r="AM1009" s="1">
        <v>0</v>
      </c>
      <c r="AN1009" s="1">
        <v>19923997</v>
      </c>
      <c r="AO1009" s="1">
        <v>1434680</v>
      </c>
      <c r="AP1009" s="1">
        <v>18489317</v>
      </c>
      <c r="AQ1009" s="1">
        <v>3984799</v>
      </c>
      <c r="AR1009" s="1">
        <v>597720</v>
      </c>
      <c r="AS1009" s="1">
        <v>0</v>
      </c>
      <c r="AT1009" s="1">
        <f t="shared" si="104"/>
        <v>24506516</v>
      </c>
    </row>
    <row r="1010" spans="1:46" x14ac:dyDescent="0.2">
      <c r="A1010" s="1" t="str">
        <f>"01291"</f>
        <v>01291</v>
      </c>
      <c r="B1010" s="1" t="str">
        <f>"منصور"</f>
        <v>منصور</v>
      </c>
      <c r="C1010" s="1" t="str">
        <f>"ايزدپناه"</f>
        <v>ايزدپناه</v>
      </c>
      <c r="D1010" s="1" t="str">
        <f t="shared" si="110"/>
        <v>قراردادي بهره بردار</v>
      </c>
      <c r="E1010" s="1" t="str">
        <f t="shared" si="109"/>
        <v>پروژه تعميرات نيروگاه بوشهر</v>
      </c>
      <c r="F1010" s="1">
        <v>7814988</v>
      </c>
      <c r="G1010" s="1">
        <v>2367444</v>
      </c>
      <c r="H1010" s="1">
        <v>0</v>
      </c>
      <c r="I1010" s="1">
        <v>3718165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1006895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1426615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719211</v>
      </c>
      <c r="AF1010" s="1">
        <v>1111269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1006895</v>
      </c>
      <c r="AM1010" s="1">
        <v>0</v>
      </c>
      <c r="AN1010" s="1">
        <v>25291482</v>
      </c>
      <c r="AO1010" s="1">
        <v>1803403</v>
      </c>
      <c r="AP1010" s="1">
        <v>23488079</v>
      </c>
      <c r="AQ1010" s="1">
        <v>4836043</v>
      </c>
      <c r="AR1010" s="1">
        <v>725406</v>
      </c>
      <c r="AS1010" s="1">
        <v>0</v>
      </c>
      <c r="AT1010" s="1">
        <f t="shared" si="104"/>
        <v>30852931</v>
      </c>
    </row>
    <row r="1011" spans="1:46" x14ac:dyDescent="0.2">
      <c r="A1011" s="1" t="str">
        <f>"01292"</f>
        <v>01292</v>
      </c>
      <c r="B1011" s="1" t="str">
        <f>"عباس"</f>
        <v>عباس</v>
      </c>
      <c r="C1011" s="1" t="str">
        <f>"ايمان منش"</f>
        <v>ايمان منش</v>
      </c>
      <c r="D1011" s="1" t="str">
        <f t="shared" si="110"/>
        <v>قراردادي بهره بردار</v>
      </c>
      <c r="E1011" s="1" t="str">
        <f t="shared" si="109"/>
        <v>پروژه تعميرات نيروگاه بوشهر</v>
      </c>
      <c r="F1011" s="1">
        <v>7600371</v>
      </c>
      <c r="G1011" s="1">
        <v>2329335</v>
      </c>
      <c r="H1011" s="1">
        <v>0</v>
      </c>
      <c r="I1011" s="1">
        <v>3642945</v>
      </c>
      <c r="J1011" s="1">
        <v>0</v>
      </c>
      <c r="K1011" s="1">
        <v>3465000</v>
      </c>
      <c r="L1011" s="1">
        <v>0</v>
      </c>
      <c r="M1011" s="1">
        <v>400000</v>
      </c>
      <c r="N1011" s="1">
        <v>1029072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1403651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735052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1029072</v>
      </c>
      <c r="AM1011" s="1">
        <v>0</v>
      </c>
      <c r="AN1011" s="1">
        <v>22734498</v>
      </c>
      <c r="AO1011" s="1">
        <v>2231415</v>
      </c>
      <c r="AP1011" s="1">
        <v>20503083</v>
      </c>
      <c r="AQ1011" s="1">
        <v>4546900</v>
      </c>
      <c r="AR1011" s="1">
        <v>682035</v>
      </c>
      <c r="AS1011" s="1">
        <v>0</v>
      </c>
      <c r="AT1011" s="1">
        <f t="shared" si="104"/>
        <v>27963433</v>
      </c>
    </row>
    <row r="1012" spans="1:46" x14ac:dyDescent="0.2">
      <c r="A1012" s="1" t="str">
        <f>"01294"</f>
        <v>01294</v>
      </c>
      <c r="B1012" s="1" t="str">
        <f>"حسين"</f>
        <v>حسين</v>
      </c>
      <c r="C1012" s="1" t="str">
        <f>"باغباني"</f>
        <v>باغباني</v>
      </c>
      <c r="D1012" s="1" t="str">
        <f t="shared" si="110"/>
        <v>قراردادي بهره بردار</v>
      </c>
      <c r="E1012" s="1" t="str">
        <f t="shared" si="109"/>
        <v>پروژه تعميرات نيروگاه بوشهر</v>
      </c>
      <c r="F1012" s="1">
        <v>6743141</v>
      </c>
      <c r="G1012" s="1">
        <v>1949591</v>
      </c>
      <c r="H1012" s="1">
        <v>0</v>
      </c>
      <c r="I1012" s="1">
        <v>3048404</v>
      </c>
      <c r="J1012" s="1">
        <v>0</v>
      </c>
      <c r="K1012" s="1">
        <v>3465000</v>
      </c>
      <c r="L1012" s="1">
        <v>0</v>
      </c>
      <c r="M1012" s="1">
        <v>400000</v>
      </c>
      <c r="N1012" s="1">
        <v>720867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1174818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514906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720867</v>
      </c>
      <c r="AM1012" s="1">
        <v>0</v>
      </c>
      <c r="AN1012" s="1">
        <v>19837594</v>
      </c>
      <c r="AO1012" s="1">
        <v>1428632</v>
      </c>
      <c r="AP1012" s="1">
        <v>18408962</v>
      </c>
      <c r="AQ1012" s="1">
        <v>3967519</v>
      </c>
      <c r="AR1012" s="1">
        <v>595128</v>
      </c>
      <c r="AS1012" s="1">
        <v>0</v>
      </c>
      <c r="AT1012" s="1">
        <f t="shared" si="104"/>
        <v>24400241</v>
      </c>
    </row>
    <row r="1013" spans="1:46" x14ac:dyDescent="0.2">
      <c r="A1013" s="1" t="str">
        <f>"01295"</f>
        <v>01295</v>
      </c>
      <c r="B1013" s="1" t="str">
        <f>"مهدي"</f>
        <v>مهدي</v>
      </c>
      <c r="C1013" s="1" t="str">
        <f>"برمک"</f>
        <v>برمک</v>
      </c>
      <c r="D1013" s="1" t="str">
        <f t="shared" si="110"/>
        <v>قراردادي بهره بردار</v>
      </c>
      <c r="E1013" s="1" t="str">
        <f t="shared" si="109"/>
        <v>پروژه تعميرات نيروگاه بوشهر</v>
      </c>
      <c r="F1013" s="1">
        <v>6897283</v>
      </c>
      <c r="G1013" s="1">
        <v>2017777</v>
      </c>
      <c r="H1013" s="1">
        <v>0</v>
      </c>
      <c r="I1013" s="1">
        <v>3155020</v>
      </c>
      <c r="J1013" s="1">
        <v>0</v>
      </c>
      <c r="K1013" s="1">
        <v>4620000</v>
      </c>
      <c r="L1013" s="1">
        <v>0</v>
      </c>
      <c r="M1013" s="1">
        <v>400000</v>
      </c>
      <c r="N1013" s="1">
        <v>776179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1215907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554413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776179</v>
      </c>
      <c r="AM1013" s="1">
        <v>0</v>
      </c>
      <c r="AN1013" s="1">
        <v>21512758</v>
      </c>
      <c r="AO1013" s="1">
        <v>1965541</v>
      </c>
      <c r="AP1013" s="1">
        <v>19547217</v>
      </c>
      <c r="AQ1013" s="1">
        <v>4302552</v>
      </c>
      <c r="AR1013" s="1">
        <v>645383</v>
      </c>
      <c r="AS1013" s="1">
        <v>0</v>
      </c>
      <c r="AT1013" s="1">
        <f t="shared" si="104"/>
        <v>26460693</v>
      </c>
    </row>
    <row r="1014" spans="1:46" x14ac:dyDescent="0.2">
      <c r="A1014" s="1" t="str">
        <f>"01297"</f>
        <v>01297</v>
      </c>
      <c r="B1014" s="1" t="str">
        <f>"مهدي"</f>
        <v>مهدي</v>
      </c>
      <c r="C1014" s="1" t="str">
        <f>"بيژني"</f>
        <v>بيژني</v>
      </c>
      <c r="D1014" s="1" t="str">
        <f t="shared" si="110"/>
        <v>قراردادي بهره بردار</v>
      </c>
      <c r="E1014" s="1" t="str">
        <f t="shared" si="109"/>
        <v>پروژه تعميرات نيروگاه بوشهر</v>
      </c>
      <c r="F1014" s="1">
        <v>6946099</v>
      </c>
      <c r="G1014" s="1">
        <v>2039537</v>
      </c>
      <c r="H1014" s="1">
        <v>0</v>
      </c>
      <c r="I1014" s="1">
        <v>3189719</v>
      </c>
      <c r="J1014" s="1">
        <v>0</v>
      </c>
      <c r="K1014" s="1">
        <v>3465000</v>
      </c>
      <c r="L1014" s="1">
        <v>0</v>
      </c>
      <c r="M1014" s="1">
        <v>400000</v>
      </c>
      <c r="N1014" s="1">
        <v>793719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1229020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566942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793719</v>
      </c>
      <c r="AM1014" s="1">
        <v>0</v>
      </c>
      <c r="AN1014" s="1">
        <v>20523755</v>
      </c>
      <c r="AO1014" s="1">
        <v>2436663</v>
      </c>
      <c r="AP1014" s="1">
        <v>18087092</v>
      </c>
      <c r="AQ1014" s="1">
        <v>4104751</v>
      </c>
      <c r="AR1014" s="1">
        <v>615713</v>
      </c>
      <c r="AS1014" s="1">
        <v>0</v>
      </c>
      <c r="AT1014" s="1">
        <f t="shared" si="104"/>
        <v>25244219</v>
      </c>
    </row>
    <row r="1015" spans="1:46" x14ac:dyDescent="0.2">
      <c r="A1015" s="1" t="str">
        <f>"01298"</f>
        <v>01298</v>
      </c>
      <c r="B1015" s="1" t="str">
        <f>"کريم"</f>
        <v>کريم</v>
      </c>
      <c r="C1015" s="1" t="str">
        <f>"پرتابيان"</f>
        <v>پرتابيان</v>
      </c>
      <c r="D1015" s="1" t="str">
        <f t="shared" si="110"/>
        <v>قراردادي بهره بردار</v>
      </c>
      <c r="E1015" s="1" t="str">
        <f t="shared" si="109"/>
        <v>پروژه تعميرات نيروگاه بوشهر</v>
      </c>
      <c r="F1015" s="1">
        <v>6969235</v>
      </c>
      <c r="G1015" s="1">
        <v>2049680</v>
      </c>
      <c r="H1015" s="1">
        <v>0</v>
      </c>
      <c r="I1015" s="1">
        <v>3204904</v>
      </c>
      <c r="J1015" s="1">
        <v>0</v>
      </c>
      <c r="K1015" s="1">
        <v>4620000</v>
      </c>
      <c r="L1015" s="1">
        <v>0</v>
      </c>
      <c r="M1015" s="1">
        <v>400000</v>
      </c>
      <c r="N1015" s="1">
        <v>802120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1235132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572942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802120</v>
      </c>
      <c r="AM1015" s="1">
        <v>0</v>
      </c>
      <c r="AN1015" s="1">
        <v>21756133</v>
      </c>
      <c r="AO1015" s="1">
        <v>1562929</v>
      </c>
      <c r="AP1015" s="1">
        <v>20193204</v>
      </c>
      <c r="AQ1015" s="1">
        <v>4351227</v>
      </c>
      <c r="AR1015" s="1">
        <v>652684</v>
      </c>
      <c r="AS1015" s="1">
        <v>0</v>
      </c>
      <c r="AT1015" s="1">
        <f t="shared" si="104"/>
        <v>26760044</v>
      </c>
    </row>
    <row r="1016" spans="1:46" x14ac:dyDescent="0.2">
      <c r="A1016" s="1" t="str">
        <f>"01299"</f>
        <v>01299</v>
      </c>
      <c r="B1016" s="1" t="str">
        <f>"عارف"</f>
        <v>عارف</v>
      </c>
      <c r="C1016" s="1" t="str">
        <f>"پورسوسن"</f>
        <v>پورسوسن</v>
      </c>
      <c r="D1016" s="1" t="str">
        <f t="shared" si="110"/>
        <v>قراردادي بهره بردار</v>
      </c>
      <c r="E1016" s="1" t="str">
        <f t="shared" si="109"/>
        <v>پروژه تعميرات نيروگاه بوشهر</v>
      </c>
      <c r="F1016" s="1">
        <v>6788910</v>
      </c>
      <c r="G1016" s="1">
        <v>1969775</v>
      </c>
      <c r="H1016" s="1">
        <v>0</v>
      </c>
      <c r="I1016" s="1">
        <v>3079964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737189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1186982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526564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737189</v>
      </c>
      <c r="AM1016" s="1">
        <v>0</v>
      </c>
      <c r="AN1016" s="1">
        <v>19991573</v>
      </c>
      <c r="AO1016" s="1">
        <v>1439410</v>
      </c>
      <c r="AP1016" s="1">
        <v>18552163</v>
      </c>
      <c r="AQ1016" s="1">
        <v>3998315</v>
      </c>
      <c r="AR1016" s="1">
        <v>599747</v>
      </c>
      <c r="AS1016" s="1">
        <v>0</v>
      </c>
      <c r="AT1016" s="1">
        <f t="shared" si="104"/>
        <v>24589635</v>
      </c>
    </row>
    <row r="1017" spans="1:46" x14ac:dyDescent="0.2">
      <c r="A1017" s="1" t="str">
        <f>"01300"</f>
        <v>01300</v>
      </c>
      <c r="B1017" s="1" t="str">
        <f>"محمدجواد"</f>
        <v>محمدجواد</v>
      </c>
      <c r="C1017" s="1" t="str">
        <f>"پولادي"</f>
        <v>پولادي</v>
      </c>
      <c r="D1017" s="1" t="str">
        <f t="shared" si="110"/>
        <v>قراردادي بهره بردار</v>
      </c>
      <c r="E1017" s="1" t="str">
        <f t="shared" si="109"/>
        <v>پروژه تعميرات نيروگاه بوشهر</v>
      </c>
      <c r="F1017" s="1">
        <v>10546456</v>
      </c>
      <c r="G1017" s="1">
        <v>3025816</v>
      </c>
      <c r="H1017" s="1">
        <v>0</v>
      </c>
      <c r="I1017" s="1">
        <v>4727200</v>
      </c>
      <c r="J1017" s="1">
        <v>0</v>
      </c>
      <c r="K1017" s="1">
        <v>4125000</v>
      </c>
      <c r="L1017" s="1">
        <v>0</v>
      </c>
      <c r="M1017" s="1">
        <v>400000</v>
      </c>
      <c r="N1017" s="1">
        <v>1151045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1823349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822175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986610</v>
      </c>
      <c r="AM1017" s="1">
        <v>0</v>
      </c>
      <c r="AN1017" s="1">
        <v>28707651</v>
      </c>
      <c r="AO1017" s="1">
        <v>2452885</v>
      </c>
      <c r="AP1017" s="1">
        <v>26254766</v>
      </c>
      <c r="AQ1017" s="1">
        <v>5741530</v>
      </c>
      <c r="AR1017" s="1">
        <v>861230</v>
      </c>
      <c r="AS1017" s="1">
        <v>0</v>
      </c>
      <c r="AT1017" s="1">
        <f t="shared" si="104"/>
        <v>35310411</v>
      </c>
    </row>
    <row r="1018" spans="1:46" x14ac:dyDescent="0.2">
      <c r="A1018" s="1" t="str">
        <f>"01301"</f>
        <v>01301</v>
      </c>
      <c r="B1018" s="1" t="str">
        <f>"حامد"</f>
        <v>حامد</v>
      </c>
      <c r="C1018" s="1" t="str">
        <f>"تاروردي چماچايي"</f>
        <v>تاروردي چماچايي</v>
      </c>
      <c r="D1018" s="1" t="str">
        <f t="shared" si="110"/>
        <v>قراردادي بهره بردار</v>
      </c>
      <c r="E1018" s="1" t="str">
        <f t="shared" si="109"/>
        <v>پروژه تعميرات نيروگاه بوشهر</v>
      </c>
      <c r="F1018" s="1">
        <v>11684278</v>
      </c>
      <c r="G1018" s="1">
        <v>3439976</v>
      </c>
      <c r="H1018" s="1">
        <v>0</v>
      </c>
      <c r="I1018" s="1">
        <v>5421861</v>
      </c>
      <c r="J1018" s="1">
        <v>0</v>
      </c>
      <c r="K1018" s="1">
        <v>4125000</v>
      </c>
      <c r="L1018" s="1">
        <v>0</v>
      </c>
      <c r="M1018" s="1">
        <v>400000</v>
      </c>
      <c r="N1018" s="1">
        <v>1408971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2072920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1006407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1207689</v>
      </c>
      <c r="AM1018" s="1">
        <v>0</v>
      </c>
      <c r="AN1018" s="1">
        <v>31867102</v>
      </c>
      <c r="AO1018" s="1">
        <v>3695251</v>
      </c>
      <c r="AP1018" s="1">
        <v>28171851</v>
      </c>
      <c r="AQ1018" s="1">
        <v>6373420</v>
      </c>
      <c r="AR1018" s="1">
        <v>956013</v>
      </c>
      <c r="AS1018" s="1">
        <v>0</v>
      </c>
      <c r="AT1018" s="1">
        <f t="shared" si="104"/>
        <v>39196535</v>
      </c>
    </row>
    <row r="1019" spans="1:46" x14ac:dyDescent="0.2">
      <c r="A1019" s="1" t="str">
        <f>"01303"</f>
        <v>01303</v>
      </c>
      <c r="B1019" s="1" t="str">
        <f>"رضا"</f>
        <v>رضا</v>
      </c>
      <c r="C1019" s="1" t="str">
        <f>"تيموري"</f>
        <v>تيموري</v>
      </c>
      <c r="D1019" s="1" t="str">
        <f t="shared" si="110"/>
        <v>قراردادي بهره بردار</v>
      </c>
      <c r="E1019" s="1" t="str">
        <f t="shared" si="109"/>
        <v>پروژه تعميرات نيروگاه بوشهر</v>
      </c>
      <c r="F1019" s="1">
        <v>10070443</v>
      </c>
      <c r="G1019" s="1">
        <v>2819919</v>
      </c>
      <c r="H1019" s="1">
        <v>0</v>
      </c>
      <c r="I1019" s="1">
        <v>4409259</v>
      </c>
      <c r="J1019" s="1">
        <v>0</v>
      </c>
      <c r="K1019" s="1">
        <v>4125000</v>
      </c>
      <c r="L1019" s="1">
        <v>0</v>
      </c>
      <c r="M1019" s="1">
        <v>400000</v>
      </c>
      <c r="N1019" s="1">
        <v>977300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1699276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698072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837685</v>
      </c>
      <c r="AM1019" s="1">
        <v>0</v>
      </c>
      <c r="AN1019" s="1">
        <v>27136954</v>
      </c>
      <c r="AO1019" s="1">
        <v>2189008</v>
      </c>
      <c r="AP1019" s="1">
        <v>24947946</v>
      </c>
      <c r="AQ1019" s="1">
        <v>5427391</v>
      </c>
      <c r="AR1019" s="1">
        <v>814109</v>
      </c>
      <c r="AS1019" s="1">
        <v>0</v>
      </c>
      <c r="AT1019" s="1">
        <f t="shared" si="104"/>
        <v>33378454</v>
      </c>
    </row>
    <row r="1020" spans="1:46" x14ac:dyDescent="0.2">
      <c r="A1020" s="1" t="str">
        <f>"01304"</f>
        <v>01304</v>
      </c>
      <c r="B1020" s="1" t="str">
        <f>"محسن"</f>
        <v>محسن</v>
      </c>
      <c r="C1020" s="1" t="str">
        <f>"جعفري"</f>
        <v>جعفري</v>
      </c>
      <c r="D1020" s="1" t="str">
        <f t="shared" si="110"/>
        <v>قراردادي بهره بردار</v>
      </c>
      <c r="E1020" s="1" t="str">
        <f t="shared" si="109"/>
        <v>پروژه تعميرات نيروگاه بوشهر</v>
      </c>
      <c r="F1020" s="1">
        <v>10107594</v>
      </c>
      <c r="G1020" s="1">
        <v>2836011</v>
      </c>
      <c r="H1020" s="1">
        <v>0</v>
      </c>
      <c r="I1020" s="1">
        <v>4434421</v>
      </c>
      <c r="J1020" s="1">
        <v>0</v>
      </c>
      <c r="K1020" s="1">
        <v>4125000</v>
      </c>
      <c r="L1020" s="1">
        <v>0</v>
      </c>
      <c r="M1020" s="1">
        <v>400000</v>
      </c>
      <c r="N1020" s="1">
        <v>990778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1708973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707700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849238</v>
      </c>
      <c r="AM1020" s="1">
        <v>0</v>
      </c>
      <c r="AN1020" s="1">
        <v>27259715</v>
      </c>
      <c r="AO1020" s="1">
        <v>2209633</v>
      </c>
      <c r="AP1020" s="1">
        <v>25050082</v>
      </c>
      <c r="AQ1020" s="1">
        <v>5451943</v>
      </c>
      <c r="AR1020" s="1">
        <v>817791</v>
      </c>
      <c r="AS1020" s="1">
        <v>0</v>
      </c>
      <c r="AT1020" s="1">
        <f t="shared" si="104"/>
        <v>33529449</v>
      </c>
    </row>
    <row r="1021" spans="1:46" x14ac:dyDescent="0.2">
      <c r="A1021" s="1" t="str">
        <f>"01305"</f>
        <v>01305</v>
      </c>
      <c r="B1021" s="1" t="str">
        <f>"حسن"</f>
        <v>حسن</v>
      </c>
      <c r="C1021" s="1" t="str">
        <f>"جلوه گر خوش"</f>
        <v>جلوه گر خوش</v>
      </c>
      <c r="D1021" s="1" t="str">
        <f t="shared" si="110"/>
        <v>قراردادي بهره بردار</v>
      </c>
      <c r="E1021" s="1" t="str">
        <f t="shared" si="109"/>
        <v>پروژه تعميرات نيروگاه بوشهر</v>
      </c>
      <c r="F1021" s="1">
        <v>6743141</v>
      </c>
      <c r="G1021" s="1">
        <v>1949591</v>
      </c>
      <c r="H1021" s="1">
        <v>0</v>
      </c>
      <c r="I1021" s="1">
        <v>3048404</v>
      </c>
      <c r="J1021" s="1">
        <v>0</v>
      </c>
      <c r="K1021" s="1">
        <v>4620000</v>
      </c>
      <c r="L1021" s="1">
        <v>0</v>
      </c>
      <c r="M1021" s="1">
        <v>400000</v>
      </c>
      <c r="N1021" s="1">
        <v>720867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1174818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514906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720867</v>
      </c>
      <c r="AM1021" s="1">
        <v>0</v>
      </c>
      <c r="AN1021" s="1">
        <v>20992594</v>
      </c>
      <c r="AO1021" s="1">
        <v>1509482</v>
      </c>
      <c r="AP1021" s="1">
        <v>19483112</v>
      </c>
      <c r="AQ1021" s="1">
        <v>4198519</v>
      </c>
      <c r="AR1021" s="1">
        <v>629778</v>
      </c>
      <c r="AS1021" s="1">
        <v>0</v>
      </c>
      <c r="AT1021" s="1">
        <f t="shared" si="104"/>
        <v>25820891</v>
      </c>
    </row>
    <row r="1022" spans="1:46" x14ac:dyDescent="0.2">
      <c r="A1022" s="1" t="str">
        <f>"01306"</f>
        <v>01306</v>
      </c>
      <c r="B1022" s="1" t="str">
        <f>"علي اكبر"</f>
        <v>علي اكبر</v>
      </c>
      <c r="C1022" s="1" t="str">
        <f>"جوان فر"</f>
        <v>جوان فر</v>
      </c>
      <c r="D1022" s="1" t="str">
        <f t="shared" si="110"/>
        <v>قراردادي بهره بردار</v>
      </c>
      <c r="E1022" s="1" t="str">
        <f t="shared" si="109"/>
        <v>پروژه تعميرات نيروگاه بوشهر</v>
      </c>
      <c r="F1022" s="1">
        <v>7003631</v>
      </c>
      <c r="G1022" s="1">
        <v>2064895</v>
      </c>
      <c r="H1022" s="1">
        <v>0</v>
      </c>
      <c r="I1022" s="1">
        <v>3228695</v>
      </c>
      <c r="J1022" s="1">
        <v>0</v>
      </c>
      <c r="K1022" s="1">
        <v>4620000</v>
      </c>
      <c r="L1022" s="1">
        <v>0</v>
      </c>
      <c r="M1022" s="1">
        <v>400000</v>
      </c>
      <c r="N1022" s="1">
        <v>814461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1244301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581758</v>
      </c>
      <c r="AF1022" s="1">
        <v>1111269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814461</v>
      </c>
      <c r="AM1022" s="1">
        <v>0</v>
      </c>
      <c r="AN1022" s="1">
        <v>22983471</v>
      </c>
      <c r="AO1022" s="1">
        <v>1571054</v>
      </c>
      <c r="AP1022" s="1">
        <v>21412417</v>
      </c>
      <c r="AQ1022" s="1">
        <v>4374440</v>
      </c>
      <c r="AR1022" s="1">
        <v>656166</v>
      </c>
      <c r="AS1022" s="1">
        <v>0</v>
      </c>
      <c r="AT1022" s="1">
        <f t="shared" si="104"/>
        <v>28014077</v>
      </c>
    </row>
    <row r="1023" spans="1:46" x14ac:dyDescent="0.2">
      <c r="A1023" s="1" t="str">
        <f>"01307"</f>
        <v>01307</v>
      </c>
      <c r="B1023" s="1" t="str">
        <f>"سيد صادق"</f>
        <v>سيد صادق</v>
      </c>
      <c r="C1023" s="1" t="str">
        <f>"حسيني"</f>
        <v>حسيني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10135439</v>
      </c>
      <c r="G1023" s="1">
        <v>2848141</v>
      </c>
      <c r="H1023" s="1">
        <v>0</v>
      </c>
      <c r="I1023" s="1">
        <v>4453387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1001000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1716283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715000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858000</v>
      </c>
      <c r="AM1023" s="1">
        <v>0</v>
      </c>
      <c r="AN1023" s="1">
        <v>27352250</v>
      </c>
      <c r="AO1023" s="1">
        <v>2225180</v>
      </c>
      <c r="AP1023" s="1">
        <v>25127070</v>
      </c>
      <c r="AQ1023" s="1">
        <v>5470450</v>
      </c>
      <c r="AR1023" s="1">
        <v>820568</v>
      </c>
      <c r="AS1023" s="1">
        <v>0</v>
      </c>
      <c r="AT1023" s="1">
        <f t="shared" si="104"/>
        <v>33643268</v>
      </c>
    </row>
    <row r="1024" spans="1:46" x14ac:dyDescent="0.2">
      <c r="A1024" s="1" t="str">
        <f>"01308"</f>
        <v>01308</v>
      </c>
      <c r="B1024" s="1" t="str">
        <f>"رضا"</f>
        <v>رضا</v>
      </c>
      <c r="C1024" s="1" t="str">
        <f>"خدري"</f>
        <v>خدري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6801446</v>
      </c>
      <c r="G1024" s="1">
        <v>1975346</v>
      </c>
      <c r="H1024" s="1">
        <v>0</v>
      </c>
      <c r="I1024" s="1">
        <v>3088674</v>
      </c>
      <c r="J1024" s="1">
        <v>0</v>
      </c>
      <c r="K1024" s="1">
        <v>3465000</v>
      </c>
      <c r="L1024" s="1">
        <v>0</v>
      </c>
      <c r="M1024" s="1">
        <v>400000</v>
      </c>
      <c r="N1024" s="1">
        <v>741728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1190339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529806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741728</v>
      </c>
      <c r="AM1024" s="1">
        <v>0</v>
      </c>
      <c r="AN1024" s="1">
        <v>20034067</v>
      </c>
      <c r="AO1024" s="1">
        <v>1442385</v>
      </c>
      <c r="AP1024" s="1">
        <v>18591682</v>
      </c>
      <c r="AQ1024" s="1">
        <v>4006813</v>
      </c>
      <c r="AR1024" s="1">
        <v>601022</v>
      </c>
      <c r="AS1024" s="1">
        <v>0</v>
      </c>
      <c r="AT1024" s="1">
        <f t="shared" si="104"/>
        <v>24641902</v>
      </c>
    </row>
    <row r="1025" spans="1:46" x14ac:dyDescent="0.2">
      <c r="A1025" s="1" t="str">
        <f>"01309"</f>
        <v>01309</v>
      </c>
      <c r="B1025" s="1" t="str">
        <f>"سجاد"</f>
        <v>سجاد</v>
      </c>
      <c r="C1025" s="1" t="str">
        <f>"ذكاوت جو"</f>
        <v>ذكاوت جو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7126069</v>
      </c>
      <c r="G1025" s="1">
        <v>2119136</v>
      </c>
      <c r="H1025" s="1">
        <v>0</v>
      </c>
      <c r="I1025" s="1">
        <v>3313506</v>
      </c>
      <c r="J1025" s="1">
        <v>0</v>
      </c>
      <c r="K1025" s="1">
        <v>3465000</v>
      </c>
      <c r="L1025" s="1">
        <v>0</v>
      </c>
      <c r="M1025" s="1">
        <v>400000</v>
      </c>
      <c r="N1025" s="1">
        <v>858526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1276986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613232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858526</v>
      </c>
      <c r="AM1025" s="1">
        <v>0</v>
      </c>
      <c r="AN1025" s="1">
        <v>21130981</v>
      </c>
      <c r="AO1025" s="1">
        <v>1519169</v>
      </c>
      <c r="AP1025" s="1">
        <v>19611812</v>
      </c>
      <c r="AQ1025" s="1">
        <v>4226196</v>
      </c>
      <c r="AR1025" s="1">
        <v>633929</v>
      </c>
      <c r="AS1025" s="1">
        <v>0</v>
      </c>
      <c r="AT1025" s="1">
        <f t="shared" si="104"/>
        <v>25991106</v>
      </c>
    </row>
    <row r="1026" spans="1:46" x14ac:dyDescent="0.2">
      <c r="A1026" s="1" t="str">
        <f>"01310"</f>
        <v>01310</v>
      </c>
      <c r="B1026" s="1" t="str">
        <f>"فرهاد"</f>
        <v>فرهاد</v>
      </c>
      <c r="C1026" s="1" t="str">
        <f>"رازقي نيا"</f>
        <v>رازقي نيا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6768849</v>
      </c>
      <c r="G1026" s="1">
        <v>1960917</v>
      </c>
      <c r="H1026" s="1">
        <v>0</v>
      </c>
      <c r="I1026" s="1">
        <v>3066113</v>
      </c>
      <c r="J1026" s="1">
        <v>0</v>
      </c>
      <c r="K1026" s="1">
        <v>3465000</v>
      </c>
      <c r="L1026" s="1">
        <v>0</v>
      </c>
      <c r="M1026" s="1">
        <v>400000</v>
      </c>
      <c r="N1026" s="1">
        <v>730017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1181644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521440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730017</v>
      </c>
      <c r="AM1026" s="1">
        <v>0</v>
      </c>
      <c r="AN1026" s="1">
        <v>19923997</v>
      </c>
      <c r="AO1026" s="1">
        <v>1434680</v>
      </c>
      <c r="AP1026" s="1">
        <v>18489317</v>
      </c>
      <c r="AQ1026" s="1">
        <v>3984799</v>
      </c>
      <c r="AR1026" s="1">
        <v>597720</v>
      </c>
      <c r="AS1026" s="1">
        <v>0</v>
      </c>
      <c r="AT1026" s="1">
        <f t="shared" si="104"/>
        <v>24506516</v>
      </c>
    </row>
    <row r="1027" spans="1:46" x14ac:dyDescent="0.2">
      <c r="A1027" s="1" t="str">
        <f>"01311"</f>
        <v>01311</v>
      </c>
      <c r="B1027" s="1" t="str">
        <f>"محمدرضا"</f>
        <v>محمدرضا</v>
      </c>
      <c r="C1027" s="1" t="str">
        <f>"ربيعي"</f>
        <v>ربيعي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6743141</v>
      </c>
      <c r="G1027" s="1">
        <v>1949591</v>
      </c>
      <c r="H1027" s="1">
        <v>0</v>
      </c>
      <c r="I1027" s="1">
        <v>3048404</v>
      </c>
      <c r="J1027" s="1">
        <v>0</v>
      </c>
      <c r="K1027" s="1">
        <v>3465000</v>
      </c>
      <c r="L1027" s="1">
        <v>0</v>
      </c>
      <c r="M1027" s="1">
        <v>400000</v>
      </c>
      <c r="N1027" s="1">
        <v>720867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1174818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514906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720867</v>
      </c>
      <c r="AM1027" s="1">
        <v>0</v>
      </c>
      <c r="AN1027" s="1">
        <v>19837594</v>
      </c>
      <c r="AO1027" s="1">
        <v>1428632</v>
      </c>
      <c r="AP1027" s="1">
        <v>18408962</v>
      </c>
      <c r="AQ1027" s="1">
        <v>3967519</v>
      </c>
      <c r="AR1027" s="1">
        <v>595128</v>
      </c>
      <c r="AS1027" s="1">
        <v>0</v>
      </c>
      <c r="AT1027" s="1">
        <f t="shared" ref="AT1027:AT1090" si="111">AS1027+AR1027+AQ1027+AN1027</f>
        <v>24400241</v>
      </c>
    </row>
    <row r="1028" spans="1:46" x14ac:dyDescent="0.2">
      <c r="A1028" s="1" t="str">
        <f>"01312"</f>
        <v>01312</v>
      </c>
      <c r="B1028" s="1" t="str">
        <f>"عباس"</f>
        <v>عباس</v>
      </c>
      <c r="C1028" s="1" t="str">
        <f>"رضايي"</f>
        <v>رضايي</v>
      </c>
      <c r="D1028" s="1" t="str">
        <f t="shared" si="110"/>
        <v>قراردادي بهره بردار</v>
      </c>
      <c r="E1028" s="1" t="str">
        <f t="shared" ref="E1028:E1054" si="112">"پروژه تعميرات نيروگاه بوشهر"</f>
        <v>پروژه تعميرات نيروگاه بوشهر</v>
      </c>
      <c r="F1028" s="1">
        <v>6775746</v>
      </c>
      <c r="G1028" s="1">
        <v>1964023</v>
      </c>
      <c r="H1028" s="1">
        <v>0</v>
      </c>
      <c r="I1028" s="1">
        <v>3070970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732582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1183514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523272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732582</v>
      </c>
      <c r="AM1028" s="1">
        <v>0</v>
      </c>
      <c r="AN1028" s="1">
        <v>19947689</v>
      </c>
      <c r="AO1028" s="1">
        <v>1436338</v>
      </c>
      <c r="AP1028" s="1">
        <v>18511351</v>
      </c>
      <c r="AQ1028" s="1">
        <v>3989538</v>
      </c>
      <c r="AR1028" s="1">
        <v>598431</v>
      </c>
      <c r="AS1028" s="1">
        <v>0</v>
      </c>
      <c r="AT1028" s="1">
        <f t="shared" si="111"/>
        <v>24535658</v>
      </c>
    </row>
    <row r="1029" spans="1:46" x14ac:dyDescent="0.2">
      <c r="A1029" s="1" t="str">
        <f>"01313"</f>
        <v>01313</v>
      </c>
      <c r="B1029" s="1" t="str">
        <f>"سعيد"</f>
        <v>سعيد</v>
      </c>
      <c r="C1029" s="1" t="str">
        <f>"زارعي"</f>
        <v>زارعي</v>
      </c>
      <c r="D1029" s="1" t="str">
        <f t="shared" si="110"/>
        <v>قراردادي بهره بردار</v>
      </c>
      <c r="E1029" s="1" t="str">
        <f t="shared" si="112"/>
        <v>پروژه تعميرات نيروگاه بوشهر</v>
      </c>
      <c r="F1029" s="1">
        <v>6768849</v>
      </c>
      <c r="G1029" s="1">
        <v>1960917</v>
      </c>
      <c r="H1029" s="1">
        <v>0</v>
      </c>
      <c r="I1029" s="1">
        <v>3066113</v>
      </c>
      <c r="J1029" s="1">
        <v>0</v>
      </c>
      <c r="K1029" s="1">
        <v>4620000</v>
      </c>
      <c r="L1029" s="1">
        <v>0</v>
      </c>
      <c r="M1029" s="1">
        <v>400000</v>
      </c>
      <c r="N1029" s="1">
        <v>730017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1181644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521440</v>
      </c>
      <c r="AF1029" s="1">
        <v>1111269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730017</v>
      </c>
      <c r="AM1029" s="1">
        <v>0</v>
      </c>
      <c r="AN1029" s="1">
        <v>22190266</v>
      </c>
      <c r="AO1029" s="1">
        <v>1619696</v>
      </c>
      <c r="AP1029" s="1">
        <v>20570570</v>
      </c>
      <c r="AQ1029" s="1">
        <v>4215799</v>
      </c>
      <c r="AR1029" s="1">
        <v>632370</v>
      </c>
      <c r="AS1029" s="1">
        <v>0</v>
      </c>
      <c r="AT1029" s="1">
        <f t="shared" si="111"/>
        <v>27038435</v>
      </c>
    </row>
    <row r="1030" spans="1:46" x14ac:dyDescent="0.2">
      <c r="A1030" s="1" t="str">
        <f>"01314"</f>
        <v>01314</v>
      </c>
      <c r="B1030" s="1" t="str">
        <f>"عزيز"</f>
        <v>عزيز</v>
      </c>
      <c r="C1030" s="1" t="str">
        <f>"سالمي نيا"</f>
        <v>سالمي نيا</v>
      </c>
      <c r="D1030" s="1" t="str">
        <f t="shared" si="110"/>
        <v>قراردادي بهره بردار</v>
      </c>
      <c r="E1030" s="1" t="str">
        <f t="shared" si="112"/>
        <v>پروژه تعميرات نيروگاه بوشهر</v>
      </c>
      <c r="F1030" s="1">
        <v>6773865</v>
      </c>
      <c r="G1030" s="1">
        <v>1963201</v>
      </c>
      <c r="H1030" s="1">
        <v>0</v>
      </c>
      <c r="I1030" s="1">
        <v>3069684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731923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1183019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522802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731923</v>
      </c>
      <c r="AM1030" s="1">
        <v>0</v>
      </c>
      <c r="AN1030" s="1">
        <v>19941417</v>
      </c>
      <c r="AO1030" s="1">
        <v>1435899</v>
      </c>
      <c r="AP1030" s="1">
        <v>18505518</v>
      </c>
      <c r="AQ1030" s="1">
        <v>3988283</v>
      </c>
      <c r="AR1030" s="1">
        <v>598243</v>
      </c>
      <c r="AS1030" s="1">
        <v>0</v>
      </c>
      <c r="AT1030" s="1">
        <f t="shared" si="111"/>
        <v>24527943</v>
      </c>
    </row>
    <row r="1031" spans="1:46" x14ac:dyDescent="0.2">
      <c r="A1031" s="1" t="str">
        <f>"01315"</f>
        <v>01315</v>
      </c>
      <c r="B1031" s="1" t="str">
        <f>"مهران"</f>
        <v>مهران</v>
      </c>
      <c r="C1031" s="1" t="str">
        <f>"سليمي"</f>
        <v>سليمي</v>
      </c>
      <c r="D1031" s="1" t="str">
        <f t="shared" si="110"/>
        <v>قراردادي بهره بردار</v>
      </c>
      <c r="E1031" s="1" t="str">
        <f t="shared" si="112"/>
        <v>پروژه تعميرات نيروگاه بوشهر</v>
      </c>
      <c r="F1031" s="1">
        <v>10321800</v>
      </c>
      <c r="G1031" s="1">
        <v>0</v>
      </c>
      <c r="H1031" s="1">
        <v>0</v>
      </c>
      <c r="I1031" s="1">
        <v>4579818</v>
      </c>
      <c r="J1031" s="1">
        <v>0</v>
      </c>
      <c r="K1031" s="1">
        <v>4125000</v>
      </c>
      <c r="L1031" s="1">
        <v>0</v>
      </c>
      <c r="M1031" s="1">
        <v>400000</v>
      </c>
      <c r="N1031" s="1">
        <v>1068845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1765008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763460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916154</v>
      </c>
      <c r="AM1031" s="1">
        <v>0</v>
      </c>
      <c r="AN1031" s="1">
        <v>25040085</v>
      </c>
      <c r="AO1031" s="1">
        <v>1836735</v>
      </c>
      <c r="AP1031" s="1">
        <v>23203350</v>
      </c>
      <c r="AQ1031" s="1">
        <v>5008017</v>
      </c>
      <c r="AR1031" s="1">
        <v>751203</v>
      </c>
      <c r="AS1031" s="1">
        <v>0</v>
      </c>
      <c r="AT1031" s="1">
        <f t="shared" si="111"/>
        <v>30799305</v>
      </c>
    </row>
    <row r="1032" spans="1:46" x14ac:dyDescent="0.2">
      <c r="A1032" s="1" t="str">
        <f>"01316"</f>
        <v>01316</v>
      </c>
      <c r="B1032" s="1" t="str">
        <f>"اميد"</f>
        <v>اميد</v>
      </c>
      <c r="C1032" s="1" t="str">
        <f>"شاهسوندحسيني"</f>
        <v>شاهسوندحسيني</v>
      </c>
      <c r="D1032" s="1" t="str">
        <f t="shared" si="110"/>
        <v>قراردادي بهره بردار</v>
      </c>
      <c r="E1032" s="1" t="str">
        <f t="shared" si="112"/>
        <v>پروژه تعميرات نيروگاه بوشهر</v>
      </c>
      <c r="F1032" s="1">
        <v>6772611</v>
      </c>
      <c r="G1032" s="1">
        <v>1962561</v>
      </c>
      <c r="H1032" s="1">
        <v>0</v>
      </c>
      <c r="I1032" s="1">
        <v>3068682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731333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1182634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522381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731333</v>
      </c>
      <c r="AM1032" s="1">
        <v>0</v>
      </c>
      <c r="AN1032" s="1">
        <v>19936535</v>
      </c>
      <c r="AO1032" s="1">
        <v>1435557</v>
      </c>
      <c r="AP1032" s="1">
        <v>18500978</v>
      </c>
      <c r="AQ1032" s="1">
        <v>3987307</v>
      </c>
      <c r="AR1032" s="1">
        <v>598096</v>
      </c>
      <c r="AS1032" s="1">
        <v>0</v>
      </c>
      <c r="AT1032" s="1">
        <f t="shared" si="111"/>
        <v>24521938</v>
      </c>
    </row>
    <row r="1033" spans="1:46" x14ac:dyDescent="0.2">
      <c r="A1033" s="1" t="str">
        <f>"01317"</f>
        <v>01317</v>
      </c>
      <c r="B1033" s="1" t="str">
        <f>"امين"</f>
        <v>امين</v>
      </c>
      <c r="C1033" s="1" t="str">
        <f>"شفيعي"</f>
        <v>شفيعي</v>
      </c>
      <c r="D1033" s="1" t="str">
        <f t="shared" si="110"/>
        <v>قراردادي بهره بردار</v>
      </c>
      <c r="E1033" s="1" t="str">
        <f t="shared" si="112"/>
        <v>پروژه تعميرات نيروگاه بوشهر</v>
      </c>
      <c r="F1033" s="1">
        <v>7920931</v>
      </c>
      <c r="G1033" s="1">
        <v>2411364</v>
      </c>
      <c r="H1033" s="1">
        <v>0</v>
      </c>
      <c r="I1033" s="1">
        <v>3773624</v>
      </c>
      <c r="J1033" s="1">
        <v>0</v>
      </c>
      <c r="K1033" s="1">
        <v>3465000</v>
      </c>
      <c r="L1033" s="1">
        <v>0</v>
      </c>
      <c r="M1033" s="1">
        <v>400000</v>
      </c>
      <c r="N1033" s="1">
        <v>1044939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1453082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746385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1044939</v>
      </c>
      <c r="AM1033" s="1">
        <v>0</v>
      </c>
      <c r="AN1033" s="1">
        <v>23360264</v>
      </c>
      <c r="AO1033" s="1">
        <v>1675218</v>
      </c>
      <c r="AP1033" s="1">
        <v>21685046</v>
      </c>
      <c r="AQ1033" s="1">
        <v>4672053</v>
      </c>
      <c r="AR1033" s="1">
        <v>700808</v>
      </c>
      <c r="AS1033" s="1">
        <v>0</v>
      </c>
      <c r="AT1033" s="1">
        <f t="shared" si="111"/>
        <v>28733125</v>
      </c>
    </row>
    <row r="1034" spans="1:46" x14ac:dyDescent="0.2">
      <c r="A1034" s="1" t="str">
        <f>"01318"</f>
        <v>01318</v>
      </c>
      <c r="B1034" s="1" t="str">
        <f>"محمدامين"</f>
        <v>محمدامين</v>
      </c>
      <c r="C1034" s="1" t="str">
        <f>"صالحي"</f>
        <v>صالحي</v>
      </c>
      <c r="D1034" s="1" t="str">
        <f t="shared" si="110"/>
        <v>قراردادي بهره بردار</v>
      </c>
      <c r="E1034" s="1" t="str">
        <f t="shared" si="112"/>
        <v>پروژه تعميرات نيروگاه بوشهر</v>
      </c>
      <c r="F1034" s="1">
        <v>6773865</v>
      </c>
      <c r="G1034" s="1">
        <v>1963201</v>
      </c>
      <c r="H1034" s="1">
        <v>0</v>
      </c>
      <c r="I1034" s="1">
        <v>3069684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731923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1183019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522802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731923</v>
      </c>
      <c r="AM1034" s="1">
        <v>0</v>
      </c>
      <c r="AN1034" s="1">
        <v>19941417</v>
      </c>
      <c r="AO1034" s="1">
        <v>1435899</v>
      </c>
      <c r="AP1034" s="1">
        <v>18505518</v>
      </c>
      <c r="AQ1034" s="1">
        <v>3988283</v>
      </c>
      <c r="AR1034" s="1">
        <v>598243</v>
      </c>
      <c r="AS1034" s="1">
        <v>0</v>
      </c>
      <c r="AT1034" s="1">
        <f t="shared" si="111"/>
        <v>24527943</v>
      </c>
    </row>
    <row r="1035" spans="1:46" x14ac:dyDescent="0.2">
      <c r="A1035" s="1" t="str">
        <f>"01319"</f>
        <v>01319</v>
      </c>
      <c r="B1035" s="1" t="str">
        <f>"رضا"</f>
        <v>رضا</v>
      </c>
      <c r="C1035" s="1" t="str">
        <f>"عاليبري"</f>
        <v>عاليبري</v>
      </c>
      <c r="D1035" s="1" t="str">
        <f t="shared" ref="D1035:D1053" si="113">"قراردادي بهره بردار"</f>
        <v>قراردادي بهره بردار</v>
      </c>
      <c r="E1035" s="1" t="str">
        <f t="shared" si="112"/>
        <v>پروژه تعميرات نيروگاه بوشهر</v>
      </c>
      <c r="F1035" s="1">
        <v>6743141</v>
      </c>
      <c r="G1035" s="1">
        <v>1949591</v>
      </c>
      <c r="H1035" s="1">
        <v>0</v>
      </c>
      <c r="I1035" s="1">
        <v>3048404</v>
      </c>
      <c r="J1035" s="1">
        <v>0</v>
      </c>
      <c r="K1035" s="1">
        <v>3465000</v>
      </c>
      <c r="L1035" s="1">
        <v>0</v>
      </c>
      <c r="M1035" s="1">
        <v>400000</v>
      </c>
      <c r="N1035" s="1">
        <v>720867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1174818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514906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720867</v>
      </c>
      <c r="AM1035" s="1">
        <v>0</v>
      </c>
      <c r="AN1035" s="1">
        <v>19837594</v>
      </c>
      <c r="AO1035" s="1">
        <v>1428632</v>
      </c>
      <c r="AP1035" s="1">
        <v>18408962</v>
      </c>
      <c r="AQ1035" s="1">
        <v>3967519</v>
      </c>
      <c r="AR1035" s="1">
        <v>595128</v>
      </c>
      <c r="AS1035" s="1">
        <v>0</v>
      </c>
      <c r="AT1035" s="1">
        <f t="shared" si="111"/>
        <v>24400241</v>
      </c>
    </row>
    <row r="1036" spans="1:46" x14ac:dyDescent="0.2">
      <c r="A1036" s="1" t="str">
        <f>"01320"</f>
        <v>01320</v>
      </c>
      <c r="B1036" s="1" t="str">
        <f>"حسين"</f>
        <v>حسين</v>
      </c>
      <c r="C1036" s="1" t="str">
        <f>"عباسي"</f>
        <v>عباسي</v>
      </c>
      <c r="D1036" s="1" t="str">
        <f t="shared" si="113"/>
        <v>قراردادي بهره بردار</v>
      </c>
      <c r="E1036" s="1" t="str">
        <f t="shared" si="112"/>
        <v>پروژه تعميرات نيروگاه بوشهر</v>
      </c>
      <c r="F1036" s="1">
        <v>10325436</v>
      </c>
      <c r="G1036" s="1">
        <v>0</v>
      </c>
      <c r="H1036" s="1">
        <v>0</v>
      </c>
      <c r="I1036" s="1">
        <v>4648061</v>
      </c>
      <c r="J1036" s="1">
        <v>0</v>
      </c>
      <c r="K1036" s="1">
        <v>4125000</v>
      </c>
      <c r="L1036" s="1">
        <v>0</v>
      </c>
      <c r="M1036" s="1">
        <v>400000</v>
      </c>
      <c r="N1036" s="1">
        <v>1070594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1772644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764710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917652</v>
      </c>
      <c r="AM1036" s="1">
        <v>0</v>
      </c>
      <c r="AN1036" s="1">
        <v>25124097</v>
      </c>
      <c r="AO1036" s="1">
        <v>1850848</v>
      </c>
      <c r="AP1036" s="1">
        <v>23273249</v>
      </c>
      <c r="AQ1036" s="1">
        <v>5024819</v>
      </c>
      <c r="AR1036" s="1">
        <v>753723</v>
      </c>
      <c r="AS1036" s="1">
        <v>0</v>
      </c>
      <c r="AT1036" s="1">
        <f t="shared" si="111"/>
        <v>30902639</v>
      </c>
    </row>
    <row r="1037" spans="1:46" x14ac:dyDescent="0.2">
      <c r="A1037" s="1" t="str">
        <f>"01321"</f>
        <v>01321</v>
      </c>
      <c r="B1037" s="1" t="str">
        <f>"ابراهيم"</f>
        <v>ابراهيم</v>
      </c>
      <c r="C1037" s="1" t="str">
        <f>"عباسيان"</f>
        <v>عباسيان</v>
      </c>
      <c r="D1037" s="1" t="str">
        <f t="shared" si="113"/>
        <v>قراردادي بهره بردار</v>
      </c>
      <c r="E1037" s="1" t="str">
        <f t="shared" si="112"/>
        <v>پروژه تعميرات نيروگاه بوشهر</v>
      </c>
      <c r="F1037" s="1">
        <v>10544603</v>
      </c>
      <c r="G1037" s="1">
        <v>3025923</v>
      </c>
      <c r="H1037" s="1">
        <v>0</v>
      </c>
      <c r="I1037" s="1">
        <v>4731368</v>
      </c>
      <c r="J1037" s="1">
        <v>0</v>
      </c>
      <c r="K1037" s="1">
        <v>5500000</v>
      </c>
      <c r="L1037" s="1">
        <v>0</v>
      </c>
      <c r="M1037" s="1">
        <v>400000</v>
      </c>
      <c r="N1037" s="1">
        <v>1150396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1823414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821711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986053</v>
      </c>
      <c r="AM1037" s="1">
        <v>0</v>
      </c>
      <c r="AN1037" s="1">
        <v>30083468</v>
      </c>
      <c r="AO1037" s="1">
        <v>2684023</v>
      </c>
      <c r="AP1037" s="1">
        <v>27399445</v>
      </c>
      <c r="AQ1037" s="1">
        <v>6016694</v>
      </c>
      <c r="AR1037" s="1">
        <v>902504</v>
      </c>
      <c r="AS1037" s="1">
        <v>0</v>
      </c>
      <c r="AT1037" s="1">
        <f t="shared" si="111"/>
        <v>37002666</v>
      </c>
    </row>
    <row r="1038" spans="1:46" x14ac:dyDescent="0.2">
      <c r="A1038" s="1" t="str">
        <f>"01322"</f>
        <v>01322</v>
      </c>
      <c r="B1038" s="1" t="str">
        <f>"ميثم"</f>
        <v>ميثم</v>
      </c>
      <c r="C1038" s="1" t="str">
        <f>"علمداري"</f>
        <v>علمداري</v>
      </c>
      <c r="D1038" s="1" t="str">
        <f t="shared" si="113"/>
        <v>قراردادي بهره بردار</v>
      </c>
      <c r="E1038" s="1" t="str">
        <f t="shared" si="112"/>
        <v>پروژه تعميرات نيروگاه بوشهر</v>
      </c>
      <c r="F1038" s="1">
        <v>6904162</v>
      </c>
      <c r="G1038" s="1">
        <v>2020876</v>
      </c>
      <c r="H1038" s="1">
        <v>0</v>
      </c>
      <c r="I1038" s="1">
        <v>3159865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778739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1217775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556241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778739</v>
      </c>
      <c r="AM1038" s="1">
        <v>0</v>
      </c>
      <c r="AN1038" s="1">
        <v>20381397</v>
      </c>
      <c r="AO1038" s="1">
        <v>1466698</v>
      </c>
      <c r="AP1038" s="1">
        <v>18914699</v>
      </c>
      <c r="AQ1038" s="1">
        <v>4076279</v>
      </c>
      <c r="AR1038" s="1">
        <v>611442</v>
      </c>
      <c r="AS1038" s="1">
        <v>0</v>
      </c>
      <c r="AT1038" s="1">
        <f t="shared" si="111"/>
        <v>25069118</v>
      </c>
    </row>
    <row r="1039" spans="1:46" x14ac:dyDescent="0.2">
      <c r="A1039" s="1" t="str">
        <f>"01324"</f>
        <v>01324</v>
      </c>
      <c r="B1039" s="1" t="str">
        <f>"نعمت الله"</f>
        <v>نعمت الله</v>
      </c>
      <c r="C1039" s="1" t="str">
        <f>"فقيه"</f>
        <v>فقيه</v>
      </c>
      <c r="D1039" s="1" t="str">
        <f t="shared" si="113"/>
        <v>قراردادي بهره بردار</v>
      </c>
      <c r="E1039" s="1" t="str">
        <f t="shared" si="112"/>
        <v>پروژه تعميرات نيروگاه بوشهر</v>
      </c>
      <c r="F1039" s="1">
        <v>7050505</v>
      </c>
      <c r="G1039" s="1">
        <v>2085655</v>
      </c>
      <c r="H1039" s="1">
        <v>0</v>
      </c>
      <c r="I1039" s="1">
        <v>3261155</v>
      </c>
      <c r="J1039" s="1">
        <v>0</v>
      </c>
      <c r="K1039" s="1">
        <v>4620000</v>
      </c>
      <c r="L1039" s="1">
        <v>0</v>
      </c>
      <c r="M1039" s="1">
        <v>400000</v>
      </c>
      <c r="N1039" s="1">
        <v>831322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1256811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593801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831322</v>
      </c>
      <c r="AM1039" s="1">
        <v>0</v>
      </c>
      <c r="AN1039" s="1">
        <v>22030571</v>
      </c>
      <c r="AO1039" s="1">
        <v>1582140</v>
      </c>
      <c r="AP1039" s="1">
        <v>20448431</v>
      </c>
      <c r="AQ1039" s="1">
        <v>4406114</v>
      </c>
      <c r="AR1039" s="1">
        <v>660917</v>
      </c>
      <c r="AS1039" s="1">
        <v>0</v>
      </c>
      <c r="AT1039" s="1">
        <f t="shared" si="111"/>
        <v>27097602</v>
      </c>
    </row>
    <row r="1040" spans="1:46" x14ac:dyDescent="0.2">
      <c r="A1040" s="1" t="str">
        <f>"01325"</f>
        <v>01325</v>
      </c>
      <c r="B1040" s="1" t="str">
        <f>"حسين"</f>
        <v>حسين</v>
      </c>
      <c r="C1040" s="1" t="str">
        <f>"قديريان"</f>
        <v>قديريان</v>
      </c>
      <c r="D1040" s="1" t="str">
        <f t="shared" si="113"/>
        <v>قراردادي بهره بردار</v>
      </c>
      <c r="E1040" s="1" t="str">
        <f t="shared" si="112"/>
        <v>پروژه تعميرات نيروگاه بوشهر</v>
      </c>
      <c r="F1040" s="1">
        <v>10529772</v>
      </c>
      <c r="G1040" s="1">
        <v>3030789</v>
      </c>
      <c r="H1040" s="1">
        <v>0</v>
      </c>
      <c r="I1040" s="1">
        <v>4788868</v>
      </c>
      <c r="J1040" s="1">
        <v>0</v>
      </c>
      <c r="K1040" s="1">
        <v>5500000</v>
      </c>
      <c r="L1040" s="1">
        <v>0</v>
      </c>
      <c r="M1040" s="1">
        <v>400000</v>
      </c>
      <c r="N1040" s="1">
        <v>1145206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1826346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818004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981606</v>
      </c>
      <c r="AM1040" s="1">
        <v>0</v>
      </c>
      <c r="AN1040" s="1">
        <v>30120591</v>
      </c>
      <c r="AO1040" s="1">
        <v>2695000</v>
      </c>
      <c r="AP1040" s="1">
        <v>27425591</v>
      </c>
      <c r="AQ1040" s="1">
        <v>6024118</v>
      </c>
      <c r="AR1040" s="1">
        <v>903618</v>
      </c>
      <c r="AS1040" s="1">
        <v>0</v>
      </c>
      <c r="AT1040" s="1">
        <f t="shared" si="111"/>
        <v>37048327</v>
      </c>
    </row>
    <row r="1041" spans="1:46" x14ac:dyDescent="0.2">
      <c r="A1041" s="1" t="str">
        <f>"01326"</f>
        <v>01326</v>
      </c>
      <c r="B1041" s="1" t="str">
        <f>"مسعود"</f>
        <v>مسعود</v>
      </c>
      <c r="C1041" s="1" t="str">
        <f>"قرباني"</f>
        <v>قرباني</v>
      </c>
      <c r="D1041" s="1" t="str">
        <f t="shared" si="113"/>
        <v>قراردادي بهره بردار</v>
      </c>
      <c r="E1041" s="1" t="str">
        <f t="shared" si="112"/>
        <v>پروژه تعميرات نيروگاه بوشهر</v>
      </c>
      <c r="F1041" s="1">
        <v>7169120</v>
      </c>
      <c r="G1041" s="1">
        <v>2138225</v>
      </c>
      <c r="H1041" s="1">
        <v>0</v>
      </c>
      <c r="I1041" s="1">
        <v>3343353</v>
      </c>
      <c r="J1041" s="1">
        <v>0</v>
      </c>
      <c r="K1041" s="1">
        <v>3465000</v>
      </c>
      <c r="L1041" s="1">
        <v>0</v>
      </c>
      <c r="M1041" s="1">
        <v>400000</v>
      </c>
      <c r="N1041" s="1">
        <v>874046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1288488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624320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874046</v>
      </c>
      <c r="AM1041" s="1">
        <v>0</v>
      </c>
      <c r="AN1041" s="1">
        <v>21276598</v>
      </c>
      <c r="AO1041" s="1">
        <v>1529362</v>
      </c>
      <c r="AP1041" s="1">
        <v>19747236</v>
      </c>
      <c r="AQ1041" s="1">
        <v>4255320</v>
      </c>
      <c r="AR1041" s="1">
        <v>638298</v>
      </c>
      <c r="AS1041" s="1">
        <v>0</v>
      </c>
      <c r="AT1041" s="1">
        <f t="shared" si="111"/>
        <v>26170216</v>
      </c>
    </row>
    <row r="1042" spans="1:46" x14ac:dyDescent="0.2">
      <c r="A1042" s="1" t="str">
        <f>"01327"</f>
        <v>01327</v>
      </c>
      <c r="B1042" s="1" t="str">
        <f>"سجاد"</f>
        <v>سجاد</v>
      </c>
      <c r="C1042" s="1" t="str">
        <f>"قنبري"</f>
        <v>قنبري</v>
      </c>
      <c r="D1042" s="1" t="str">
        <f t="shared" si="113"/>
        <v>قراردادي بهره بردار</v>
      </c>
      <c r="E1042" s="1" t="str">
        <f t="shared" si="112"/>
        <v>پروژه تعميرات نيروگاه بوشهر</v>
      </c>
      <c r="F1042" s="1">
        <v>10375464</v>
      </c>
      <c r="G1042" s="1">
        <v>2952398</v>
      </c>
      <c r="H1042" s="1">
        <v>0</v>
      </c>
      <c r="I1042" s="1">
        <v>4616405</v>
      </c>
      <c r="J1042" s="1">
        <v>0</v>
      </c>
      <c r="K1042" s="1">
        <v>4125000</v>
      </c>
      <c r="L1042" s="1">
        <v>0</v>
      </c>
      <c r="M1042" s="1">
        <v>400000</v>
      </c>
      <c r="N1042" s="1">
        <v>1088579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1779107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777557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933068</v>
      </c>
      <c r="AM1042" s="1">
        <v>0</v>
      </c>
      <c r="AN1042" s="1">
        <v>28147578</v>
      </c>
      <c r="AO1042" s="1">
        <v>2358793</v>
      </c>
      <c r="AP1042" s="1">
        <v>25788785</v>
      </c>
      <c r="AQ1042" s="1">
        <v>5629516</v>
      </c>
      <c r="AR1042" s="1">
        <v>844427</v>
      </c>
      <c r="AS1042" s="1">
        <v>0</v>
      </c>
      <c r="AT1042" s="1">
        <f t="shared" si="111"/>
        <v>34621521</v>
      </c>
    </row>
    <row r="1043" spans="1:46" x14ac:dyDescent="0.2">
      <c r="A1043" s="1" t="str">
        <f>"01328"</f>
        <v>01328</v>
      </c>
      <c r="B1043" s="1" t="str">
        <f>"رامين"</f>
        <v>رامين</v>
      </c>
      <c r="C1043" s="1" t="str">
        <f>"كاوسي"</f>
        <v>كاوسي</v>
      </c>
      <c r="D1043" s="1" t="str">
        <f t="shared" si="113"/>
        <v>قراردادي بهره بردار</v>
      </c>
      <c r="E1043" s="1" t="str">
        <f t="shared" si="112"/>
        <v>پروژه تعميرات نيروگاه بوشهر</v>
      </c>
      <c r="F1043" s="1">
        <v>7036136</v>
      </c>
      <c r="G1043" s="1">
        <v>2079283</v>
      </c>
      <c r="H1043" s="1">
        <v>0</v>
      </c>
      <c r="I1043" s="1">
        <v>3251192</v>
      </c>
      <c r="J1043" s="1">
        <v>0</v>
      </c>
      <c r="K1043" s="1">
        <v>3465000</v>
      </c>
      <c r="L1043" s="1">
        <v>0</v>
      </c>
      <c r="M1043" s="1">
        <v>400000</v>
      </c>
      <c r="N1043" s="1">
        <v>826140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1252970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590100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826140</v>
      </c>
      <c r="AM1043" s="1">
        <v>0</v>
      </c>
      <c r="AN1043" s="1">
        <v>20826961</v>
      </c>
      <c r="AO1043" s="1">
        <v>1497887</v>
      </c>
      <c r="AP1043" s="1">
        <v>19329074</v>
      </c>
      <c r="AQ1043" s="1">
        <v>4165392</v>
      </c>
      <c r="AR1043" s="1">
        <v>624809</v>
      </c>
      <c r="AS1043" s="1">
        <v>0</v>
      </c>
      <c r="AT1043" s="1">
        <f t="shared" si="111"/>
        <v>25617162</v>
      </c>
    </row>
    <row r="1044" spans="1:46" x14ac:dyDescent="0.2">
      <c r="A1044" s="1" t="str">
        <f>"01329"</f>
        <v>01329</v>
      </c>
      <c r="B1044" s="1" t="str">
        <f>"مجتبي"</f>
        <v>مجتبي</v>
      </c>
      <c r="C1044" s="1" t="str">
        <f>"كيايي"</f>
        <v>كيايي</v>
      </c>
      <c r="D1044" s="1" t="str">
        <f t="shared" si="113"/>
        <v>قراردادي بهره بردار</v>
      </c>
      <c r="E1044" s="1" t="str">
        <f t="shared" si="112"/>
        <v>پروژه تعميرات نيروگاه بوشهر</v>
      </c>
      <c r="F1044" s="1">
        <v>6804577</v>
      </c>
      <c r="G1044" s="1">
        <v>1976807</v>
      </c>
      <c r="H1044" s="1">
        <v>0</v>
      </c>
      <c r="I1044" s="1">
        <v>3090958</v>
      </c>
      <c r="J1044" s="1">
        <v>0</v>
      </c>
      <c r="K1044" s="1">
        <v>3465000</v>
      </c>
      <c r="L1044" s="1">
        <v>0</v>
      </c>
      <c r="M1044" s="1">
        <v>400000</v>
      </c>
      <c r="N1044" s="1">
        <v>742976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1191219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530697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742976</v>
      </c>
      <c r="AM1044" s="1">
        <v>0</v>
      </c>
      <c r="AN1044" s="1">
        <v>20045210</v>
      </c>
      <c r="AO1044" s="1">
        <v>1443165</v>
      </c>
      <c r="AP1044" s="1">
        <v>18602045</v>
      </c>
      <c r="AQ1044" s="1">
        <v>4009042</v>
      </c>
      <c r="AR1044" s="1">
        <v>601356</v>
      </c>
      <c r="AS1044" s="1">
        <v>0</v>
      </c>
      <c r="AT1044" s="1">
        <f t="shared" si="111"/>
        <v>24655608</v>
      </c>
    </row>
    <row r="1045" spans="1:46" x14ac:dyDescent="0.2">
      <c r="A1045" s="1" t="str">
        <f>"01330"</f>
        <v>01330</v>
      </c>
      <c r="B1045" s="1" t="str">
        <f>"حسن"</f>
        <v>حسن</v>
      </c>
      <c r="C1045" s="1" t="str">
        <f>"محقق نژاد"</f>
        <v>محقق نژاد</v>
      </c>
      <c r="D1045" s="1" t="str">
        <f t="shared" si="113"/>
        <v>قراردادي بهره بردار</v>
      </c>
      <c r="E1045" s="1" t="str">
        <f t="shared" si="112"/>
        <v>پروژه تعميرات نيروگاه بوشهر</v>
      </c>
      <c r="F1045" s="1">
        <v>10540895</v>
      </c>
      <c r="G1045" s="1">
        <v>3024344</v>
      </c>
      <c r="H1045" s="1">
        <v>0</v>
      </c>
      <c r="I1045" s="1">
        <v>4728900</v>
      </c>
      <c r="J1045" s="1">
        <v>0</v>
      </c>
      <c r="K1045" s="1">
        <v>4125000</v>
      </c>
      <c r="L1045" s="1">
        <v>0</v>
      </c>
      <c r="M1045" s="1">
        <v>400000</v>
      </c>
      <c r="N1045" s="1">
        <v>1149098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1822462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820785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984942</v>
      </c>
      <c r="AM1045" s="1">
        <v>0</v>
      </c>
      <c r="AN1045" s="1">
        <v>28696426</v>
      </c>
      <c r="AO1045" s="1">
        <v>2451000</v>
      </c>
      <c r="AP1045" s="1">
        <v>26245426</v>
      </c>
      <c r="AQ1045" s="1">
        <v>5739285</v>
      </c>
      <c r="AR1045" s="1">
        <v>860893</v>
      </c>
      <c r="AS1045" s="1">
        <v>0</v>
      </c>
      <c r="AT1045" s="1">
        <f t="shared" si="111"/>
        <v>35296604</v>
      </c>
    </row>
    <row r="1046" spans="1:46" x14ac:dyDescent="0.2">
      <c r="A1046" s="1" t="str">
        <f>"01331"</f>
        <v>01331</v>
      </c>
      <c r="B1046" s="1" t="str">
        <f>"آرمين"</f>
        <v>آرمين</v>
      </c>
      <c r="C1046" s="1" t="str">
        <f>"محمودي"</f>
        <v>محمودي</v>
      </c>
      <c r="D1046" s="1" t="str">
        <f t="shared" si="113"/>
        <v>قراردادي بهره بردار</v>
      </c>
      <c r="E1046" s="1" t="str">
        <f t="shared" si="112"/>
        <v>پروژه تعميرات نيروگاه بوشهر</v>
      </c>
      <c r="F1046" s="1">
        <v>10469791</v>
      </c>
      <c r="G1046" s="1">
        <v>2993605</v>
      </c>
      <c r="H1046" s="1">
        <v>0</v>
      </c>
      <c r="I1046" s="1">
        <v>4681826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1123022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1803938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802158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962590</v>
      </c>
      <c r="AM1046" s="1">
        <v>0</v>
      </c>
      <c r="AN1046" s="1">
        <v>28461930</v>
      </c>
      <c r="AO1046" s="1">
        <v>3566452</v>
      </c>
      <c r="AP1046" s="1">
        <v>24895478</v>
      </c>
      <c r="AQ1046" s="1">
        <v>5692386</v>
      </c>
      <c r="AR1046" s="1">
        <v>853858</v>
      </c>
      <c r="AS1046" s="1">
        <v>0</v>
      </c>
      <c r="AT1046" s="1">
        <f t="shared" si="111"/>
        <v>35008174</v>
      </c>
    </row>
    <row r="1047" spans="1:46" x14ac:dyDescent="0.2">
      <c r="A1047" s="1" t="str">
        <f>"01332"</f>
        <v>01332</v>
      </c>
      <c r="B1047" s="1" t="str">
        <f>"فرامرز"</f>
        <v>فرامرز</v>
      </c>
      <c r="C1047" s="1" t="str">
        <f>"مقتدربهاري"</f>
        <v>مقتدربهاري</v>
      </c>
      <c r="D1047" s="1" t="str">
        <f t="shared" si="113"/>
        <v>قراردادي بهره بردار</v>
      </c>
      <c r="E1047" s="1" t="str">
        <f t="shared" si="112"/>
        <v>پروژه تعميرات نيروگاه بوشهر</v>
      </c>
      <c r="F1047" s="1">
        <v>10379175</v>
      </c>
      <c r="G1047" s="1">
        <v>2953978</v>
      </c>
      <c r="H1047" s="1">
        <v>0</v>
      </c>
      <c r="I1047" s="1">
        <v>4618875</v>
      </c>
      <c r="J1047" s="1">
        <v>0</v>
      </c>
      <c r="K1047" s="1">
        <v>5500000</v>
      </c>
      <c r="L1047" s="1">
        <v>0</v>
      </c>
      <c r="M1047" s="1">
        <v>400000</v>
      </c>
      <c r="N1047" s="1">
        <v>1089878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1780061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778485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934182</v>
      </c>
      <c r="AM1047" s="1">
        <v>0</v>
      </c>
      <c r="AN1047" s="1">
        <v>29534634</v>
      </c>
      <c r="AO1047" s="1">
        <v>3220744</v>
      </c>
      <c r="AP1047" s="1">
        <v>26313890</v>
      </c>
      <c r="AQ1047" s="1">
        <v>5906927</v>
      </c>
      <c r="AR1047" s="1">
        <v>886039</v>
      </c>
      <c r="AS1047" s="1">
        <v>0</v>
      </c>
      <c r="AT1047" s="1">
        <f t="shared" si="111"/>
        <v>36327600</v>
      </c>
    </row>
    <row r="1048" spans="1:46" x14ac:dyDescent="0.2">
      <c r="A1048" s="1" t="str">
        <f>"01333"</f>
        <v>01333</v>
      </c>
      <c r="B1048" s="1" t="str">
        <f>"حسين"</f>
        <v>حسين</v>
      </c>
      <c r="C1048" s="1" t="str">
        <f>"منصوري"</f>
        <v>منصوري</v>
      </c>
      <c r="D1048" s="1" t="str">
        <f t="shared" si="113"/>
        <v>قراردادي بهره بردار</v>
      </c>
      <c r="E1048" s="1" t="str">
        <f t="shared" si="112"/>
        <v>پروژه تعميرات نيروگاه بوشهر</v>
      </c>
      <c r="F1048" s="1">
        <v>6956729</v>
      </c>
      <c r="G1048" s="1">
        <v>2044275</v>
      </c>
      <c r="H1048" s="1">
        <v>0</v>
      </c>
      <c r="I1048" s="1">
        <v>3197127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797591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1231875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569708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797591</v>
      </c>
      <c r="AM1048" s="1">
        <v>0</v>
      </c>
      <c r="AN1048" s="1">
        <v>20559896</v>
      </c>
      <c r="AO1048" s="1">
        <v>1479193</v>
      </c>
      <c r="AP1048" s="1">
        <v>19080703</v>
      </c>
      <c r="AQ1048" s="1">
        <v>4111979</v>
      </c>
      <c r="AR1048" s="1">
        <v>616797</v>
      </c>
      <c r="AS1048" s="1">
        <v>0</v>
      </c>
      <c r="AT1048" s="1">
        <f t="shared" si="111"/>
        <v>25288672</v>
      </c>
    </row>
    <row r="1049" spans="1:46" x14ac:dyDescent="0.2">
      <c r="A1049" s="1" t="str">
        <f>"01334"</f>
        <v>01334</v>
      </c>
      <c r="B1049" s="1" t="str">
        <f>"حسين"</f>
        <v>حسين</v>
      </c>
      <c r="C1049" s="1" t="str">
        <f>"منفرد"</f>
        <v>منفرد</v>
      </c>
      <c r="D1049" s="1" t="str">
        <f t="shared" si="113"/>
        <v>قراردادي بهره بردار</v>
      </c>
      <c r="E1049" s="1" t="str">
        <f t="shared" si="112"/>
        <v>پروژه تعميرات نيروگاه بوشهر</v>
      </c>
      <c r="F1049" s="1">
        <v>6766968</v>
      </c>
      <c r="G1049" s="1">
        <v>1960095</v>
      </c>
      <c r="H1049" s="1">
        <v>0</v>
      </c>
      <c r="I1049" s="1">
        <v>3064828</v>
      </c>
      <c r="J1049" s="1">
        <v>0</v>
      </c>
      <c r="K1049" s="1">
        <v>3465000</v>
      </c>
      <c r="L1049" s="1">
        <v>0</v>
      </c>
      <c r="M1049" s="1">
        <v>400000</v>
      </c>
      <c r="N1049" s="1">
        <v>729359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1181149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520970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729359</v>
      </c>
      <c r="AM1049" s="1">
        <v>0</v>
      </c>
      <c r="AN1049" s="1">
        <v>19917728</v>
      </c>
      <c r="AO1049" s="1">
        <v>1434241</v>
      </c>
      <c r="AP1049" s="1">
        <v>18483487</v>
      </c>
      <c r="AQ1049" s="1">
        <v>3983546</v>
      </c>
      <c r="AR1049" s="1">
        <v>597532</v>
      </c>
      <c r="AS1049" s="1">
        <v>0</v>
      </c>
      <c r="AT1049" s="1">
        <f t="shared" si="111"/>
        <v>24498806</v>
      </c>
    </row>
    <row r="1050" spans="1:46" x14ac:dyDescent="0.2">
      <c r="A1050" s="1" t="str">
        <f>"01336"</f>
        <v>01336</v>
      </c>
      <c r="B1050" s="1" t="str">
        <f>"علي"</f>
        <v>علي</v>
      </c>
      <c r="C1050" s="1" t="str">
        <f>"نعمتي"</f>
        <v>نعمتي</v>
      </c>
      <c r="D1050" s="1" t="str">
        <f t="shared" si="113"/>
        <v>قراردادي بهره بردار</v>
      </c>
      <c r="E1050" s="1" t="str">
        <f t="shared" si="112"/>
        <v>پروژه تعميرات نيروگاه بوشهر</v>
      </c>
      <c r="F1050" s="1">
        <v>10321800</v>
      </c>
      <c r="G1050" s="1">
        <v>2929000</v>
      </c>
      <c r="H1050" s="1">
        <v>0</v>
      </c>
      <c r="I1050" s="1">
        <v>4579818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1068845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1765008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763460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916154</v>
      </c>
      <c r="AM1050" s="1">
        <v>0</v>
      </c>
      <c r="AN1050" s="1">
        <v>27969085</v>
      </c>
      <c r="AO1050" s="1">
        <v>2328805</v>
      </c>
      <c r="AP1050" s="1">
        <v>25640280</v>
      </c>
      <c r="AQ1050" s="1">
        <v>5593817</v>
      </c>
      <c r="AR1050" s="1">
        <v>839073</v>
      </c>
      <c r="AS1050" s="1">
        <v>0</v>
      </c>
      <c r="AT1050" s="1">
        <f t="shared" si="111"/>
        <v>34401975</v>
      </c>
    </row>
    <row r="1051" spans="1:46" x14ac:dyDescent="0.2">
      <c r="A1051" s="1" t="str">
        <f>"01337"</f>
        <v>01337</v>
      </c>
      <c r="B1051" s="1" t="str">
        <f>"محمد"</f>
        <v>محمد</v>
      </c>
      <c r="C1051" s="1" t="str">
        <f>"نوروزي"</f>
        <v>نوروزي</v>
      </c>
      <c r="D1051" s="1" t="str">
        <f t="shared" si="113"/>
        <v>قراردادي بهره بردار</v>
      </c>
      <c r="E1051" s="1" t="str">
        <f t="shared" si="112"/>
        <v>پروژه تعميرات نيروگاه بوشهر</v>
      </c>
      <c r="F1051" s="1">
        <v>5470367</v>
      </c>
      <c r="G1051" s="1">
        <v>2156842</v>
      </c>
      <c r="H1051" s="1">
        <v>0</v>
      </c>
      <c r="I1051" s="1">
        <v>2558962</v>
      </c>
      <c r="J1051" s="1">
        <v>0</v>
      </c>
      <c r="K1051" s="1">
        <v>2628621</v>
      </c>
      <c r="L1051" s="1">
        <v>0</v>
      </c>
      <c r="M1051" s="1">
        <v>303448</v>
      </c>
      <c r="N1051" s="1">
        <v>674403</v>
      </c>
      <c r="O1051" s="1">
        <v>0</v>
      </c>
      <c r="P1051" s="1">
        <v>0</v>
      </c>
      <c r="Q1051" s="1">
        <v>0</v>
      </c>
      <c r="R1051" s="1">
        <v>4315939</v>
      </c>
      <c r="S1051" s="1">
        <v>0</v>
      </c>
      <c r="T1051" s="1">
        <v>0</v>
      </c>
      <c r="U1051" s="1">
        <v>0</v>
      </c>
      <c r="V1051" s="1">
        <v>985985</v>
      </c>
      <c r="W1051" s="1">
        <v>834483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481716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674403</v>
      </c>
      <c r="AM1051" s="1">
        <v>0</v>
      </c>
      <c r="AN1051" s="1">
        <v>21085169</v>
      </c>
      <c r="AO1051" s="1">
        <v>1205846</v>
      </c>
      <c r="AP1051" s="1">
        <v>19879323</v>
      </c>
      <c r="AQ1051" s="1">
        <v>3353846</v>
      </c>
      <c r="AR1051" s="1">
        <v>503077</v>
      </c>
      <c r="AS1051" s="1">
        <v>0</v>
      </c>
      <c r="AT1051" s="1">
        <f t="shared" si="111"/>
        <v>24942092</v>
      </c>
    </row>
    <row r="1052" spans="1:46" x14ac:dyDescent="0.2">
      <c r="A1052" s="1" t="str">
        <f>"01338"</f>
        <v>01338</v>
      </c>
      <c r="B1052" s="1" t="str">
        <f>"عباس"</f>
        <v>عباس</v>
      </c>
      <c r="C1052" s="1" t="str">
        <f>"نياکان"</f>
        <v>نياکان</v>
      </c>
      <c r="D1052" s="1" t="str">
        <f t="shared" si="113"/>
        <v>قراردادي بهره بردار</v>
      </c>
      <c r="E1052" s="1" t="str">
        <f t="shared" si="112"/>
        <v>پروژه تعميرات نيروگاه بوشهر</v>
      </c>
      <c r="F1052" s="1">
        <v>10775995</v>
      </c>
      <c r="G1052" s="1">
        <v>3126503</v>
      </c>
      <c r="H1052" s="1">
        <v>0</v>
      </c>
      <c r="I1052" s="1">
        <v>4888637</v>
      </c>
      <c r="J1052" s="1">
        <v>0</v>
      </c>
      <c r="K1052" s="1">
        <v>4125000</v>
      </c>
      <c r="L1052" s="1">
        <v>0</v>
      </c>
      <c r="M1052" s="1">
        <v>400000</v>
      </c>
      <c r="N1052" s="1">
        <v>1234954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1884023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882109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1058532</v>
      </c>
      <c r="AM1052" s="1">
        <v>0</v>
      </c>
      <c r="AN1052" s="1">
        <v>29475753</v>
      </c>
      <c r="AO1052" s="1">
        <v>4136756</v>
      </c>
      <c r="AP1052" s="1">
        <v>25338997</v>
      </c>
      <c r="AQ1052" s="1">
        <v>5895151</v>
      </c>
      <c r="AR1052" s="1">
        <v>884273</v>
      </c>
      <c r="AS1052" s="1">
        <v>0</v>
      </c>
      <c r="AT1052" s="1">
        <f t="shared" si="111"/>
        <v>36255177</v>
      </c>
    </row>
    <row r="1053" spans="1:46" x14ac:dyDescent="0.2">
      <c r="A1053" s="1" t="str">
        <f>"01339"</f>
        <v>01339</v>
      </c>
      <c r="B1053" s="1" t="str">
        <f>"جواد"</f>
        <v>جواد</v>
      </c>
      <c r="C1053" s="1" t="str">
        <f>"نيک پي"</f>
        <v>نيک پي</v>
      </c>
      <c r="D1053" s="1" t="str">
        <f t="shared" si="113"/>
        <v>قراردادي بهره بردار</v>
      </c>
      <c r="E1053" s="1" t="str">
        <f t="shared" si="112"/>
        <v>پروژه تعميرات نيروگاه بوشهر</v>
      </c>
      <c r="F1053" s="1">
        <v>6985495</v>
      </c>
      <c r="G1053" s="1">
        <v>2057030</v>
      </c>
      <c r="H1053" s="1">
        <v>0</v>
      </c>
      <c r="I1053" s="1">
        <v>3217076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807962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1239562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577115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807962</v>
      </c>
      <c r="AM1053" s="1">
        <v>0</v>
      </c>
      <c r="AN1053" s="1">
        <v>20657202</v>
      </c>
      <c r="AO1053" s="1">
        <v>1486004</v>
      </c>
      <c r="AP1053" s="1">
        <v>19171198</v>
      </c>
      <c r="AQ1053" s="1">
        <v>4131440</v>
      </c>
      <c r="AR1053" s="1">
        <v>619716</v>
      </c>
      <c r="AS1053" s="1">
        <v>0</v>
      </c>
      <c r="AT1053" s="1">
        <f t="shared" si="111"/>
        <v>25408358</v>
      </c>
    </row>
    <row r="1054" spans="1:46" x14ac:dyDescent="0.2">
      <c r="A1054" s="1" t="str">
        <f>"01340"</f>
        <v>01340</v>
      </c>
      <c r="B1054" s="1" t="str">
        <f>"فريبرز"</f>
        <v>فريبرز</v>
      </c>
      <c r="C1054" s="1" t="str">
        <f>"اشکني پور جفره"</f>
        <v>اشکني پور جفره</v>
      </c>
      <c r="D1054" s="1" t="str">
        <f>"قراردادي کارگري"</f>
        <v>قراردادي کارگري</v>
      </c>
      <c r="E1054" s="1" t="str">
        <f t="shared" si="112"/>
        <v>پروژه تعميرات نيروگاه بوشهر</v>
      </c>
      <c r="F1054" s="1">
        <v>4925505</v>
      </c>
      <c r="G1054" s="1">
        <v>0</v>
      </c>
      <c r="H1054" s="1">
        <v>0</v>
      </c>
      <c r="I1054" s="1">
        <v>2955303</v>
      </c>
      <c r="J1054" s="1">
        <v>0</v>
      </c>
      <c r="K1054" s="1">
        <v>0</v>
      </c>
      <c r="L1054" s="1">
        <v>3500010</v>
      </c>
      <c r="M1054" s="1">
        <v>400000</v>
      </c>
      <c r="N1054" s="1">
        <v>2626936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1545775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17053529</v>
      </c>
      <c r="AO1054" s="1">
        <v>1233747</v>
      </c>
      <c r="AP1054" s="1">
        <v>15819782</v>
      </c>
      <c r="AQ1054" s="1">
        <v>3410706</v>
      </c>
      <c r="AR1054" s="1">
        <v>511606</v>
      </c>
      <c r="AS1054" s="1">
        <v>0</v>
      </c>
      <c r="AT1054" s="1">
        <f t="shared" si="111"/>
        <v>20975841</v>
      </c>
    </row>
    <row r="1055" spans="1:46" x14ac:dyDescent="0.2">
      <c r="A1055" s="1" t="str">
        <f>"01341"</f>
        <v>01341</v>
      </c>
      <c r="B1055" s="1" t="str">
        <f>"محسن"</f>
        <v>محسن</v>
      </c>
      <c r="C1055" s="1" t="str">
        <f>"ابراهيمي"</f>
        <v>ابراهيمي</v>
      </c>
      <c r="D1055" s="1" t="str">
        <f t="shared" ref="D1055:D1096" si="114">"قراردادي بهره بردار"</f>
        <v>قراردادي بهره بردار</v>
      </c>
      <c r="E1055" s="1" t="str">
        <f t="shared" ref="E1055:E1062" si="115">"پروژه بهره برداري نيروگاه بوشهر"</f>
        <v>پروژه بهره برداري نيروگاه بوشهر</v>
      </c>
      <c r="F1055" s="1">
        <v>12826480</v>
      </c>
      <c r="G1055" s="1">
        <v>9288976</v>
      </c>
      <c r="H1055" s="1">
        <v>0</v>
      </c>
      <c r="I1055" s="1">
        <v>8354167</v>
      </c>
      <c r="J1055" s="1">
        <v>0</v>
      </c>
      <c r="K1055" s="1">
        <v>4125000</v>
      </c>
      <c r="L1055" s="1">
        <v>0</v>
      </c>
      <c r="M1055" s="1">
        <v>400000</v>
      </c>
      <c r="N1055" s="1">
        <v>1699004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2603494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1213575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1941719</v>
      </c>
      <c r="AM1055" s="1">
        <v>0</v>
      </c>
      <c r="AN1055" s="1">
        <v>43552415</v>
      </c>
      <c r="AO1055" s="1">
        <v>4946806</v>
      </c>
      <c r="AP1055" s="1">
        <v>38605609</v>
      </c>
      <c r="AQ1055" s="1">
        <v>8710483</v>
      </c>
      <c r="AR1055" s="1">
        <v>1306572</v>
      </c>
      <c r="AS1055" s="1">
        <v>0</v>
      </c>
      <c r="AT1055" s="1">
        <f t="shared" si="111"/>
        <v>53569470</v>
      </c>
    </row>
    <row r="1056" spans="1:46" x14ac:dyDescent="0.2">
      <c r="A1056" s="1" t="str">
        <f>"01342"</f>
        <v>01342</v>
      </c>
      <c r="B1056" s="1" t="str">
        <f>"صادق"</f>
        <v>صادق</v>
      </c>
      <c r="C1056" s="1" t="str">
        <f>"احمدي حبيب آباد"</f>
        <v>احمدي حبيب آباد</v>
      </c>
      <c r="D1056" s="1" t="str">
        <f t="shared" si="114"/>
        <v>قراردادي بهره بردار</v>
      </c>
      <c r="E1056" s="1" t="str">
        <f t="shared" si="115"/>
        <v>پروژه بهره برداري نيروگاه بوشهر</v>
      </c>
      <c r="F1056" s="1">
        <v>7054015</v>
      </c>
      <c r="G1056" s="1">
        <v>3438797</v>
      </c>
      <c r="H1056" s="1">
        <v>0</v>
      </c>
      <c r="I1056" s="1">
        <v>3633822</v>
      </c>
      <c r="J1056" s="1">
        <v>0</v>
      </c>
      <c r="K1056" s="1">
        <v>3465000</v>
      </c>
      <c r="L1056" s="1">
        <v>0</v>
      </c>
      <c r="M1056" s="1">
        <v>400000</v>
      </c>
      <c r="N1056" s="1">
        <v>833911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1295131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595652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833911</v>
      </c>
      <c r="AM1056" s="1">
        <v>0</v>
      </c>
      <c r="AN1056" s="1">
        <v>22650239</v>
      </c>
      <c r="AO1056" s="1">
        <v>2057369</v>
      </c>
      <c r="AP1056" s="1">
        <v>20592870</v>
      </c>
      <c r="AQ1056" s="1">
        <v>4530048</v>
      </c>
      <c r="AR1056" s="1">
        <v>679507</v>
      </c>
      <c r="AS1056" s="1">
        <v>0</v>
      </c>
      <c r="AT1056" s="1">
        <f t="shared" si="111"/>
        <v>27859794</v>
      </c>
    </row>
    <row r="1057" spans="1:46" x14ac:dyDescent="0.2">
      <c r="A1057" s="1" t="str">
        <f>"01343"</f>
        <v>01343</v>
      </c>
      <c r="B1057" s="1" t="str">
        <f>"مهدي"</f>
        <v>مهدي</v>
      </c>
      <c r="C1057" s="1" t="str">
        <f>"بنافي"</f>
        <v>بنافي</v>
      </c>
      <c r="D1057" s="1" t="str">
        <f t="shared" si="114"/>
        <v>قراردادي بهره بردار</v>
      </c>
      <c r="E1057" s="1" t="str">
        <f t="shared" si="115"/>
        <v>پروژه بهره برداري نيروگاه بوشهر</v>
      </c>
      <c r="F1057" s="1">
        <v>12395253</v>
      </c>
      <c r="G1057" s="1">
        <v>3745556</v>
      </c>
      <c r="H1057" s="1">
        <v>0</v>
      </c>
      <c r="I1057" s="1">
        <v>5882548</v>
      </c>
      <c r="J1057" s="1">
        <v>0</v>
      </c>
      <c r="K1057" s="1">
        <v>4125000</v>
      </c>
      <c r="L1057" s="1">
        <v>0</v>
      </c>
      <c r="M1057" s="1">
        <v>400000</v>
      </c>
      <c r="N1057" s="1">
        <v>1669431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2257062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1192451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1430941</v>
      </c>
      <c r="AM1057" s="1">
        <v>0</v>
      </c>
      <c r="AN1057" s="1">
        <v>34198242</v>
      </c>
      <c r="AO1057" s="1">
        <v>3377675</v>
      </c>
      <c r="AP1057" s="1">
        <v>30820567</v>
      </c>
      <c r="AQ1057" s="1">
        <v>6839648</v>
      </c>
      <c r="AR1057" s="1">
        <v>1025947</v>
      </c>
      <c r="AS1057" s="1">
        <v>0</v>
      </c>
      <c r="AT1057" s="1">
        <f t="shared" si="111"/>
        <v>42063837</v>
      </c>
    </row>
    <row r="1058" spans="1:46" x14ac:dyDescent="0.2">
      <c r="A1058" s="1" t="str">
        <f>"01344"</f>
        <v>01344</v>
      </c>
      <c r="B1058" s="1" t="str">
        <f>"جمشيد"</f>
        <v>جمشيد</v>
      </c>
      <c r="C1058" s="1" t="str">
        <f>"حيدري"</f>
        <v>حيدري</v>
      </c>
      <c r="D1058" s="1" t="str">
        <f t="shared" si="114"/>
        <v>قراردادي بهره بردار</v>
      </c>
      <c r="E1058" s="1" t="str">
        <f t="shared" si="115"/>
        <v>پروژه بهره برداري نيروگاه بوشهر</v>
      </c>
      <c r="F1058" s="1">
        <v>11887859</v>
      </c>
      <c r="G1058" s="1">
        <v>7060623</v>
      </c>
      <c r="H1058" s="1">
        <v>0</v>
      </c>
      <c r="I1058" s="1">
        <v>7530259</v>
      </c>
      <c r="J1058" s="1">
        <v>0</v>
      </c>
      <c r="K1058" s="1">
        <v>5500000</v>
      </c>
      <c r="L1058" s="1">
        <v>0</v>
      </c>
      <c r="M1058" s="1">
        <v>400000</v>
      </c>
      <c r="N1058" s="1">
        <v>1502707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2431264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1073362</v>
      </c>
      <c r="AF1058" s="1">
        <v>1111269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2318462</v>
      </c>
      <c r="AM1058" s="1">
        <v>0</v>
      </c>
      <c r="AN1058" s="1">
        <v>41915805</v>
      </c>
      <c r="AO1058" s="1">
        <v>5336933</v>
      </c>
      <c r="AP1058" s="1">
        <v>36578872</v>
      </c>
      <c r="AQ1058" s="1">
        <v>8160907</v>
      </c>
      <c r="AR1058" s="1">
        <v>1224136</v>
      </c>
      <c r="AS1058" s="1">
        <v>0</v>
      </c>
      <c r="AT1058" s="1">
        <f t="shared" si="111"/>
        <v>51300848</v>
      </c>
    </row>
    <row r="1059" spans="1:46" x14ac:dyDescent="0.2">
      <c r="A1059" s="1" t="str">
        <f>"01345"</f>
        <v>01345</v>
      </c>
      <c r="B1059" s="1" t="str">
        <f>"وحيد"</f>
        <v>وحيد</v>
      </c>
      <c r="C1059" s="1" t="str">
        <f>"حياتي جعفر بيگي"</f>
        <v>حياتي جعفر بيگي</v>
      </c>
      <c r="D1059" s="1" t="str">
        <f t="shared" si="114"/>
        <v>قراردادي بهره بردار</v>
      </c>
      <c r="E1059" s="1" t="str">
        <f t="shared" si="115"/>
        <v>پروژه بهره برداري نيروگاه بوشهر</v>
      </c>
      <c r="F1059" s="1">
        <v>10599974</v>
      </c>
      <c r="G1059" s="1">
        <v>7459887</v>
      </c>
      <c r="H1059" s="1">
        <v>0</v>
      </c>
      <c r="I1059" s="1">
        <v>6007716</v>
      </c>
      <c r="J1059" s="1">
        <v>0</v>
      </c>
      <c r="K1059" s="1">
        <v>4125000</v>
      </c>
      <c r="L1059" s="1">
        <v>0</v>
      </c>
      <c r="M1059" s="1">
        <v>400000</v>
      </c>
      <c r="N1059" s="1">
        <v>1180011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1997915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842865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1348584</v>
      </c>
      <c r="AM1059" s="1">
        <v>0</v>
      </c>
      <c r="AN1059" s="1">
        <v>35061952</v>
      </c>
      <c r="AO1059" s="1">
        <v>4172024</v>
      </c>
      <c r="AP1059" s="1">
        <v>30889928</v>
      </c>
      <c r="AQ1059" s="1">
        <v>7012390</v>
      </c>
      <c r="AR1059" s="1">
        <v>1051859</v>
      </c>
      <c r="AS1059" s="1">
        <v>0</v>
      </c>
      <c r="AT1059" s="1">
        <f t="shared" si="111"/>
        <v>43126201</v>
      </c>
    </row>
    <row r="1060" spans="1:46" x14ac:dyDescent="0.2">
      <c r="A1060" s="1" t="str">
        <f>"01346"</f>
        <v>01346</v>
      </c>
      <c r="B1060" s="1" t="str">
        <f>"عيسي"</f>
        <v>عيسي</v>
      </c>
      <c r="C1060" s="1" t="str">
        <f>"قاسمي"</f>
        <v>قاسمي</v>
      </c>
      <c r="D1060" s="1" t="str">
        <f t="shared" si="114"/>
        <v>قراردادي بهره بردار</v>
      </c>
      <c r="E1060" s="1" t="str">
        <f t="shared" si="115"/>
        <v>پروژه بهره برداري نيروگاه بوشهر</v>
      </c>
      <c r="F1060" s="1">
        <v>7589605</v>
      </c>
      <c r="G1060" s="1">
        <v>9660741</v>
      </c>
      <c r="H1060" s="1">
        <v>0</v>
      </c>
      <c r="I1060" s="1">
        <v>4890766</v>
      </c>
      <c r="J1060" s="1">
        <v>0</v>
      </c>
      <c r="K1060" s="1">
        <v>4620000</v>
      </c>
      <c r="L1060" s="1">
        <v>0</v>
      </c>
      <c r="M1060" s="1">
        <v>400000</v>
      </c>
      <c r="N1060" s="1">
        <v>1042715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1877915</v>
      </c>
      <c r="W1060" s="1">
        <v>1100000</v>
      </c>
      <c r="X1060" s="1">
        <v>1177697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744795</v>
      </c>
      <c r="AF1060" s="1">
        <v>1111269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4511270</v>
      </c>
      <c r="AM1060" s="1">
        <v>0</v>
      </c>
      <c r="AN1060" s="1">
        <v>38726773</v>
      </c>
      <c r="AO1060" s="1">
        <v>4550230</v>
      </c>
      <c r="AP1060" s="1">
        <v>34176543</v>
      </c>
      <c r="AQ1060" s="1">
        <v>7523101</v>
      </c>
      <c r="AR1060" s="1">
        <v>1128465</v>
      </c>
      <c r="AS1060" s="1">
        <v>0</v>
      </c>
      <c r="AT1060" s="1">
        <f t="shared" si="111"/>
        <v>47378339</v>
      </c>
    </row>
    <row r="1061" spans="1:46" x14ac:dyDescent="0.2">
      <c r="A1061" s="1" t="str">
        <f>"01347"</f>
        <v>01347</v>
      </c>
      <c r="B1061" s="1" t="str">
        <f>"مسعود"</f>
        <v>مسعود</v>
      </c>
      <c r="C1061" s="1" t="str">
        <f>"گلرخ"</f>
        <v>گلرخ</v>
      </c>
      <c r="D1061" s="1" t="str">
        <f t="shared" si="114"/>
        <v>قراردادي بهره بردار</v>
      </c>
      <c r="E1061" s="1" t="str">
        <f t="shared" si="115"/>
        <v>پروژه بهره برداري نيروگاه بوشهر</v>
      </c>
      <c r="F1061" s="1">
        <v>8808012</v>
      </c>
      <c r="G1061" s="1">
        <v>11018433</v>
      </c>
      <c r="H1061" s="1">
        <v>0</v>
      </c>
      <c r="I1061" s="1">
        <v>6090075</v>
      </c>
      <c r="J1061" s="1">
        <v>0</v>
      </c>
      <c r="K1061" s="1">
        <v>4620000</v>
      </c>
      <c r="L1061" s="1">
        <v>0</v>
      </c>
      <c r="M1061" s="1">
        <v>400000</v>
      </c>
      <c r="N1061" s="1">
        <v>1388321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2289545</v>
      </c>
      <c r="W1061" s="1">
        <v>1100000</v>
      </c>
      <c r="X1061" s="1">
        <v>1366761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991658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5617377</v>
      </c>
      <c r="AM1061" s="1">
        <v>0</v>
      </c>
      <c r="AN1061" s="1">
        <v>43690182</v>
      </c>
      <c r="AO1061" s="1">
        <v>5543963</v>
      </c>
      <c r="AP1061" s="1">
        <v>38146219</v>
      </c>
      <c r="AQ1061" s="1">
        <v>8738036</v>
      </c>
      <c r="AR1061" s="1">
        <v>1310705</v>
      </c>
      <c r="AS1061" s="1">
        <v>0</v>
      </c>
      <c r="AT1061" s="1">
        <f t="shared" si="111"/>
        <v>53738923</v>
      </c>
    </row>
    <row r="1062" spans="1:46" x14ac:dyDescent="0.2">
      <c r="A1062" s="1" t="str">
        <f>"01348"</f>
        <v>01348</v>
      </c>
      <c r="B1062" s="1" t="str">
        <f>"مهران"</f>
        <v>مهران</v>
      </c>
      <c r="C1062" s="1" t="str">
        <f>"منصوري نيا"</f>
        <v>منصوري نيا</v>
      </c>
      <c r="D1062" s="1" t="str">
        <f t="shared" si="114"/>
        <v>قراردادي بهره بردار</v>
      </c>
      <c r="E1062" s="1" t="str">
        <f t="shared" si="115"/>
        <v>پروژه بهره برداري نيروگاه بوشهر</v>
      </c>
      <c r="F1062" s="1">
        <v>10839255</v>
      </c>
      <c r="G1062" s="1">
        <v>8246955</v>
      </c>
      <c r="H1062" s="1">
        <v>0</v>
      </c>
      <c r="I1062" s="1">
        <v>6426199</v>
      </c>
      <c r="J1062" s="1">
        <v>0</v>
      </c>
      <c r="K1062" s="1">
        <v>4125000</v>
      </c>
      <c r="L1062" s="1">
        <v>0</v>
      </c>
      <c r="M1062" s="1">
        <v>400000</v>
      </c>
      <c r="N1062" s="1">
        <v>1267806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2070664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905575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1267806</v>
      </c>
      <c r="AM1062" s="1">
        <v>0</v>
      </c>
      <c r="AN1062" s="1">
        <v>36649260</v>
      </c>
      <c r="AO1062" s="1">
        <v>4454829</v>
      </c>
      <c r="AP1062" s="1">
        <v>32194431</v>
      </c>
      <c r="AQ1062" s="1">
        <v>7329852</v>
      </c>
      <c r="AR1062" s="1">
        <v>1099478</v>
      </c>
      <c r="AS1062" s="1">
        <v>0</v>
      </c>
      <c r="AT1062" s="1">
        <f t="shared" si="111"/>
        <v>45078590</v>
      </c>
    </row>
    <row r="1063" spans="1:46" x14ac:dyDescent="0.2">
      <c r="A1063" s="1" t="str">
        <f>"01349"</f>
        <v>01349</v>
      </c>
      <c r="B1063" s="1" t="str">
        <f>"روزبه"</f>
        <v>روزبه</v>
      </c>
      <c r="C1063" s="1" t="str">
        <f>"محمدي"</f>
        <v>محمدي</v>
      </c>
      <c r="D1063" s="1" t="str">
        <f t="shared" si="114"/>
        <v>قراردادي بهره بردار</v>
      </c>
      <c r="E1063" s="1" t="str">
        <f>"پروژه تعميرات نيروگاه بوشهر"</f>
        <v>پروژه تعميرات نيروگاه بوشهر</v>
      </c>
      <c r="F1063" s="1">
        <v>10293060</v>
      </c>
      <c r="G1063" s="1">
        <v>2915761</v>
      </c>
      <c r="H1063" s="1">
        <v>0</v>
      </c>
      <c r="I1063" s="1">
        <v>4555263</v>
      </c>
      <c r="J1063" s="1">
        <v>0</v>
      </c>
      <c r="K1063" s="1">
        <v>4125000</v>
      </c>
      <c r="L1063" s="1">
        <v>0</v>
      </c>
      <c r="M1063" s="1">
        <v>400000</v>
      </c>
      <c r="N1063" s="1">
        <v>1058548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1757030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756105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907327</v>
      </c>
      <c r="AM1063" s="1">
        <v>0</v>
      </c>
      <c r="AN1063" s="1">
        <v>27868094</v>
      </c>
      <c r="AO1063" s="1">
        <v>2937492</v>
      </c>
      <c r="AP1063" s="1">
        <v>24930602</v>
      </c>
      <c r="AQ1063" s="1">
        <v>5573619</v>
      </c>
      <c r="AR1063" s="1">
        <v>836043</v>
      </c>
      <c r="AS1063" s="1">
        <v>0</v>
      </c>
      <c r="AT1063" s="1">
        <f t="shared" si="111"/>
        <v>34277756</v>
      </c>
    </row>
    <row r="1064" spans="1:46" x14ac:dyDescent="0.2">
      <c r="A1064" s="1" t="str">
        <f>"01350"</f>
        <v>01350</v>
      </c>
      <c r="B1064" s="1" t="str">
        <f>"صياد"</f>
        <v>صياد</v>
      </c>
      <c r="C1064" s="1" t="str">
        <f>"شريفي"</f>
        <v>شريفي</v>
      </c>
      <c r="D1064" s="1" t="str">
        <f t="shared" si="114"/>
        <v>قراردادي بهره بردار</v>
      </c>
      <c r="E1064" s="1" t="str">
        <f t="shared" ref="E1064:E1096" si="116">"پروژه بهره برداري نيروگاه بوشهر"</f>
        <v>پروژه بهره برداري نيروگاه بوشهر</v>
      </c>
      <c r="F1064" s="1">
        <v>10599682</v>
      </c>
      <c r="G1064" s="1">
        <v>3078709</v>
      </c>
      <c r="H1064" s="1">
        <v>0</v>
      </c>
      <c r="I1064" s="1">
        <v>4939908</v>
      </c>
      <c r="J1064" s="1">
        <v>0</v>
      </c>
      <c r="K1064" s="1">
        <v>5500000</v>
      </c>
      <c r="L1064" s="1">
        <v>0</v>
      </c>
      <c r="M1064" s="1">
        <v>400000</v>
      </c>
      <c r="N1064" s="1">
        <v>1171578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1855222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836841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1004210</v>
      </c>
      <c r="AM1064" s="1">
        <v>0</v>
      </c>
      <c r="AN1064" s="1">
        <v>30486150</v>
      </c>
      <c r="AO1064" s="1">
        <v>2756415</v>
      </c>
      <c r="AP1064" s="1">
        <v>27729735</v>
      </c>
      <c r="AQ1064" s="1">
        <v>6097230</v>
      </c>
      <c r="AR1064" s="1">
        <v>914585</v>
      </c>
      <c r="AS1064" s="1">
        <v>0</v>
      </c>
      <c r="AT1064" s="1">
        <f t="shared" si="111"/>
        <v>37497965</v>
      </c>
    </row>
    <row r="1065" spans="1:46" x14ac:dyDescent="0.2">
      <c r="A1065" s="1" t="str">
        <f>"01351"</f>
        <v>01351</v>
      </c>
      <c r="B1065" s="1" t="str">
        <f>"رضا"</f>
        <v>رضا</v>
      </c>
      <c r="C1065" s="1" t="str">
        <f>"ثابت سروستاني"</f>
        <v>ثابت سروستاني</v>
      </c>
      <c r="D1065" s="1" t="str">
        <f t="shared" si="114"/>
        <v>قراردادي بهره بردار</v>
      </c>
      <c r="E1065" s="1" t="str">
        <f t="shared" si="116"/>
        <v>پروژه بهره برداري نيروگاه بوشهر</v>
      </c>
      <c r="F1065" s="1">
        <v>7001753</v>
      </c>
      <c r="G1065" s="1">
        <v>1857117</v>
      </c>
      <c r="H1065" s="1">
        <v>0</v>
      </c>
      <c r="I1065" s="1">
        <v>3223727</v>
      </c>
      <c r="J1065" s="1">
        <v>0</v>
      </c>
      <c r="K1065" s="1">
        <v>3465000</v>
      </c>
      <c r="L1065" s="1">
        <v>0</v>
      </c>
      <c r="M1065" s="1">
        <v>400000</v>
      </c>
      <c r="N1065" s="1">
        <v>813804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1243437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581289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813804</v>
      </c>
      <c r="AM1065" s="1">
        <v>0</v>
      </c>
      <c r="AN1065" s="1">
        <v>20499931</v>
      </c>
      <c r="AO1065" s="1">
        <v>1474995</v>
      </c>
      <c r="AP1065" s="1">
        <v>19024936</v>
      </c>
      <c r="AQ1065" s="1">
        <v>4099986</v>
      </c>
      <c r="AR1065" s="1">
        <v>614998</v>
      </c>
      <c r="AS1065" s="1">
        <v>0</v>
      </c>
      <c r="AT1065" s="1">
        <f t="shared" si="111"/>
        <v>25214915</v>
      </c>
    </row>
    <row r="1066" spans="1:46" x14ac:dyDescent="0.2">
      <c r="A1066" s="1" t="str">
        <f>"01352"</f>
        <v>01352</v>
      </c>
      <c r="B1066" s="1" t="str">
        <f>"امير"</f>
        <v>امير</v>
      </c>
      <c r="C1066" s="1" t="str">
        <f>"حسينلو"</f>
        <v>حسينلو</v>
      </c>
      <c r="D1066" s="1" t="str">
        <f t="shared" si="114"/>
        <v>قراردادي بهره بردار</v>
      </c>
      <c r="E1066" s="1" t="str">
        <f t="shared" si="116"/>
        <v>پروژه بهره برداري نيروگاه بوشهر</v>
      </c>
      <c r="F1066" s="1">
        <v>6758188</v>
      </c>
      <c r="G1066" s="1">
        <v>1662249</v>
      </c>
      <c r="H1066" s="1">
        <v>0</v>
      </c>
      <c r="I1066" s="1">
        <v>3055194</v>
      </c>
      <c r="J1066" s="1">
        <v>0</v>
      </c>
      <c r="K1066" s="1">
        <v>3465000</v>
      </c>
      <c r="L1066" s="1">
        <v>0</v>
      </c>
      <c r="M1066" s="1">
        <v>400000</v>
      </c>
      <c r="N1066" s="1">
        <v>726134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1178431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518667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726134</v>
      </c>
      <c r="AM1066" s="1">
        <v>0</v>
      </c>
      <c r="AN1066" s="1">
        <v>19589997</v>
      </c>
      <c r="AO1066" s="1">
        <v>1411300</v>
      </c>
      <c r="AP1066" s="1">
        <v>18178697</v>
      </c>
      <c r="AQ1066" s="1">
        <v>3917999</v>
      </c>
      <c r="AR1066" s="1">
        <v>587700</v>
      </c>
      <c r="AS1066" s="1">
        <v>0</v>
      </c>
      <c r="AT1066" s="1">
        <f t="shared" si="111"/>
        <v>24095696</v>
      </c>
    </row>
    <row r="1067" spans="1:46" x14ac:dyDescent="0.2">
      <c r="A1067" s="1" t="str">
        <f>"01353"</f>
        <v>01353</v>
      </c>
      <c r="B1067" s="1" t="str">
        <f>"مجتبي"</f>
        <v>مجتبي</v>
      </c>
      <c r="C1067" s="1" t="str">
        <f>"چکي"</f>
        <v>چکي</v>
      </c>
      <c r="D1067" s="1" t="str">
        <f t="shared" si="114"/>
        <v>قراردادي بهره بردار</v>
      </c>
      <c r="E1067" s="1" t="str">
        <f t="shared" si="116"/>
        <v>پروژه بهره برداري نيروگاه بوشهر</v>
      </c>
      <c r="F1067" s="1">
        <v>10349565</v>
      </c>
      <c r="G1067" s="1">
        <v>2940225</v>
      </c>
      <c r="H1067" s="1">
        <v>0</v>
      </c>
      <c r="I1067" s="1">
        <v>4593482</v>
      </c>
      <c r="J1067" s="1">
        <v>0</v>
      </c>
      <c r="K1067" s="1">
        <v>4125000</v>
      </c>
      <c r="L1067" s="1">
        <v>0</v>
      </c>
      <c r="M1067" s="1">
        <v>400000</v>
      </c>
      <c r="N1067" s="1">
        <v>1079039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1771772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770742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924890</v>
      </c>
      <c r="AM1067" s="1">
        <v>0</v>
      </c>
      <c r="AN1067" s="1">
        <v>28054715</v>
      </c>
      <c r="AO1067" s="1">
        <v>2345562</v>
      </c>
      <c r="AP1067" s="1">
        <v>25709153</v>
      </c>
      <c r="AQ1067" s="1">
        <v>5610943</v>
      </c>
      <c r="AR1067" s="1">
        <v>841641</v>
      </c>
      <c r="AS1067" s="1">
        <v>0</v>
      </c>
      <c r="AT1067" s="1">
        <f t="shared" si="111"/>
        <v>34507299</v>
      </c>
    </row>
    <row r="1068" spans="1:46" x14ac:dyDescent="0.2">
      <c r="A1068" s="1" t="str">
        <f>"01354"</f>
        <v>01354</v>
      </c>
      <c r="B1068" s="1" t="str">
        <f>"ايمان"</f>
        <v>ايمان</v>
      </c>
      <c r="C1068" s="1" t="str">
        <f>"زردپور"</f>
        <v>زردپور</v>
      </c>
      <c r="D1068" s="1" t="str">
        <f t="shared" si="114"/>
        <v>قراردادي بهره بردار</v>
      </c>
      <c r="E1068" s="1" t="str">
        <f t="shared" si="116"/>
        <v>پروژه بهره برداري نيروگاه بوشهر</v>
      </c>
      <c r="F1068" s="1">
        <v>11022500</v>
      </c>
      <c r="G1068" s="1">
        <v>0</v>
      </c>
      <c r="H1068" s="1">
        <v>0</v>
      </c>
      <c r="I1068" s="1">
        <v>6634881</v>
      </c>
      <c r="J1068" s="1">
        <v>0</v>
      </c>
      <c r="K1068" s="1">
        <v>5500000</v>
      </c>
      <c r="L1068" s="1">
        <v>0</v>
      </c>
      <c r="M1068" s="1">
        <v>400000</v>
      </c>
      <c r="N1068" s="1">
        <v>1335987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2137906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954277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1431416</v>
      </c>
      <c r="AM1068" s="1">
        <v>0</v>
      </c>
      <c r="AN1068" s="1">
        <v>30516967</v>
      </c>
      <c r="AO1068" s="1">
        <v>2759221</v>
      </c>
      <c r="AP1068" s="1">
        <v>27757746</v>
      </c>
      <c r="AQ1068" s="1">
        <v>6103393</v>
      </c>
      <c r="AR1068" s="1">
        <v>915509</v>
      </c>
      <c r="AS1068" s="1">
        <v>0</v>
      </c>
      <c r="AT1068" s="1">
        <f t="shared" si="111"/>
        <v>37535869</v>
      </c>
    </row>
    <row r="1069" spans="1:46" x14ac:dyDescent="0.2">
      <c r="A1069" s="1" t="str">
        <f>"01355"</f>
        <v>01355</v>
      </c>
      <c r="B1069" s="1" t="str">
        <f>"حسن"</f>
        <v>حسن</v>
      </c>
      <c r="C1069" s="1" t="str">
        <f>"مشتاقي"</f>
        <v>مشتاقي</v>
      </c>
      <c r="D1069" s="1" t="str">
        <f t="shared" si="114"/>
        <v>قراردادي بهره بردار</v>
      </c>
      <c r="E1069" s="1" t="str">
        <f t="shared" si="116"/>
        <v>پروژه بهره برداري نيروگاه بوشهر</v>
      </c>
      <c r="F1069" s="1">
        <v>7432025</v>
      </c>
      <c r="G1069" s="1">
        <v>2028525</v>
      </c>
      <c r="H1069" s="1">
        <v>0</v>
      </c>
      <c r="I1069" s="1">
        <v>3521271</v>
      </c>
      <c r="J1069" s="1">
        <v>0</v>
      </c>
      <c r="K1069" s="1">
        <v>3465000</v>
      </c>
      <c r="L1069" s="1">
        <v>0</v>
      </c>
      <c r="M1069" s="1">
        <v>400000</v>
      </c>
      <c r="N1069" s="1">
        <v>968486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1358205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691776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968486</v>
      </c>
      <c r="AM1069" s="1">
        <v>0</v>
      </c>
      <c r="AN1069" s="1">
        <v>21933774</v>
      </c>
      <c r="AO1069" s="1">
        <v>2030031</v>
      </c>
      <c r="AP1069" s="1">
        <v>19903743</v>
      </c>
      <c r="AQ1069" s="1">
        <v>4386755</v>
      </c>
      <c r="AR1069" s="1">
        <v>658013</v>
      </c>
      <c r="AS1069" s="1">
        <v>0</v>
      </c>
      <c r="AT1069" s="1">
        <f t="shared" si="111"/>
        <v>26978542</v>
      </c>
    </row>
    <row r="1070" spans="1:46" x14ac:dyDescent="0.2">
      <c r="A1070" s="1" t="str">
        <f>"01356"</f>
        <v>01356</v>
      </c>
      <c r="B1070" s="1" t="str">
        <f>"يداله"</f>
        <v>يداله</v>
      </c>
      <c r="C1070" s="1" t="str">
        <f>"ابوعلي نژاد"</f>
        <v>ابوعلي نژاد</v>
      </c>
      <c r="D1070" s="1" t="str">
        <f t="shared" si="114"/>
        <v>قراردادي بهره بردار</v>
      </c>
      <c r="E1070" s="1" t="str">
        <f t="shared" si="116"/>
        <v>پروژه بهره برداري نيروگاه بوشهر</v>
      </c>
      <c r="F1070" s="1">
        <v>7093599</v>
      </c>
      <c r="G1070" s="1">
        <v>1893726</v>
      </c>
      <c r="H1070" s="1">
        <v>0</v>
      </c>
      <c r="I1070" s="1">
        <v>3287276</v>
      </c>
      <c r="J1070" s="1">
        <v>0</v>
      </c>
      <c r="K1070" s="1">
        <v>3465000</v>
      </c>
      <c r="L1070" s="1">
        <v>0</v>
      </c>
      <c r="M1070" s="1">
        <v>400000</v>
      </c>
      <c r="N1070" s="1">
        <v>846859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1267949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604898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846859</v>
      </c>
      <c r="AM1070" s="1">
        <v>0</v>
      </c>
      <c r="AN1070" s="1">
        <v>20806166</v>
      </c>
      <c r="AO1070" s="1">
        <v>1496432</v>
      </c>
      <c r="AP1070" s="1">
        <v>19309734</v>
      </c>
      <c r="AQ1070" s="1">
        <v>4161233</v>
      </c>
      <c r="AR1070" s="1">
        <v>624185</v>
      </c>
      <c r="AS1070" s="1">
        <v>0</v>
      </c>
      <c r="AT1070" s="1">
        <f t="shared" si="111"/>
        <v>25591584</v>
      </c>
    </row>
    <row r="1071" spans="1:46" x14ac:dyDescent="0.2">
      <c r="A1071" s="1" t="str">
        <f>"01357"</f>
        <v>01357</v>
      </c>
      <c r="B1071" s="1" t="str">
        <f>"پيمان"</f>
        <v>پيمان</v>
      </c>
      <c r="C1071" s="1" t="str">
        <f>"سلحشوري"</f>
        <v>سلحشوري</v>
      </c>
      <c r="D1071" s="1" t="str">
        <f t="shared" si="114"/>
        <v>قراردادي بهره بردار</v>
      </c>
      <c r="E1071" s="1" t="str">
        <f t="shared" si="116"/>
        <v>پروژه بهره برداري نيروگاه بوشهر</v>
      </c>
      <c r="F1071" s="1">
        <v>11067001</v>
      </c>
      <c r="G1071" s="1">
        <v>3272322</v>
      </c>
      <c r="H1071" s="1">
        <v>0</v>
      </c>
      <c r="I1071" s="1">
        <v>5201569</v>
      </c>
      <c r="J1071" s="1">
        <v>0</v>
      </c>
      <c r="K1071" s="1">
        <v>4620000</v>
      </c>
      <c r="L1071" s="1">
        <v>0</v>
      </c>
      <c r="M1071" s="1">
        <v>400000</v>
      </c>
      <c r="N1071" s="1">
        <v>1341805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1971893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958433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1150118</v>
      </c>
      <c r="AM1071" s="1">
        <v>0</v>
      </c>
      <c r="AN1071" s="1">
        <v>31083141</v>
      </c>
      <c r="AO1071" s="1">
        <v>2854677</v>
      </c>
      <c r="AP1071" s="1">
        <v>28228464</v>
      </c>
      <c r="AQ1071" s="1">
        <v>6216628</v>
      </c>
      <c r="AR1071" s="1">
        <v>932494</v>
      </c>
      <c r="AS1071" s="1">
        <v>0</v>
      </c>
      <c r="AT1071" s="1">
        <f t="shared" si="111"/>
        <v>38232263</v>
      </c>
    </row>
    <row r="1072" spans="1:46" x14ac:dyDescent="0.2">
      <c r="A1072" s="1" t="str">
        <f>"01358"</f>
        <v>01358</v>
      </c>
      <c r="B1072" s="1" t="str">
        <f>"محمود"</f>
        <v>محمود</v>
      </c>
      <c r="C1072" s="1" t="str">
        <f>"دشتي"</f>
        <v>دشتي</v>
      </c>
      <c r="D1072" s="1" t="str">
        <f t="shared" si="114"/>
        <v>قراردادي بهره بردار</v>
      </c>
      <c r="E1072" s="1" t="str">
        <f t="shared" si="116"/>
        <v>پروژه بهره برداري نيروگاه بوشهر</v>
      </c>
      <c r="F1072" s="1">
        <v>6821500</v>
      </c>
      <c r="G1072" s="1">
        <v>1586890</v>
      </c>
      <c r="H1072" s="1">
        <v>0</v>
      </c>
      <c r="I1072" s="1">
        <v>3098978</v>
      </c>
      <c r="J1072" s="1">
        <v>0</v>
      </c>
      <c r="K1072" s="1">
        <v>4620000</v>
      </c>
      <c r="L1072" s="1">
        <v>0</v>
      </c>
      <c r="M1072" s="1">
        <v>400000</v>
      </c>
      <c r="N1072" s="1">
        <v>748898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1195320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534927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748898</v>
      </c>
      <c r="AM1072" s="1">
        <v>0</v>
      </c>
      <c r="AN1072" s="1">
        <v>20855411</v>
      </c>
      <c r="AO1072" s="1">
        <v>1914542</v>
      </c>
      <c r="AP1072" s="1">
        <v>18940869</v>
      </c>
      <c r="AQ1072" s="1">
        <v>4171082</v>
      </c>
      <c r="AR1072" s="1">
        <v>625662</v>
      </c>
      <c r="AS1072" s="1">
        <v>0</v>
      </c>
      <c r="AT1072" s="1">
        <f t="shared" si="111"/>
        <v>25652155</v>
      </c>
    </row>
    <row r="1073" spans="1:46" x14ac:dyDescent="0.2">
      <c r="A1073" s="1" t="str">
        <f>"01359"</f>
        <v>01359</v>
      </c>
      <c r="B1073" s="1" t="str">
        <f>"مسعود"</f>
        <v>مسعود</v>
      </c>
      <c r="C1073" s="1" t="str">
        <f>"محسني بناري"</f>
        <v>محسني بناري</v>
      </c>
      <c r="D1073" s="1" t="str">
        <f t="shared" si="114"/>
        <v>قراردادي بهره بردار</v>
      </c>
      <c r="E1073" s="1" t="str">
        <f t="shared" si="116"/>
        <v>پروژه بهره برداري نيروگاه بوشهر</v>
      </c>
      <c r="F1073" s="1">
        <v>6792044</v>
      </c>
      <c r="G1073" s="1">
        <v>1675055</v>
      </c>
      <c r="H1073" s="1">
        <v>0</v>
      </c>
      <c r="I1073" s="1">
        <v>3078731</v>
      </c>
      <c r="J1073" s="1">
        <v>0</v>
      </c>
      <c r="K1073" s="1">
        <v>3465000</v>
      </c>
      <c r="L1073" s="1">
        <v>0</v>
      </c>
      <c r="M1073" s="1">
        <v>400000</v>
      </c>
      <c r="N1073" s="1">
        <v>738438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1187510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527455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738438</v>
      </c>
      <c r="AM1073" s="1">
        <v>0</v>
      </c>
      <c r="AN1073" s="1">
        <v>19702671</v>
      </c>
      <c r="AO1073" s="1">
        <v>2611923</v>
      </c>
      <c r="AP1073" s="1">
        <v>17090748</v>
      </c>
      <c r="AQ1073" s="1">
        <v>3940534</v>
      </c>
      <c r="AR1073" s="1">
        <v>591080</v>
      </c>
      <c r="AS1073" s="1">
        <v>0</v>
      </c>
      <c r="AT1073" s="1">
        <f t="shared" si="111"/>
        <v>24234285</v>
      </c>
    </row>
    <row r="1074" spans="1:46" x14ac:dyDescent="0.2">
      <c r="A1074" s="1" t="str">
        <f>"01361"</f>
        <v>01361</v>
      </c>
      <c r="B1074" s="1" t="str">
        <f>"عباس"</f>
        <v>عباس</v>
      </c>
      <c r="C1074" s="1" t="str">
        <f>"فولادي"</f>
        <v>فولادي</v>
      </c>
      <c r="D1074" s="1" t="str">
        <f t="shared" si="114"/>
        <v>قراردادي بهره بردار</v>
      </c>
      <c r="E1074" s="1" t="str">
        <f t="shared" si="116"/>
        <v>پروژه بهره برداري نيروگاه بوشهر</v>
      </c>
      <c r="F1074" s="1">
        <v>7288225</v>
      </c>
      <c r="G1074" s="1">
        <v>1752214</v>
      </c>
      <c r="H1074" s="1">
        <v>0</v>
      </c>
      <c r="I1074" s="1">
        <v>3421832</v>
      </c>
      <c r="J1074" s="1">
        <v>0</v>
      </c>
      <c r="K1074" s="1">
        <v>4620000</v>
      </c>
      <c r="L1074" s="1">
        <v>0</v>
      </c>
      <c r="M1074" s="1">
        <v>400000</v>
      </c>
      <c r="N1074" s="1">
        <v>916793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1319850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654853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916793</v>
      </c>
      <c r="AM1074" s="1">
        <v>0</v>
      </c>
      <c r="AN1074" s="1">
        <v>22390560</v>
      </c>
      <c r="AO1074" s="1">
        <v>1607339</v>
      </c>
      <c r="AP1074" s="1">
        <v>20783221</v>
      </c>
      <c r="AQ1074" s="1">
        <v>4478112</v>
      </c>
      <c r="AR1074" s="1">
        <v>671717</v>
      </c>
      <c r="AS1074" s="1">
        <v>0</v>
      </c>
      <c r="AT1074" s="1">
        <f t="shared" si="111"/>
        <v>27540389</v>
      </c>
    </row>
    <row r="1075" spans="1:46" x14ac:dyDescent="0.2">
      <c r="A1075" s="1" t="str">
        <f>"01362"</f>
        <v>01362</v>
      </c>
      <c r="B1075" s="1" t="str">
        <f>"حسين"</f>
        <v>حسين</v>
      </c>
      <c r="C1075" s="1" t="str">
        <f>"زارعي"</f>
        <v>زارعي</v>
      </c>
      <c r="D1075" s="1" t="str">
        <f t="shared" si="114"/>
        <v>قراردادي بهره بردار</v>
      </c>
      <c r="E1075" s="1" t="str">
        <f t="shared" si="116"/>
        <v>پروژه بهره برداري نيروگاه بوشهر</v>
      </c>
      <c r="F1075" s="1">
        <v>6907281</v>
      </c>
      <c r="G1075" s="1">
        <v>1928328</v>
      </c>
      <c r="H1075" s="1">
        <v>0</v>
      </c>
      <c r="I1075" s="1">
        <v>3207263</v>
      </c>
      <c r="J1075" s="1">
        <v>0</v>
      </c>
      <c r="K1075" s="1">
        <v>3465000</v>
      </c>
      <c r="L1075" s="1">
        <v>0</v>
      </c>
      <c r="M1075" s="1">
        <v>400000</v>
      </c>
      <c r="N1075" s="1">
        <v>779982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1223164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557130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779982</v>
      </c>
      <c r="AM1075" s="1">
        <v>0</v>
      </c>
      <c r="AN1075" s="1">
        <v>20348130</v>
      </c>
      <c r="AO1075" s="1">
        <v>1884909</v>
      </c>
      <c r="AP1075" s="1">
        <v>18463221</v>
      </c>
      <c r="AQ1075" s="1">
        <v>4069626</v>
      </c>
      <c r="AR1075" s="1">
        <v>610444</v>
      </c>
      <c r="AS1075" s="1">
        <v>0</v>
      </c>
      <c r="AT1075" s="1">
        <f t="shared" si="111"/>
        <v>25028200</v>
      </c>
    </row>
    <row r="1076" spans="1:46" x14ac:dyDescent="0.2">
      <c r="A1076" s="1" t="str">
        <f>"01363"</f>
        <v>01363</v>
      </c>
      <c r="B1076" s="1" t="str">
        <f>"مازيار"</f>
        <v>مازيار</v>
      </c>
      <c r="C1076" s="1" t="str">
        <f>"پرواز"</f>
        <v>پرواز</v>
      </c>
      <c r="D1076" s="1" t="str">
        <f t="shared" si="114"/>
        <v>قراردادي بهره بردار</v>
      </c>
      <c r="E1076" s="1" t="str">
        <f t="shared" si="116"/>
        <v>پروژه بهره برداري نيروگاه بوشهر</v>
      </c>
      <c r="F1076" s="1">
        <v>7086747</v>
      </c>
      <c r="G1076" s="1">
        <v>1050527</v>
      </c>
      <c r="H1076" s="1">
        <v>0</v>
      </c>
      <c r="I1076" s="1">
        <v>3282455</v>
      </c>
      <c r="J1076" s="1">
        <v>0</v>
      </c>
      <c r="K1076" s="1">
        <v>3465000</v>
      </c>
      <c r="L1076" s="1">
        <v>0</v>
      </c>
      <c r="M1076" s="1">
        <v>400000</v>
      </c>
      <c r="N1076" s="1">
        <v>844309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1266090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603077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844309</v>
      </c>
      <c r="AM1076" s="1">
        <v>0</v>
      </c>
      <c r="AN1076" s="1">
        <v>19942514</v>
      </c>
      <c r="AO1076" s="1">
        <v>1868019</v>
      </c>
      <c r="AP1076" s="1">
        <v>18074495</v>
      </c>
      <c r="AQ1076" s="1">
        <v>3988503</v>
      </c>
      <c r="AR1076" s="1">
        <v>598275</v>
      </c>
      <c r="AS1076" s="1">
        <v>0</v>
      </c>
      <c r="AT1076" s="1">
        <f t="shared" si="111"/>
        <v>24529292</v>
      </c>
    </row>
    <row r="1077" spans="1:46" x14ac:dyDescent="0.2">
      <c r="A1077" s="1" t="str">
        <f>"01364"</f>
        <v>01364</v>
      </c>
      <c r="B1077" s="1" t="str">
        <f>"ميثم"</f>
        <v>ميثم</v>
      </c>
      <c r="C1077" s="1" t="str">
        <f>"باغباني"</f>
        <v>باغباني</v>
      </c>
      <c r="D1077" s="1" t="str">
        <f t="shared" si="114"/>
        <v>قراردادي بهره بردار</v>
      </c>
      <c r="E1077" s="1" t="str">
        <f t="shared" si="116"/>
        <v>پروژه بهره برداري نيروگاه بوشهر</v>
      </c>
      <c r="F1077" s="1">
        <v>7219648</v>
      </c>
      <c r="G1077" s="1">
        <v>1729105</v>
      </c>
      <c r="H1077" s="1">
        <v>0</v>
      </c>
      <c r="I1077" s="1">
        <v>3383132</v>
      </c>
      <c r="J1077" s="1">
        <v>0</v>
      </c>
      <c r="K1077" s="1">
        <v>4620000</v>
      </c>
      <c r="L1077" s="1">
        <v>0</v>
      </c>
      <c r="M1077" s="1">
        <v>400000</v>
      </c>
      <c r="N1077" s="1">
        <v>892186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1302443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637276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892186</v>
      </c>
      <c r="AM1077" s="1">
        <v>0</v>
      </c>
      <c r="AN1077" s="1">
        <v>22175976</v>
      </c>
      <c r="AO1077" s="1">
        <v>2033116</v>
      </c>
      <c r="AP1077" s="1">
        <v>20142860</v>
      </c>
      <c r="AQ1077" s="1">
        <v>4435195</v>
      </c>
      <c r="AR1077" s="1">
        <v>665279</v>
      </c>
      <c r="AS1077" s="1">
        <v>0</v>
      </c>
      <c r="AT1077" s="1">
        <f t="shared" si="111"/>
        <v>27276450</v>
      </c>
    </row>
    <row r="1078" spans="1:46" x14ac:dyDescent="0.2">
      <c r="A1078" s="1" t="str">
        <f>"01365"</f>
        <v>01365</v>
      </c>
      <c r="B1078" s="1" t="str">
        <f>"سيد حسين"</f>
        <v>سيد حسين</v>
      </c>
      <c r="C1078" s="1" t="str">
        <f>"حسيني"</f>
        <v>حسيني</v>
      </c>
      <c r="D1078" s="1" t="str">
        <f t="shared" si="114"/>
        <v>قراردادي بهره بردار</v>
      </c>
      <c r="E1078" s="1" t="str">
        <f t="shared" si="116"/>
        <v>پروژه بهره برداري نيروگاه بوشهر</v>
      </c>
      <c r="F1078" s="1">
        <v>7016129</v>
      </c>
      <c r="G1078" s="1">
        <v>1759360</v>
      </c>
      <c r="H1078" s="1">
        <v>0</v>
      </c>
      <c r="I1078" s="1">
        <v>3233683</v>
      </c>
      <c r="J1078" s="1">
        <v>0</v>
      </c>
      <c r="K1078" s="1">
        <v>4620000</v>
      </c>
      <c r="L1078" s="1">
        <v>0</v>
      </c>
      <c r="M1078" s="1">
        <v>400000</v>
      </c>
      <c r="N1078" s="1">
        <v>818987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1247277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584991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818987</v>
      </c>
      <c r="AM1078" s="1">
        <v>0</v>
      </c>
      <c r="AN1078" s="1">
        <v>21599414</v>
      </c>
      <c r="AO1078" s="1">
        <v>1551959</v>
      </c>
      <c r="AP1078" s="1">
        <v>20047455</v>
      </c>
      <c r="AQ1078" s="1">
        <v>4319883</v>
      </c>
      <c r="AR1078" s="1">
        <v>647982</v>
      </c>
      <c r="AS1078" s="1">
        <v>0</v>
      </c>
      <c r="AT1078" s="1">
        <f t="shared" si="111"/>
        <v>26567279</v>
      </c>
    </row>
    <row r="1079" spans="1:46" x14ac:dyDescent="0.2">
      <c r="A1079" s="1" t="str">
        <f>"01366"</f>
        <v>01366</v>
      </c>
      <c r="B1079" s="1" t="str">
        <f>"محسن"</f>
        <v>محسن</v>
      </c>
      <c r="C1079" s="1" t="str">
        <f>"حسيني"</f>
        <v>حسيني</v>
      </c>
      <c r="D1079" s="1" t="str">
        <f t="shared" si="114"/>
        <v>قراردادي بهره بردار</v>
      </c>
      <c r="E1079" s="1" t="str">
        <f t="shared" si="116"/>
        <v>پروژه بهره برداري نيروگاه بوشهر</v>
      </c>
      <c r="F1079" s="1">
        <v>7496689</v>
      </c>
      <c r="G1079" s="1">
        <v>1940154</v>
      </c>
      <c r="H1079" s="1">
        <v>0</v>
      </c>
      <c r="I1079" s="1">
        <v>3565978</v>
      </c>
      <c r="J1079" s="1">
        <v>0</v>
      </c>
      <c r="K1079" s="1">
        <v>3465000</v>
      </c>
      <c r="L1079" s="1">
        <v>0</v>
      </c>
      <c r="M1079" s="1">
        <v>400000</v>
      </c>
      <c r="N1079" s="1">
        <v>991724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1375450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708374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991724</v>
      </c>
      <c r="AM1079" s="1">
        <v>0</v>
      </c>
      <c r="AN1079" s="1">
        <v>22035093</v>
      </c>
      <c r="AO1079" s="1">
        <v>1582457</v>
      </c>
      <c r="AP1079" s="1">
        <v>20452636</v>
      </c>
      <c r="AQ1079" s="1">
        <v>4407019</v>
      </c>
      <c r="AR1079" s="1">
        <v>661053</v>
      </c>
      <c r="AS1079" s="1">
        <v>0</v>
      </c>
      <c r="AT1079" s="1">
        <f t="shared" si="111"/>
        <v>27103165</v>
      </c>
    </row>
    <row r="1080" spans="1:46" x14ac:dyDescent="0.2">
      <c r="A1080" s="1" t="str">
        <f>"01367"</f>
        <v>01367</v>
      </c>
      <c r="B1080" s="1" t="str">
        <f>"محمد مهدي"</f>
        <v>محمد مهدي</v>
      </c>
      <c r="C1080" s="1" t="str">
        <f>"ملک نصب اردکاني"</f>
        <v>ملک نصب اردکاني</v>
      </c>
      <c r="D1080" s="1" t="str">
        <f t="shared" si="114"/>
        <v>قراردادي بهره بردار</v>
      </c>
      <c r="E1080" s="1" t="str">
        <f t="shared" si="116"/>
        <v>پروژه بهره برداري نيروگاه بوشهر</v>
      </c>
      <c r="F1080" s="1">
        <v>6759446</v>
      </c>
      <c r="G1080" s="1">
        <v>1760605</v>
      </c>
      <c r="H1080" s="1">
        <v>0</v>
      </c>
      <c r="I1080" s="1">
        <v>3056194</v>
      </c>
      <c r="J1080" s="1">
        <v>0</v>
      </c>
      <c r="K1080" s="1">
        <v>3465000</v>
      </c>
      <c r="L1080" s="1">
        <v>0</v>
      </c>
      <c r="M1080" s="1">
        <v>400000</v>
      </c>
      <c r="N1080" s="1">
        <v>726726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1178818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519089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726726</v>
      </c>
      <c r="AM1080" s="1">
        <v>0</v>
      </c>
      <c r="AN1080" s="1">
        <v>19692604</v>
      </c>
      <c r="AO1080" s="1">
        <v>1418482</v>
      </c>
      <c r="AP1080" s="1">
        <v>18274122</v>
      </c>
      <c r="AQ1080" s="1">
        <v>3938521</v>
      </c>
      <c r="AR1080" s="1">
        <v>590778</v>
      </c>
      <c r="AS1080" s="1">
        <v>0</v>
      </c>
      <c r="AT1080" s="1">
        <f t="shared" si="111"/>
        <v>24221903</v>
      </c>
    </row>
    <row r="1081" spans="1:46" x14ac:dyDescent="0.2">
      <c r="A1081" s="1" t="str">
        <f>"01368"</f>
        <v>01368</v>
      </c>
      <c r="B1081" s="1" t="str">
        <f>"سامان"</f>
        <v>سامان</v>
      </c>
      <c r="C1081" s="1" t="str">
        <f>"حيدري"</f>
        <v>حيدري</v>
      </c>
      <c r="D1081" s="1" t="str">
        <f t="shared" si="114"/>
        <v>قراردادي بهره بردار</v>
      </c>
      <c r="E1081" s="1" t="str">
        <f t="shared" si="116"/>
        <v>پروژه بهره برداري نيروگاه بوشهر</v>
      </c>
      <c r="F1081" s="1">
        <v>6795805</v>
      </c>
      <c r="G1081" s="1">
        <v>1577837</v>
      </c>
      <c r="H1081" s="1">
        <v>0</v>
      </c>
      <c r="I1081" s="1">
        <v>3081297</v>
      </c>
      <c r="J1081" s="1">
        <v>0</v>
      </c>
      <c r="K1081" s="1">
        <v>4620000</v>
      </c>
      <c r="L1081" s="1">
        <v>0</v>
      </c>
      <c r="M1081" s="1">
        <v>400000</v>
      </c>
      <c r="N1081" s="1">
        <v>739754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1188500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528395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739754</v>
      </c>
      <c r="AM1081" s="1">
        <v>0</v>
      </c>
      <c r="AN1081" s="1">
        <v>20771342</v>
      </c>
      <c r="AO1081" s="1">
        <v>1493994</v>
      </c>
      <c r="AP1081" s="1">
        <v>19277348</v>
      </c>
      <c r="AQ1081" s="1">
        <v>4154268</v>
      </c>
      <c r="AR1081" s="1">
        <v>623140</v>
      </c>
      <c r="AS1081" s="1">
        <v>0</v>
      </c>
      <c r="AT1081" s="1">
        <f t="shared" si="111"/>
        <v>25548750</v>
      </c>
    </row>
    <row r="1082" spans="1:46" x14ac:dyDescent="0.2">
      <c r="A1082" s="1" t="str">
        <f>"01370"</f>
        <v>01370</v>
      </c>
      <c r="B1082" s="1" t="str">
        <f>"علي"</f>
        <v>علي</v>
      </c>
      <c r="C1082" s="1" t="str">
        <f>"عباس زاده"</f>
        <v>عباس زاده</v>
      </c>
      <c r="D1082" s="1" t="str">
        <f t="shared" si="114"/>
        <v>قراردادي بهره بردار</v>
      </c>
      <c r="E1082" s="1" t="str">
        <f t="shared" si="116"/>
        <v>پروژه بهره برداري نيروگاه بوشهر</v>
      </c>
      <c r="F1082" s="1">
        <v>6781387</v>
      </c>
      <c r="G1082" s="1">
        <v>982953</v>
      </c>
      <c r="H1082" s="1">
        <v>0</v>
      </c>
      <c r="I1082" s="1">
        <v>3071314</v>
      </c>
      <c r="J1082" s="1">
        <v>0</v>
      </c>
      <c r="K1082" s="1">
        <v>3465000</v>
      </c>
      <c r="L1082" s="1">
        <v>0</v>
      </c>
      <c r="M1082" s="1">
        <v>400000</v>
      </c>
      <c r="N1082" s="1">
        <v>734556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1184650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524683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734556</v>
      </c>
      <c r="AM1082" s="1">
        <v>0</v>
      </c>
      <c r="AN1082" s="1">
        <v>18979099</v>
      </c>
      <c r="AO1082" s="1">
        <v>1780573</v>
      </c>
      <c r="AP1082" s="1">
        <v>17198526</v>
      </c>
      <c r="AQ1082" s="1">
        <v>3795820</v>
      </c>
      <c r="AR1082" s="1">
        <v>569373</v>
      </c>
      <c r="AS1082" s="1">
        <v>0</v>
      </c>
      <c r="AT1082" s="1">
        <f t="shared" si="111"/>
        <v>23344292</v>
      </c>
    </row>
    <row r="1083" spans="1:46" x14ac:dyDescent="0.2">
      <c r="A1083" s="1" t="str">
        <f>"01371"</f>
        <v>01371</v>
      </c>
      <c r="B1083" s="1" t="str">
        <f>"محمد"</f>
        <v>محمد</v>
      </c>
      <c r="C1083" s="1" t="str">
        <f>"روشني روز"</f>
        <v>روشني روز</v>
      </c>
      <c r="D1083" s="1" t="str">
        <f t="shared" si="114"/>
        <v>قراردادي بهره بردار</v>
      </c>
      <c r="E1083" s="1" t="str">
        <f t="shared" si="116"/>
        <v>پروژه بهره برداري نيروگاه بوشهر</v>
      </c>
      <c r="F1083" s="1">
        <v>7064874</v>
      </c>
      <c r="G1083" s="1">
        <v>1882265</v>
      </c>
      <c r="H1083" s="1">
        <v>0</v>
      </c>
      <c r="I1083" s="1">
        <v>3267382</v>
      </c>
      <c r="J1083" s="1">
        <v>0</v>
      </c>
      <c r="K1083" s="1">
        <v>4620000</v>
      </c>
      <c r="L1083" s="1">
        <v>0</v>
      </c>
      <c r="M1083" s="1">
        <v>400000</v>
      </c>
      <c r="N1083" s="1">
        <v>836501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1260275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597501</v>
      </c>
      <c r="AF1083" s="1">
        <v>1111269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836501</v>
      </c>
      <c r="AM1083" s="1">
        <v>0</v>
      </c>
      <c r="AN1083" s="1">
        <v>22976568</v>
      </c>
      <c r="AO1083" s="1">
        <v>1570571</v>
      </c>
      <c r="AP1083" s="1">
        <v>21405997</v>
      </c>
      <c r="AQ1083" s="1">
        <v>4373060</v>
      </c>
      <c r="AR1083" s="1">
        <v>655959</v>
      </c>
      <c r="AS1083" s="1">
        <v>0</v>
      </c>
      <c r="AT1083" s="1">
        <f t="shared" si="111"/>
        <v>28005587</v>
      </c>
    </row>
    <row r="1084" spans="1:46" x14ac:dyDescent="0.2">
      <c r="A1084" s="1" t="str">
        <f>"01372"</f>
        <v>01372</v>
      </c>
      <c r="B1084" s="1" t="str">
        <f>"رضا"</f>
        <v>رضا</v>
      </c>
      <c r="C1084" s="1" t="str">
        <f>"محمدي"</f>
        <v>محمدي</v>
      </c>
      <c r="D1084" s="1" t="str">
        <f t="shared" si="114"/>
        <v>قراردادي بهره بردار</v>
      </c>
      <c r="E1084" s="1" t="str">
        <f t="shared" si="116"/>
        <v>پروژه بهره برداري نيروگاه بوشهر</v>
      </c>
      <c r="F1084" s="1">
        <v>6884762</v>
      </c>
      <c r="G1084" s="1">
        <v>1911038</v>
      </c>
      <c r="H1084" s="1">
        <v>0</v>
      </c>
      <c r="I1084" s="1">
        <v>3142731</v>
      </c>
      <c r="J1084" s="1">
        <v>0</v>
      </c>
      <c r="K1084" s="1">
        <v>3465000</v>
      </c>
      <c r="L1084" s="1">
        <v>0</v>
      </c>
      <c r="M1084" s="1">
        <v>400000</v>
      </c>
      <c r="N1084" s="1">
        <v>771646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1212196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551176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771646</v>
      </c>
      <c r="AM1084" s="1">
        <v>0</v>
      </c>
      <c r="AN1084" s="1">
        <v>20210195</v>
      </c>
      <c r="AO1084" s="1">
        <v>2454714</v>
      </c>
      <c r="AP1084" s="1">
        <v>17755481</v>
      </c>
      <c r="AQ1084" s="1">
        <v>4042039</v>
      </c>
      <c r="AR1084" s="1">
        <v>606306</v>
      </c>
      <c r="AS1084" s="1">
        <v>0</v>
      </c>
      <c r="AT1084" s="1">
        <f t="shared" si="111"/>
        <v>24858540</v>
      </c>
    </row>
    <row r="1085" spans="1:46" x14ac:dyDescent="0.2">
      <c r="A1085" s="1" t="str">
        <f>"01373"</f>
        <v>01373</v>
      </c>
      <c r="B1085" s="1" t="str">
        <f>"محسن"</f>
        <v>محسن</v>
      </c>
      <c r="C1085" s="1" t="str">
        <f>"موحدنيا"</f>
        <v>موحدنيا</v>
      </c>
      <c r="D1085" s="1" t="str">
        <f t="shared" si="114"/>
        <v>قراردادي بهره بردار</v>
      </c>
      <c r="E1085" s="1" t="str">
        <f t="shared" si="116"/>
        <v>پروژه بهره برداري نيروگاه بوشهر</v>
      </c>
      <c r="F1085" s="1">
        <v>11059611</v>
      </c>
      <c r="G1085" s="1">
        <v>3270119</v>
      </c>
      <c r="H1085" s="1">
        <v>0</v>
      </c>
      <c r="I1085" s="1">
        <v>5202339</v>
      </c>
      <c r="J1085" s="1">
        <v>0</v>
      </c>
      <c r="K1085" s="1">
        <v>4125000</v>
      </c>
      <c r="L1085" s="1">
        <v>0</v>
      </c>
      <c r="M1085" s="1">
        <v>400000</v>
      </c>
      <c r="N1085" s="1">
        <v>1339217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1970565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956584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1147901</v>
      </c>
      <c r="AM1085" s="1">
        <v>0</v>
      </c>
      <c r="AN1085" s="1">
        <v>30571336</v>
      </c>
      <c r="AO1085" s="1">
        <v>2768355</v>
      </c>
      <c r="AP1085" s="1">
        <v>27802981</v>
      </c>
      <c r="AQ1085" s="1">
        <v>6114267</v>
      </c>
      <c r="AR1085" s="1">
        <v>917140</v>
      </c>
      <c r="AS1085" s="1">
        <v>0</v>
      </c>
      <c r="AT1085" s="1">
        <f t="shared" si="111"/>
        <v>37602743</v>
      </c>
    </row>
    <row r="1086" spans="1:46" x14ac:dyDescent="0.2">
      <c r="A1086" s="1" t="str">
        <f>"01374"</f>
        <v>01374</v>
      </c>
      <c r="B1086" s="1" t="str">
        <f>"علي"</f>
        <v>علي</v>
      </c>
      <c r="C1086" s="1" t="str">
        <f>"اسماعيلي نسب"</f>
        <v>اسماعيلي نسب</v>
      </c>
      <c r="D1086" s="1" t="str">
        <f t="shared" si="114"/>
        <v>قراردادي بهره بردار</v>
      </c>
      <c r="E1086" s="1" t="str">
        <f t="shared" si="116"/>
        <v>پروژه بهره برداري نيروگاه بوشهر</v>
      </c>
      <c r="F1086" s="1">
        <v>10706967</v>
      </c>
      <c r="G1086" s="1">
        <v>3095510</v>
      </c>
      <c r="H1086" s="1">
        <v>0</v>
      </c>
      <c r="I1086" s="1">
        <v>4836083</v>
      </c>
      <c r="J1086" s="1">
        <v>0</v>
      </c>
      <c r="K1086" s="1">
        <v>5500000</v>
      </c>
      <c r="L1086" s="1">
        <v>0</v>
      </c>
      <c r="M1086" s="1">
        <v>400000</v>
      </c>
      <c r="N1086" s="1">
        <v>1209605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1865346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864002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1036804</v>
      </c>
      <c r="AM1086" s="1">
        <v>0</v>
      </c>
      <c r="AN1086" s="1">
        <v>30614317</v>
      </c>
      <c r="AO1086" s="1">
        <v>2775577</v>
      </c>
      <c r="AP1086" s="1">
        <v>27838740</v>
      </c>
      <c r="AQ1086" s="1">
        <v>6122863</v>
      </c>
      <c r="AR1086" s="1">
        <v>918430</v>
      </c>
      <c r="AS1086" s="1">
        <v>0</v>
      </c>
      <c r="AT1086" s="1">
        <f t="shared" si="111"/>
        <v>37655610</v>
      </c>
    </row>
    <row r="1087" spans="1:46" x14ac:dyDescent="0.2">
      <c r="A1087" s="1" t="str">
        <f>"01375"</f>
        <v>01375</v>
      </c>
      <c r="B1087" s="1" t="str">
        <f>"نصراله"</f>
        <v>نصراله</v>
      </c>
      <c r="C1087" s="1" t="str">
        <f>"کرم پور"</f>
        <v>کرم پور</v>
      </c>
      <c r="D1087" s="1" t="str">
        <f t="shared" si="114"/>
        <v>قراردادي بهره بردار</v>
      </c>
      <c r="E1087" s="1" t="str">
        <f t="shared" si="116"/>
        <v>پروژه بهره برداري نيروگاه بوشهر</v>
      </c>
      <c r="F1087" s="1">
        <v>10293060</v>
      </c>
      <c r="G1087" s="1">
        <v>2915761</v>
      </c>
      <c r="H1087" s="1">
        <v>0</v>
      </c>
      <c r="I1087" s="1">
        <v>4555263</v>
      </c>
      <c r="J1087" s="1">
        <v>0</v>
      </c>
      <c r="K1087" s="1">
        <v>4125000</v>
      </c>
      <c r="L1087" s="1">
        <v>0</v>
      </c>
      <c r="M1087" s="1">
        <v>400000</v>
      </c>
      <c r="N1087" s="1">
        <v>1058548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1757030</v>
      </c>
      <c r="W1087" s="1">
        <v>1100000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756105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907327</v>
      </c>
      <c r="AM1087" s="1">
        <v>0</v>
      </c>
      <c r="AN1087" s="1">
        <v>27868094</v>
      </c>
      <c r="AO1087" s="1">
        <v>2314211</v>
      </c>
      <c r="AP1087" s="1">
        <v>25553883</v>
      </c>
      <c r="AQ1087" s="1">
        <v>5573619</v>
      </c>
      <c r="AR1087" s="1">
        <v>836043</v>
      </c>
      <c r="AS1087" s="1">
        <v>0</v>
      </c>
      <c r="AT1087" s="1">
        <f t="shared" si="111"/>
        <v>34277756</v>
      </c>
    </row>
    <row r="1088" spans="1:46" x14ac:dyDescent="0.2">
      <c r="A1088" s="1" t="str">
        <f>"01376"</f>
        <v>01376</v>
      </c>
      <c r="B1088" s="1" t="str">
        <f>"مهدي"</f>
        <v>مهدي</v>
      </c>
      <c r="C1088" s="1" t="str">
        <f>"افشين"</f>
        <v>افشين</v>
      </c>
      <c r="D1088" s="1" t="str">
        <f t="shared" si="114"/>
        <v>قراردادي بهره بردار</v>
      </c>
      <c r="E1088" s="1" t="str">
        <f t="shared" si="116"/>
        <v>پروژه بهره برداري نيروگاه بوشهر</v>
      </c>
      <c r="F1088" s="1">
        <v>10185521</v>
      </c>
      <c r="G1088" s="1">
        <v>2878091</v>
      </c>
      <c r="H1088" s="1">
        <v>0</v>
      </c>
      <c r="I1088" s="1">
        <v>4536255</v>
      </c>
      <c r="J1088" s="1">
        <v>0</v>
      </c>
      <c r="K1088" s="1">
        <v>4125000</v>
      </c>
      <c r="L1088" s="1">
        <v>0</v>
      </c>
      <c r="M1088" s="1">
        <v>400000</v>
      </c>
      <c r="N1088" s="1">
        <v>1019481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1734331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728201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873841</v>
      </c>
      <c r="AM1088" s="1">
        <v>0</v>
      </c>
      <c r="AN1088" s="1">
        <v>27580721</v>
      </c>
      <c r="AO1088" s="1">
        <v>2265931</v>
      </c>
      <c r="AP1088" s="1">
        <v>25314790</v>
      </c>
      <c r="AQ1088" s="1">
        <v>5516144</v>
      </c>
      <c r="AR1088" s="1">
        <v>827422</v>
      </c>
      <c r="AS1088" s="1">
        <v>0</v>
      </c>
      <c r="AT1088" s="1">
        <f t="shared" si="111"/>
        <v>33924287</v>
      </c>
    </row>
    <row r="1089" spans="1:46" x14ac:dyDescent="0.2">
      <c r="A1089" s="1" t="str">
        <f>"01377"</f>
        <v>01377</v>
      </c>
      <c r="B1089" s="1" t="str">
        <f>"عليرضا"</f>
        <v>عليرضا</v>
      </c>
      <c r="C1089" s="1" t="str">
        <f>"گچ کاران"</f>
        <v>گچ کاران</v>
      </c>
      <c r="D1089" s="1" t="str">
        <f t="shared" si="114"/>
        <v>قراردادي بهره بردار</v>
      </c>
      <c r="E1089" s="1" t="str">
        <f t="shared" si="116"/>
        <v>پروژه بهره برداري نيروگاه بوشهر</v>
      </c>
      <c r="F1089" s="1">
        <v>6725574</v>
      </c>
      <c r="G1089" s="1">
        <v>1552924</v>
      </c>
      <c r="H1089" s="1">
        <v>0</v>
      </c>
      <c r="I1089" s="1">
        <v>3032646</v>
      </c>
      <c r="J1089" s="1">
        <v>0</v>
      </c>
      <c r="K1089" s="1">
        <v>3465000</v>
      </c>
      <c r="L1089" s="1">
        <v>0</v>
      </c>
      <c r="M1089" s="1">
        <v>400000</v>
      </c>
      <c r="N1089" s="1">
        <v>714416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1169735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510297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714416</v>
      </c>
      <c r="AM1089" s="1">
        <v>0</v>
      </c>
      <c r="AN1089" s="1">
        <v>19385008</v>
      </c>
      <c r="AO1089" s="1">
        <v>1396951</v>
      </c>
      <c r="AP1089" s="1">
        <v>17988057</v>
      </c>
      <c r="AQ1089" s="1">
        <v>3877002</v>
      </c>
      <c r="AR1089" s="1">
        <v>581550</v>
      </c>
      <c r="AS1089" s="1">
        <v>0</v>
      </c>
      <c r="AT1089" s="1">
        <f t="shared" si="111"/>
        <v>23843560</v>
      </c>
    </row>
    <row r="1090" spans="1:46" x14ac:dyDescent="0.2">
      <c r="A1090" s="1" t="str">
        <f>"01379"</f>
        <v>01379</v>
      </c>
      <c r="B1090" s="1" t="str">
        <f>"احمد"</f>
        <v>احمد</v>
      </c>
      <c r="C1090" s="1" t="str">
        <f>"ناطوري"</f>
        <v>ناطوري</v>
      </c>
      <c r="D1090" s="1" t="str">
        <f t="shared" si="114"/>
        <v>قراردادي بهره بردار</v>
      </c>
      <c r="E1090" s="1" t="str">
        <f t="shared" si="116"/>
        <v>پروژه بهره برداري نيروگاه بوشهر</v>
      </c>
      <c r="F1090" s="1">
        <v>10042575</v>
      </c>
      <c r="G1090" s="1">
        <v>2806947</v>
      </c>
      <c r="H1090" s="1">
        <v>0</v>
      </c>
      <c r="I1090" s="1">
        <v>4385264</v>
      </c>
      <c r="J1090" s="1">
        <v>0</v>
      </c>
      <c r="K1090" s="1">
        <v>4125000</v>
      </c>
      <c r="L1090" s="1">
        <v>0</v>
      </c>
      <c r="M1090" s="1">
        <v>400000</v>
      </c>
      <c r="N1090" s="1">
        <v>967070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1691459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690765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828918</v>
      </c>
      <c r="AM1090" s="1">
        <v>0</v>
      </c>
      <c r="AN1090" s="1">
        <v>27037998</v>
      </c>
      <c r="AO1090" s="1">
        <v>2174754</v>
      </c>
      <c r="AP1090" s="1">
        <v>24863244</v>
      </c>
      <c r="AQ1090" s="1">
        <v>5407600</v>
      </c>
      <c r="AR1090" s="1">
        <v>811140</v>
      </c>
      <c r="AS1090" s="1">
        <v>0</v>
      </c>
      <c r="AT1090" s="1">
        <f t="shared" si="111"/>
        <v>33256738</v>
      </c>
    </row>
    <row r="1091" spans="1:46" x14ac:dyDescent="0.2">
      <c r="A1091" s="1" t="str">
        <f>"01380"</f>
        <v>01380</v>
      </c>
      <c r="B1091" s="1" t="str">
        <f>"ابوطالب"</f>
        <v>ابوطالب</v>
      </c>
      <c r="C1091" s="1" t="str">
        <f>"نوروزي"</f>
        <v>نوروزي</v>
      </c>
      <c r="D1091" s="1" t="str">
        <f t="shared" si="114"/>
        <v>قراردادي بهره بردار</v>
      </c>
      <c r="E1091" s="1" t="str">
        <f t="shared" si="116"/>
        <v>پروژه بهره برداري نيروگاه بوشهر</v>
      </c>
      <c r="F1091" s="1">
        <v>10076021</v>
      </c>
      <c r="G1091" s="1">
        <v>2821458</v>
      </c>
      <c r="H1091" s="1">
        <v>0</v>
      </c>
      <c r="I1091" s="1">
        <v>4407934</v>
      </c>
      <c r="J1091" s="1">
        <v>0</v>
      </c>
      <c r="K1091" s="1">
        <v>4125000</v>
      </c>
      <c r="L1091" s="1">
        <v>0</v>
      </c>
      <c r="M1091" s="1">
        <v>400000</v>
      </c>
      <c r="N1091" s="1">
        <v>979252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1700203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699466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839359</v>
      </c>
      <c r="AM1091" s="1">
        <v>0</v>
      </c>
      <c r="AN1091" s="1">
        <v>27148693</v>
      </c>
      <c r="AO1091" s="1">
        <v>2193351</v>
      </c>
      <c r="AP1091" s="1">
        <v>24955342</v>
      </c>
      <c r="AQ1091" s="1">
        <v>5429739</v>
      </c>
      <c r="AR1091" s="1">
        <v>814461</v>
      </c>
      <c r="AS1091" s="1">
        <v>0</v>
      </c>
      <c r="AT1091" s="1">
        <f t="shared" ref="AT1091:AT1143" si="117">AS1091+AR1091+AQ1091+AN1091</f>
        <v>33392893</v>
      </c>
    </row>
    <row r="1092" spans="1:46" x14ac:dyDescent="0.2">
      <c r="A1092" s="1" t="str">
        <f>"01381"</f>
        <v>01381</v>
      </c>
      <c r="B1092" s="1" t="str">
        <f>"احسان"</f>
        <v>احسان</v>
      </c>
      <c r="C1092" s="1" t="str">
        <f>"شاهي غفاربي"</f>
        <v>شاهي غفاربي</v>
      </c>
      <c r="D1092" s="1" t="str">
        <f t="shared" si="114"/>
        <v>قراردادي بهره بردار</v>
      </c>
      <c r="E1092" s="1" t="str">
        <f t="shared" si="116"/>
        <v>پروژه بهره برداري نيروگاه بوشهر</v>
      </c>
      <c r="F1092" s="1">
        <v>10293060</v>
      </c>
      <c r="G1092" s="1">
        <v>2915761</v>
      </c>
      <c r="H1092" s="1">
        <v>0</v>
      </c>
      <c r="I1092" s="1">
        <v>4555263</v>
      </c>
      <c r="J1092" s="1">
        <v>0</v>
      </c>
      <c r="K1092" s="1">
        <v>4125000</v>
      </c>
      <c r="L1092" s="1">
        <v>0</v>
      </c>
      <c r="M1092" s="1">
        <v>400000</v>
      </c>
      <c r="N1092" s="1">
        <v>1058548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1757030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756105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907327</v>
      </c>
      <c r="AM1092" s="1">
        <v>0</v>
      </c>
      <c r="AN1092" s="1">
        <v>27868094</v>
      </c>
      <c r="AO1092" s="1">
        <v>2314211</v>
      </c>
      <c r="AP1092" s="1">
        <v>25553883</v>
      </c>
      <c r="AQ1092" s="1">
        <v>5573619</v>
      </c>
      <c r="AR1092" s="1">
        <v>836043</v>
      </c>
      <c r="AS1092" s="1">
        <v>0</v>
      </c>
      <c r="AT1092" s="1">
        <f t="shared" si="117"/>
        <v>34277756</v>
      </c>
    </row>
    <row r="1093" spans="1:46" x14ac:dyDescent="0.2">
      <c r="A1093" s="1" t="str">
        <f>"01382"</f>
        <v>01382</v>
      </c>
      <c r="B1093" s="1" t="str">
        <f>"امين"</f>
        <v>امين</v>
      </c>
      <c r="C1093" s="1" t="str">
        <f>"پرهيزکار"</f>
        <v>پرهيزکار</v>
      </c>
      <c r="D1093" s="1" t="str">
        <f t="shared" si="114"/>
        <v>قراردادي بهره بردار</v>
      </c>
      <c r="E1093" s="1" t="str">
        <f t="shared" si="116"/>
        <v>پروژه بهره برداري نيروگاه بوشهر</v>
      </c>
      <c r="F1093" s="1">
        <v>10982662</v>
      </c>
      <c r="G1093" s="1">
        <v>3228466</v>
      </c>
      <c r="H1093" s="1">
        <v>0</v>
      </c>
      <c r="I1093" s="1">
        <v>5101213</v>
      </c>
      <c r="J1093" s="1">
        <v>0</v>
      </c>
      <c r="K1093" s="1">
        <v>5500000</v>
      </c>
      <c r="L1093" s="1">
        <v>0</v>
      </c>
      <c r="M1093" s="1">
        <v>400000</v>
      </c>
      <c r="N1093" s="1">
        <v>1310858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1945465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936327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1123592</v>
      </c>
      <c r="AM1093" s="1">
        <v>0</v>
      </c>
      <c r="AN1093" s="1">
        <v>31628583</v>
      </c>
      <c r="AO1093" s="1">
        <v>3605973</v>
      </c>
      <c r="AP1093" s="1">
        <v>28022610</v>
      </c>
      <c r="AQ1093" s="1">
        <v>6325717</v>
      </c>
      <c r="AR1093" s="1">
        <v>948857</v>
      </c>
      <c r="AS1093" s="1">
        <v>0</v>
      </c>
      <c r="AT1093" s="1">
        <f t="shared" si="117"/>
        <v>38903157</v>
      </c>
    </row>
    <row r="1094" spans="1:46" x14ac:dyDescent="0.2">
      <c r="A1094" s="1" t="str">
        <f>"01383"</f>
        <v>01383</v>
      </c>
      <c r="B1094" s="1" t="str">
        <f>"صادق"</f>
        <v>صادق</v>
      </c>
      <c r="C1094" s="1" t="str">
        <f>"مختاري"</f>
        <v>مختاري</v>
      </c>
      <c r="D1094" s="1" t="str">
        <f t="shared" si="114"/>
        <v>قراردادي بهره بردار</v>
      </c>
      <c r="E1094" s="1" t="str">
        <f t="shared" si="116"/>
        <v>پروژه بهره برداري نيروگاه بوشهر</v>
      </c>
      <c r="F1094" s="1">
        <v>6752546</v>
      </c>
      <c r="G1094" s="1">
        <v>1562498</v>
      </c>
      <c r="H1094" s="1">
        <v>0</v>
      </c>
      <c r="I1094" s="1">
        <v>3051341</v>
      </c>
      <c r="J1094" s="1">
        <v>0</v>
      </c>
      <c r="K1094" s="1">
        <v>3465000</v>
      </c>
      <c r="L1094" s="1">
        <v>0</v>
      </c>
      <c r="M1094" s="1">
        <v>400000</v>
      </c>
      <c r="N1094" s="1">
        <v>724159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1176947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517257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724159</v>
      </c>
      <c r="AM1094" s="1">
        <v>0</v>
      </c>
      <c r="AN1094" s="1">
        <v>19473907</v>
      </c>
      <c r="AO1094" s="1">
        <v>1813319</v>
      </c>
      <c r="AP1094" s="1">
        <v>17660588</v>
      </c>
      <c r="AQ1094" s="1">
        <v>3894781</v>
      </c>
      <c r="AR1094" s="1">
        <v>584217</v>
      </c>
      <c r="AS1094" s="1">
        <v>0</v>
      </c>
      <c r="AT1094" s="1">
        <f t="shared" si="117"/>
        <v>23952905</v>
      </c>
    </row>
    <row r="1095" spans="1:46" x14ac:dyDescent="0.2">
      <c r="A1095" s="1" t="str">
        <f>"01386"</f>
        <v>01386</v>
      </c>
      <c r="B1095" s="1" t="str">
        <f>"محمد"</f>
        <v>محمد</v>
      </c>
      <c r="C1095" s="1" t="str">
        <f>"شاهسوني"</f>
        <v>شاهسوني</v>
      </c>
      <c r="D1095" s="1" t="str">
        <f t="shared" si="114"/>
        <v>قراردادي بهره بردار</v>
      </c>
      <c r="E1095" s="1" t="str">
        <f t="shared" si="116"/>
        <v>پروژه بهره برداري نيروگاه بوشهر</v>
      </c>
      <c r="F1095" s="1">
        <v>11730342</v>
      </c>
      <c r="G1095" s="1">
        <v>3540166</v>
      </c>
      <c r="H1095" s="1">
        <v>0</v>
      </c>
      <c r="I1095" s="1">
        <v>5530765</v>
      </c>
      <c r="J1095" s="1">
        <v>0</v>
      </c>
      <c r="K1095" s="1">
        <v>0</v>
      </c>
      <c r="L1095" s="1">
        <v>0</v>
      </c>
      <c r="M1095" s="1">
        <v>400000</v>
      </c>
      <c r="N1095" s="1">
        <v>1583495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2133294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1131068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1357281</v>
      </c>
      <c r="AM1095" s="1">
        <v>0</v>
      </c>
      <c r="AN1095" s="1">
        <v>28506411</v>
      </c>
      <c r="AO1095" s="1">
        <v>8842993</v>
      </c>
      <c r="AP1095" s="1">
        <v>19663418</v>
      </c>
      <c r="AQ1095" s="1">
        <v>5701282</v>
      </c>
      <c r="AR1095" s="1">
        <v>855192</v>
      </c>
      <c r="AS1095" s="1">
        <v>0</v>
      </c>
      <c r="AT1095" s="1">
        <f t="shared" si="117"/>
        <v>35062885</v>
      </c>
    </row>
    <row r="1096" spans="1:46" x14ac:dyDescent="0.2">
      <c r="A1096" s="1" t="str">
        <f>"01387"</f>
        <v>01387</v>
      </c>
      <c r="B1096" s="1" t="str">
        <f>"علي"</f>
        <v>علي</v>
      </c>
      <c r="C1096" s="1" t="str">
        <f>"صفي ياري خفري"</f>
        <v>صفي ياري خفري</v>
      </c>
      <c r="D1096" s="1" t="str">
        <f t="shared" si="114"/>
        <v>قراردادي بهره بردار</v>
      </c>
      <c r="E1096" s="1" t="str">
        <f t="shared" si="116"/>
        <v>پروژه بهره برداري نيروگاه بوشهر</v>
      </c>
      <c r="F1096" s="1">
        <v>10661811</v>
      </c>
      <c r="G1096" s="1">
        <v>4613816</v>
      </c>
      <c r="H1096" s="1">
        <v>0</v>
      </c>
      <c r="I1096" s="1">
        <v>4805410</v>
      </c>
      <c r="J1096" s="1">
        <v>0</v>
      </c>
      <c r="K1096" s="1">
        <v>4125000</v>
      </c>
      <c r="L1096" s="1">
        <v>0</v>
      </c>
      <c r="M1096" s="1">
        <v>400000</v>
      </c>
      <c r="N1096" s="1">
        <v>1193085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1853516</v>
      </c>
      <c r="W1096" s="1">
        <v>1100000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852204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1022644</v>
      </c>
      <c r="AM1096" s="1">
        <v>0</v>
      </c>
      <c r="AN1096" s="1">
        <v>30627486</v>
      </c>
      <c r="AO1096" s="1">
        <v>2775418</v>
      </c>
      <c r="AP1096" s="1">
        <v>27852068</v>
      </c>
      <c r="AQ1096" s="1">
        <v>6125497</v>
      </c>
      <c r="AR1096" s="1">
        <v>918825</v>
      </c>
      <c r="AS1096" s="1">
        <v>0</v>
      </c>
      <c r="AT1096" s="1">
        <f t="shared" si="117"/>
        <v>37671808</v>
      </c>
    </row>
    <row r="1097" spans="1:46" x14ac:dyDescent="0.2">
      <c r="A1097" s="1" t="str">
        <f>"01388"</f>
        <v>01388</v>
      </c>
      <c r="B1097" s="1" t="str">
        <f>"پوريا"</f>
        <v>پوريا</v>
      </c>
      <c r="C1097" s="1" t="str">
        <f>"ميرسنجري"</f>
        <v>ميرسنجري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4763847</v>
      </c>
      <c r="G1097" s="1">
        <v>1244956</v>
      </c>
      <c r="H1097" s="1">
        <v>0</v>
      </c>
      <c r="I1097" s="1">
        <v>2858309</v>
      </c>
      <c r="J1097" s="1">
        <v>0</v>
      </c>
      <c r="K1097" s="1">
        <v>0</v>
      </c>
      <c r="L1097" s="1">
        <v>3345440</v>
      </c>
      <c r="M1097" s="1">
        <v>400000</v>
      </c>
      <c r="N1097" s="1">
        <v>2540719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1495832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17749103</v>
      </c>
      <c r="AO1097" s="1">
        <v>1282437</v>
      </c>
      <c r="AP1097" s="1">
        <v>16466666</v>
      </c>
      <c r="AQ1097" s="1">
        <v>3549821</v>
      </c>
      <c r="AR1097" s="1">
        <v>532473</v>
      </c>
      <c r="AS1097" s="1">
        <v>0</v>
      </c>
      <c r="AT1097" s="1">
        <f t="shared" si="117"/>
        <v>21831397</v>
      </c>
    </row>
    <row r="1098" spans="1:46" x14ac:dyDescent="0.2">
      <c r="A1098" s="1" t="str">
        <f>"01389"</f>
        <v>01389</v>
      </c>
      <c r="B1098" s="1" t="str">
        <f>"عيسي"</f>
        <v>عيسي</v>
      </c>
      <c r="C1098" s="1" t="str">
        <f>"زنده بودي"</f>
        <v>زنده بودي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7133142</v>
      </c>
      <c r="G1098" s="1">
        <v>13340067</v>
      </c>
      <c r="H1098" s="1">
        <v>0</v>
      </c>
      <c r="I1098" s="1">
        <v>4279885</v>
      </c>
      <c r="J1098" s="1">
        <v>0</v>
      </c>
      <c r="K1098" s="1">
        <v>0</v>
      </c>
      <c r="L1098" s="1">
        <v>3345440</v>
      </c>
      <c r="M1098" s="1">
        <v>400000</v>
      </c>
      <c r="N1098" s="1">
        <v>3804342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2001281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2222538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37626695</v>
      </c>
      <c r="AO1098" s="1">
        <v>4850999</v>
      </c>
      <c r="AP1098" s="1">
        <v>32775696</v>
      </c>
      <c r="AQ1098" s="1">
        <v>7080831</v>
      </c>
      <c r="AR1098" s="1">
        <v>1062125</v>
      </c>
      <c r="AS1098" s="1">
        <v>0</v>
      </c>
      <c r="AT1098" s="1">
        <f t="shared" si="117"/>
        <v>45769651</v>
      </c>
    </row>
    <row r="1099" spans="1:46" x14ac:dyDescent="0.2">
      <c r="A1099" s="1" t="str">
        <f>"01390"</f>
        <v>01390</v>
      </c>
      <c r="B1099" s="1" t="str">
        <f>"محمد"</f>
        <v>محمد</v>
      </c>
      <c r="C1099" s="1" t="str">
        <f>"صبوريان"</f>
        <v>صبوريان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4470843</v>
      </c>
      <c r="G1099" s="1">
        <v>4643626</v>
      </c>
      <c r="H1099" s="1">
        <v>0</v>
      </c>
      <c r="I1099" s="1">
        <v>2682506</v>
      </c>
      <c r="J1099" s="1">
        <v>0</v>
      </c>
      <c r="K1099" s="1">
        <v>0</v>
      </c>
      <c r="L1099" s="1">
        <v>3345440</v>
      </c>
      <c r="M1099" s="1">
        <v>400000</v>
      </c>
      <c r="N1099" s="1">
        <v>2384450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1433324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1932486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1382289</v>
      </c>
      <c r="AK1099" s="1">
        <v>0</v>
      </c>
      <c r="AL1099" s="1">
        <v>0</v>
      </c>
      <c r="AM1099" s="1">
        <v>0</v>
      </c>
      <c r="AN1099" s="1">
        <v>23774964</v>
      </c>
      <c r="AO1099" s="1">
        <v>2009635</v>
      </c>
      <c r="AP1099" s="1">
        <v>21765329</v>
      </c>
      <c r="AQ1099" s="1">
        <v>4754993</v>
      </c>
      <c r="AR1099" s="1">
        <v>713249</v>
      </c>
      <c r="AS1099" s="1">
        <v>0</v>
      </c>
      <c r="AT1099" s="1">
        <f t="shared" si="117"/>
        <v>29243206</v>
      </c>
    </row>
    <row r="1100" spans="1:46" x14ac:dyDescent="0.2">
      <c r="A1100" s="1" t="str">
        <f>"01391"</f>
        <v>01391</v>
      </c>
      <c r="B1100" s="1" t="str">
        <f>"اميد"</f>
        <v>اميد</v>
      </c>
      <c r="C1100" s="1" t="str">
        <f>"محمدپور"</f>
        <v>محمدپور</v>
      </c>
      <c r="D1100" s="1" t="str">
        <f>"قراردادي کارگري"</f>
        <v>قراردادي کارگري</v>
      </c>
      <c r="E1100" s="1" t="str">
        <f>"پروژه تعميرات نيروگاه بوشهر"</f>
        <v>پروژه تعميرات نيروگاه بوشهر</v>
      </c>
      <c r="F1100" s="1">
        <v>6269284</v>
      </c>
      <c r="G1100" s="1">
        <v>0</v>
      </c>
      <c r="H1100" s="1">
        <v>0</v>
      </c>
      <c r="I1100" s="1">
        <v>3761571</v>
      </c>
      <c r="J1100" s="1">
        <v>0</v>
      </c>
      <c r="K1100" s="1">
        <v>0</v>
      </c>
      <c r="L1100" s="1">
        <v>3345440</v>
      </c>
      <c r="M1100" s="1">
        <v>400000</v>
      </c>
      <c r="N1100" s="1">
        <v>3343618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1816991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1111269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21148173</v>
      </c>
      <c r="AO1100" s="1">
        <v>1442583</v>
      </c>
      <c r="AP1100" s="1">
        <v>19705590</v>
      </c>
      <c r="AQ1100" s="1">
        <v>4007381</v>
      </c>
      <c r="AR1100" s="1">
        <v>601107</v>
      </c>
      <c r="AS1100" s="1">
        <v>0</v>
      </c>
      <c r="AT1100" s="1">
        <f t="shared" si="117"/>
        <v>25756661</v>
      </c>
    </row>
    <row r="1101" spans="1:46" x14ac:dyDescent="0.2">
      <c r="A1101" s="1" t="str">
        <f>"01392"</f>
        <v>01392</v>
      </c>
      <c r="B1101" s="1" t="str">
        <f>"سيد محمد"</f>
        <v>سيد محمد</v>
      </c>
      <c r="C1101" s="1" t="str">
        <f>"مير سليماني"</f>
        <v>مير سليماني</v>
      </c>
      <c r="D1101" s="1" t="str">
        <f t="shared" ref="D1101:D1131" si="118">"قراردادي بهره بردار"</f>
        <v>قراردادي بهره بردار</v>
      </c>
      <c r="E1101" s="1" t="str">
        <f t="shared" ref="E1101:E1131" si="119">"پروژه بهره برداري نيروگاه بوشهر"</f>
        <v>پروژه بهره برداري نيروگاه بوشهر</v>
      </c>
      <c r="F1101" s="1">
        <v>7236929</v>
      </c>
      <c r="G1101" s="1">
        <v>2196723</v>
      </c>
      <c r="H1101" s="1">
        <v>0</v>
      </c>
      <c r="I1101" s="1">
        <v>3431916</v>
      </c>
      <c r="J1101" s="1">
        <v>0</v>
      </c>
      <c r="K1101" s="1">
        <v>3465000</v>
      </c>
      <c r="L1101" s="1">
        <v>0</v>
      </c>
      <c r="M1101" s="1">
        <v>400000</v>
      </c>
      <c r="N1101" s="1">
        <v>898992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1342000</v>
      </c>
      <c r="U1101" s="1">
        <v>0</v>
      </c>
      <c r="V1101" s="1">
        <v>1323740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642136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1027419</v>
      </c>
      <c r="AM1101" s="1">
        <v>0</v>
      </c>
      <c r="AN1101" s="1">
        <v>23064855</v>
      </c>
      <c r="AO1101" s="1">
        <v>1520600</v>
      </c>
      <c r="AP1101" s="1">
        <v>21544255</v>
      </c>
      <c r="AQ1101" s="1">
        <v>4344571</v>
      </c>
      <c r="AR1101" s="1">
        <v>651686</v>
      </c>
      <c r="AS1101" s="1">
        <v>0</v>
      </c>
      <c r="AT1101" s="1">
        <f t="shared" si="117"/>
        <v>28061112</v>
      </c>
    </row>
    <row r="1102" spans="1:46" x14ac:dyDescent="0.2">
      <c r="A1102" s="1" t="str">
        <f>"01393"</f>
        <v>01393</v>
      </c>
      <c r="B1102" s="1" t="str">
        <f>"پيمان"</f>
        <v>پيمان</v>
      </c>
      <c r="C1102" s="1" t="str">
        <f>"نجفي"</f>
        <v>نجفي</v>
      </c>
      <c r="D1102" s="1" t="str">
        <f t="shared" si="118"/>
        <v>قراردادي بهره بردار</v>
      </c>
      <c r="E1102" s="1" t="str">
        <f t="shared" si="119"/>
        <v>پروژه بهره برداري نيروگاه بوشهر</v>
      </c>
      <c r="F1102" s="1">
        <v>6743141</v>
      </c>
      <c r="G1102" s="1">
        <v>1559210</v>
      </c>
      <c r="H1102" s="1">
        <v>0</v>
      </c>
      <c r="I1102" s="1">
        <v>3044923</v>
      </c>
      <c r="J1102" s="1">
        <v>0</v>
      </c>
      <c r="K1102" s="1">
        <v>3465000</v>
      </c>
      <c r="L1102" s="1">
        <v>0</v>
      </c>
      <c r="M1102" s="1">
        <v>400000</v>
      </c>
      <c r="N1102" s="1">
        <v>720867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1174470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514906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720867</v>
      </c>
      <c r="AM1102" s="1">
        <v>0</v>
      </c>
      <c r="AN1102" s="1">
        <v>19443384</v>
      </c>
      <c r="AO1102" s="1">
        <v>1401037</v>
      </c>
      <c r="AP1102" s="1">
        <v>18042347</v>
      </c>
      <c r="AQ1102" s="1">
        <v>3888677</v>
      </c>
      <c r="AR1102" s="1">
        <v>583302</v>
      </c>
      <c r="AS1102" s="1">
        <v>0</v>
      </c>
      <c r="AT1102" s="1">
        <f t="shared" si="117"/>
        <v>23915363</v>
      </c>
    </row>
    <row r="1103" spans="1:46" x14ac:dyDescent="0.2">
      <c r="A1103" s="1" t="str">
        <f>"01394"</f>
        <v>01394</v>
      </c>
      <c r="B1103" s="1" t="str">
        <f>"محمدرضا"</f>
        <v>محمدرضا</v>
      </c>
      <c r="C1103" s="1" t="str">
        <f>"احمدپري"</f>
        <v>احمدپري</v>
      </c>
      <c r="D1103" s="1" t="str">
        <f t="shared" si="118"/>
        <v>قراردادي بهره بردار</v>
      </c>
      <c r="E1103" s="1" t="str">
        <f t="shared" si="119"/>
        <v>پروژه بهره برداري نيروگاه بوشهر</v>
      </c>
      <c r="F1103" s="1">
        <v>10849672</v>
      </c>
      <c r="G1103" s="1">
        <v>2999613</v>
      </c>
      <c r="H1103" s="1">
        <v>0</v>
      </c>
      <c r="I1103" s="1">
        <v>4932910</v>
      </c>
      <c r="J1103" s="1">
        <v>0</v>
      </c>
      <c r="K1103" s="1">
        <v>4125000</v>
      </c>
      <c r="L1103" s="1">
        <v>0</v>
      </c>
      <c r="M1103" s="1">
        <v>400000</v>
      </c>
      <c r="N1103" s="1">
        <v>1261693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1902694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901210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1081452</v>
      </c>
      <c r="AM1103" s="1">
        <v>0</v>
      </c>
      <c r="AN1103" s="1">
        <v>29554244</v>
      </c>
      <c r="AO1103" s="1">
        <v>2607820</v>
      </c>
      <c r="AP1103" s="1">
        <v>26946424</v>
      </c>
      <c r="AQ1103" s="1">
        <v>5910849</v>
      </c>
      <c r="AR1103" s="1">
        <v>886627</v>
      </c>
      <c r="AS1103" s="1">
        <v>0</v>
      </c>
      <c r="AT1103" s="1">
        <f t="shared" si="117"/>
        <v>36351720</v>
      </c>
    </row>
    <row r="1104" spans="1:46" x14ac:dyDescent="0.2">
      <c r="A1104" s="1" t="str">
        <f>"01395"</f>
        <v>01395</v>
      </c>
      <c r="B1104" s="1" t="str">
        <f>"وحيد"</f>
        <v>وحيد</v>
      </c>
      <c r="C1104" s="1" t="str">
        <f>"زندي"</f>
        <v>زندي</v>
      </c>
      <c r="D1104" s="1" t="str">
        <f t="shared" si="118"/>
        <v>قراردادي بهره بردار</v>
      </c>
      <c r="E1104" s="1" t="str">
        <f t="shared" si="119"/>
        <v>پروژه بهره برداري نيروگاه بوشهر</v>
      </c>
      <c r="F1104" s="1">
        <v>6799565</v>
      </c>
      <c r="G1104" s="1">
        <v>0</v>
      </c>
      <c r="H1104" s="1">
        <v>0</v>
      </c>
      <c r="I1104" s="1">
        <v>3083864</v>
      </c>
      <c r="J1104" s="1">
        <v>0</v>
      </c>
      <c r="K1104" s="1">
        <v>0</v>
      </c>
      <c r="L1104" s="1">
        <v>0</v>
      </c>
      <c r="M1104" s="1">
        <v>400000</v>
      </c>
      <c r="N1104" s="1">
        <v>741070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1189491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529336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741070</v>
      </c>
      <c r="AM1104" s="1">
        <v>0</v>
      </c>
      <c r="AN1104" s="1">
        <v>14584396</v>
      </c>
      <c r="AO1104" s="1">
        <v>1060908</v>
      </c>
      <c r="AP1104" s="1">
        <v>13523488</v>
      </c>
      <c r="AQ1104" s="1">
        <v>2916879</v>
      </c>
      <c r="AR1104" s="1">
        <v>437532</v>
      </c>
      <c r="AS1104" s="1">
        <v>0</v>
      </c>
      <c r="AT1104" s="1">
        <f t="shared" si="117"/>
        <v>17938807</v>
      </c>
    </row>
    <row r="1105" spans="1:46" x14ac:dyDescent="0.2">
      <c r="A1105" s="1" t="str">
        <f>"01396"</f>
        <v>01396</v>
      </c>
      <c r="B1105" s="1" t="str">
        <f>"مهدي"</f>
        <v>مهدي</v>
      </c>
      <c r="C1105" s="1" t="str">
        <f>"ترحمي سيل آباد"</f>
        <v>ترحمي سيل آباد</v>
      </c>
      <c r="D1105" s="1" t="str">
        <f t="shared" si="118"/>
        <v>قراردادي بهره بردار</v>
      </c>
      <c r="E1105" s="1" t="str">
        <f t="shared" si="119"/>
        <v>پروژه بهره برداري نيروگاه بوشهر</v>
      </c>
      <c r="F1105" s="1">
        <v>6725574</v>
      </c>
      <c r="G1105" s="1">
        <v>0</v>
      </c>
      <c r="H1105" s="1">
        <v>0</v>
      </c>
      <c r="I1105" s="1">
        <v>3032646</v>
      </c>
      <c r="J1105" s="1">
        <v>0</v>
      </c>
      <c r="K1105" s="1">
        <v>3465000</v>
      </c>
      <c r="L1105" s="1">
        <v>0</v>
      </c>
      <c r="M1105" s="1">
        <v>400000</v>
      </c>
      <c r="N1105" s="1">
        <v>714416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1169735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510297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714416</v>
      </c>
      <c r="AM1105" s="1">
        <v>0</v>
      </c>
      <c r="AN1105" s="1">
        <v>17832084</v>
      </c>
      <c r="AO1105" s="1">
        <v>1288246</v>
      </c>
      <c r="AP1105" s="1">
        <v>16543838</v>
      </c>
      <c r="AQ1105" s="1">
        <v>3566417</v>
      </c>
      <c r="AR1105" s="1">
        <v>534963</v>
      </c>
      <c r="AS1105" s="1">
        <v>0</v>
      </c>
      <c r="AT1105" s="1">
        <f t="shared" si="117"/>
        <v>21933464</v>
      </c>
    </row>
    <row r="1106" spans="1:46" x14ac:dyDescent="0.2">
      <c r="A1106" s="1" t="str">
        <f>"01397"</f>
        <v>01397</v>
      </c>
      <c r="B1106" s="1" t="str">
        <f>"محمد"</f>
        <v>محمد</v>
      </c>
      <c r="C1106" s="1" t="str">
        <f>"پديسار"</f>
        <v>پديسار</v>
      </c>
      <c r="D1106" s="1" t="str">
        <f t="shared" si="118"/>
        <v>قراردادي بهره بردار</v>
      </c>
      <c r="E1106" s="1" t="str">
        <f t="shared" si="119"/>
        <v>پروژه بهره برداري نيروگاه بوشهر</v>
      </c>
      <c r="F1106" s="1">
        <v>10433773</v>
      </c>
      <c r="G1106" s="1">
        <v>446513</v>
      </c>
      <c r="H1106" s="1">
        <v>0</v>
      </c>
      <c r="I1106" s="1">
        <v>4650552</v>
      </c>
      <c r="J1106" s="1">
        <v>0</v>
      </c>
      <c r="K1106" s="1">
        <v>5500000</v>
      </c>
      <c r="L1106" s="1">
        <v>951173</v>
      </c>
      <c r="M1106" s="1">
        <v>400000</v>
      </c>
      <c r="N1106" s="1">
        <v>1109702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1342000</v>
      </c>
      <c r="U1106" s="1">
        <v>0</v>
      </c>
      <c r="V1106" s="1">
        <v>1793784</v>
      </c>
      <c r="W1106" s="1">
        <v>1100000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792643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28520140</v>
      </c>
      <c r="AO1106" s="1">
        <v>6031095</v>
      </c>
      <c r="AP1106" s="1">
        <v>22489045</v>
      </c>
      <c r="AQ1106" s="1">
        <v>5435628</v>
      </c>
      <c r="AR1106" s="1">
        <v>815344</v>
      </c>
      <c r="AS1106" s="1">
        <v>0</v>
      </c>
      <c r="AT1106" s="1">
        <f t="shared" si="117"/>
        <v>34771112</v>
      </c>
    </row>
    <row r="1107" spans="1:46" x14ac:dyDescent="0.2">
      <c r="A1107" s="1" t="str">
        <f>"01398"</f>
        <v>01398</v>
      </c>
      <c r="B1107" s="1" t="str">
        <f>"پژمان"</f>
        <v>پژمان</v>
      </c>
      <c r="C1107" s="1" t="str">
        <f>"سروري"</f>
        <v>سروري</v>
      </c>
      <c r="D1107" s="1" t="str">
        <f t="shared" si="118"/>
        <v>قراردادي بهره بردار</v>
      </c>
      <c r="E1107" s="1" t="str">
        <f t="shared" si="119"/>
        <v>پروژه بهره برداري نيروگاه بوشهر</v>
      </c>
      <c r="F1107" s="1">
        <v>6759446</v>
      </c>
      <c r="G1107" s="1">
        <v>1760605</v>
      </c>
      <c r="H1107" s="1">
        <v>0</v>
      </c>
      <c r="I1107" s="1">
        <v>3056194</v>
      </c>
      <c r="J1107" s="1">
        <v>0</v>
      </c>
      <c r="K1107" s="1">
        <v>3465000</v>
      </c>
      <c r="L1107" s="1">
        <v>0</v>
      </c>
      <c r="M1107" s="1">
        <v>400000</v>
      </c>
      <c r="N1107" s="1">
        <v>726726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1178818</v>
      </c>
      <c r="W1107" s="1">
        <v>1100000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519089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726726</v>
      </c>
      <c r="AM1107" s="1">
        <v>0</v>
      </c>
      <c r="AN1107" s="1">
        <v>19692604</v>
      </c>
      <c r="AO1107" s="1">
        <v>1418482</v>
      </c>
      <c r="AP1107" s="1">
        <v>18274122</v>
      </c>
      <c r="AQ1107" s="1">
        <v>3938521</v>
      </c>
      <c r="AR1107" s="1">
        <v>590778</v>
      </c>
      <c r="AS1107" s="1">
        <v>0</v>
      </c>
      <c r="AT1107" s="1">
        <f t="shared" si="117"/>
        <v>24221903</v>
      </c>
    </row>
    <row r="1108" spans="1:46" x14ac:dyDescent="0.2">
      <c r="A1108" s="1" t="str">
        <f>"01400"</f>
        <v>01400</v>
      </c>
      <c r="B1108" s="1" t="str">
        <f>"اسماعيل"</f>
        <v>اسماعيل</v>
      </c>
      <c r="C1108" s="1" t="str">
        <f>"احمد حسيني"</f>
        <v>احمد حسيني</v>
      </c>
      <c r="D1108" s="1" t="str">
        <f t="shared" si="118"/>
        <v>قراردادي بهره بردار</v>
      </c>
      <c r="E1108" s="1" t="str">
        <f t="shared" si="119"/>
        <v>پروژه بهره برداري نيروگاه بوشهر</v>
      </c>
      <c r="F1108" s="1">
        <v>6765087</v>
      </c>
      <c r="G1108" s="1">
        <v>0</v>
      </c>
      <c r="H1108" s="1">
        <v>0</v>
      </c>
      <c r="I1108" s="1">
        <v>3060046</v>
      </c>
      <c r="J1108" s="1">
        <v>0</v>
      </c>
      <c r="K1108" s="1">
        <v>3465000</v>
      </c>
      <c r="L1108" s="1">
        <v>0</v>
      </c>
      <c r="M1108" s="1">
        <v>400000</v>
      </c>
      <c r="N1108" s="1">
        <v>728700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1180303</v>
      </c>
      <c r="W1108" s="1">
        <v>1100000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520500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728700</v>
      </c>
      <c r="AM1108" s="1">
        <v>0</v>
      </c>
      <c r="AN1108" s="1">
        <v>17948336</v>
      </c>
      <c r="AO1108" s="1">
        <v>1296384</v>
      </c>
      <c r="AP1108" s="1">
        <v>16651952</v>
      </c>
      <c r="AQ1108" s="1">
        <v>3589667</v>
      </c>
      <c r="AR1108" s="1">
        <v>538450</v>
      </c>
      <c r="AS1108" s="1">
        <v>0</v>
      </c>
      <c r="AT1108" s="1">
        <f t="shared" si="117"/>
        <v>22076453</v>
      </c>
    </row>
    <row r="1109" spans="1:46" x14ac:dyDescent="0.2">
      <c r="A1109" s="1" t="str">
        <f>"01401"</f>
        <v>01401</v>
      </c>
      <c r="B1109" s="1" t="str">
        <f>"علي"</f>
        <v>علي</v>
      </c>
      <c r="C1109" s="1" t="str">
        <f>"دشتي زاده"</f>
        <v>دشتي زاده</v>
      </c>
      <c r="D1109" s="1" t="str">
        <f t="shared" si="118"/>
        <v>قراردادي بهره بردار</v>
      </c>
      <c r="E1109" s="1" t="str">
        <f t="shared" si="119"/>
        <v>پروژه بهره برداري نيروگاه بوشهر</v>
      </c>
      <c r="F1109" s="1">
        <v>6748783</v>
      </c>
      <c r="G1109" s="1">
        <v>1853904</v>
      </c>
      <c r="H1109" s="1">
        <v>0</v>
      </c>
      <c r="I1109" s="1">
        <v>3048774</v>
      </c>
      <c r="J1109" s="1">
        <v>0</v>
      </c>
      <c r="K1109" s="1">
        <v>3465000</v>
      </c>
      <c r="L1109" s="1">
        <v>0</v>
      </c>
      <c r="M1109" s="1">
        <v>400000</v>
      </c>
      <c r="N1109" s="1">
        <v>722842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1175956</v>
      </c>
      <c r="W1109" s="1">
        <v>1100000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516315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722842</v>
      </c>
      <c r="AM1109" s="1">
        <v>0</v>
      </c>
      <c r="AN1109" s="1">
        <v>19754416</v>
      </c>
      <c r="AO1109" s="1">
        <v>1422809</v>
      </c>
      <c r="AP1109" s="1">
        <v>18331607</v>
      </c>
      <c r="AQ1109" s="1">
        <v>3950883</v>
      </c>
      <c r="AR1109" s="1">
        <v>592632</v>
      </c>
      <c r="AS1109" s="1">
        <v>0</v>
      </c>
      <c r="AT1109" s="1">
        <f t="shared" si="117"/>
        <v>24297931</v>
      </c>
    </row>
    <row r="1110" spans="1:46" x14ac:dyDescent="0.2">
      <c r="A1110" s="1" t="str">
        <f>"01402"</f>
        <v>01402</v>
      </c>
      <c r="B1110" s="1" t="str">
        <f>"روح اله"</f>
        <v>روح اله</v>
      </c>
      <c r="C1110" s="1" t="str">
        <f>"دهقاني"</f>
        <v>دهقاني</v>
      </c>
      <c r="D1110" s="1" t="str">
        <f t="shared" si="118"/>
        <v>قراردادي بهره بردار</v>
      </c>
      <c r="E1110" s="1" t="str">
        <f t="shared" si="119"/>
        <v>پروژه بهره برداري نيروگاه بوشهر</v>
      </c>
      <c r="F1110" s="1">
        <v>10121517</v>
      </c>
      <c r="G1110" s="1">
        <v>2415050</v>
      </c>
      <c r="H1110" s="1">
        <v>0</v>
      </c>
      <c r="I1110" s="1">
        <v>4438832</v>
      </c>
      <c r="J1110" s="1">
        <v>0</v>
      </c>
      <c r="K1110" s="1">
        <v>5500000</v>
      </c>
      <c r="L1110" s="1">
        <v>0</v>
      </c>
      <c r="M1110" s="1">
        <v>400000</v>
      </c>
      <c r="N1110" s="1">
        <v>995889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1712121</v>
      </c>
      <c r="W1110" s="1">
        <v>1100000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711350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853620</v>
      </c>
      <c r="AM1110" s="1">
        <v>0</v>
      </c>
      <c r="AN1110" s="1">
        <v>28248379</v>
      </c>
      <c r="AO1110" s="1">
        <v>2284316</v>
      </c>
      <c r="AP1110" s="1">
        <v>25964063</v>
      </c>
      <c r="AQ1110" s="1">
        <v>5649676</v>
      </c>
      <c r="AR1110" s="1">
        <v>847451</v>
      </c>
      <c r="AS1110" s="1">
        <v>0</v>
      </c>
      <c r="AT1110" s="1">
        <f t="shared" si="117"/>
        <v>34745506</v>
      </c>
    </row>
    <row r="1111" spans="1:46" x14ac:dyDescent="0.2">
      <c r="A1111" s="1" t="str">
        <f>"01403"</f>
        <v>01403</v>
      </c>
      <c r="B1111" s="1" t="str">
        <f>"محمد مجتبي"</f>
        <v>محمد مجتبي</v>
      </c>
      <c r="C1111" s="1" t="str">
        <f>"کشت کار"</f>
        <v>کشت کار</v>
      </c>
      <c r="D1111" s="1" t="str">
        <f t="shared" si="118"/>
        <v>قراردادي بهره بردار</v>
      </c>
      <c r="E1111" s="1" t="str">
        <f t="shared" si="119"/>
        <v>پروژه بهره برداري نيروگاه بوشهر</v>
      </c>
      <c r="F1111" s="1">
        <v>6756307</v>
      </c>
      <c r="G1111" s="1">
        <v>1857027</v>
      </c>
      <c r="H1111" s="1">
        <v>0</v>
      </c>
      <c r="I1111" s="1">
        <v>3053909</v>
      </c>
      <c r="J1111" s="1">
        <v>0</v>
      </c>
      <c r="K1111" s="1">
        <v>3465000</v>
      </c>
      <c r="L1111" s="1">
        <v>0</v>
      </c>
      <c r="M1111" s="1">
        <v>400000</v>
      </c>
      <c r="N1111" s="1">
        <v>725476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1177937</v>
      </c>
      <c r="W1111" s="1">
        <v>1100000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518197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725476</v>
      </c>
      <c r="AM1111" s="1">
        <v>0</v>
      </c>
      <c r="AN1111" s="1">
        <v>19779329</v>
      </c>
      <c r="AO1111" s="1">
        <v>1424553</v>
      </c>
      <c r="AP1111" s="1">
        <v>18354776</v>
      </c>
      <c r="AQ1111" s="1">
        <v>3955866</v>
      </c>
      <c r="AR1111" s="1">
        <v>593380</v>
      </c>
      <c r="AS1111" s="1">
        <v>0</v>
      </c>
      <c r="AT1111" s="1">
        <f t="shared" si="117"/>
        <v>24328575</v>
      </c>
    </row>
    <row r="1112" spans="1:46" x14ac:dyDescent="0.2">
      <c r="A1112" s="1" t="str">
        <f>"01404"</f>
        <v>01404</v>
      </c>
      <c r="B1112" s="1" t="str">
        <f>"مصطفي"</f>
        <v>مصطفي</v>
      </c>
      <c r="C1112" s="1" t="str">
        <f>"آذرخش"</f>
        <v>آذرخش</v>
      </c>
      <c r="D1112" s="1" t="str">
        <f t="shared" si="118"/>
        <v>قراردادي بهره بردار</v>
      </c>
      <c r="E1112" s="1" t="str">
        <f t="shared" si="119"/>
        <v>پروژه بهره برداري نيروگاه بوشهر</v>
      </c>
      <c r="F1112" s="1">
        <v>6968590</v>
      </c>
      <c r="G1112" s="1">
        <v>1749033</v>
      </c>
      <c r="H1112" s="1">
        <v>0</v>
      </c>
      <c r="I1112" s="1">
        <v>3253993</v>
      </c>
      <c r="J1112" s="1">
        <v>0</v>
      </c>
      <c r="K1112" s="1">
        <v>4620000</v>
      </c>
      <c r="L1112" s="1">
        <v>0</v>
      </c>
      <c r="M1112" s="1">
        <v>400000</v>
      </c>
      <c r="N1112" s="1">
        <v>802045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1239957</v>
      </c>
      <c r="W1112" s="1">
        <v>1100000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572889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802045</v>
      </c>
      <c r="AM1112" s="1">
        <v>0</v>
      </c>
      <c r="AN1112" s="1">
        <v>21508552</v>
      </c>
      <c r="AO1112" s="1">
        <v>1545599</v>
      </c>
      <c r="AP1112" s="1">
        <v>19962953</v>
      </c>
      <c r="AQ1112" s="1">
        <v>4301710</v>
      </c>
      <c r="AR1112" s="1">
        <v>645257</v>
      </c>
      <c r="AS1112" s="1">
        <v>0</v>
      </c>
      <c r="AT1112" s="1">
        <f t="shared" si="117"/>
        <v>26455519</v>
      </c>
    </row>
    <row r="1113" spans="1:46" x14ac:dyDescent="0.2">
      <c r="A1113" s="1" t="str">
        <f>"01405"</f>
        <v>01405</v>
      </c>
      <c r="B1113" s="1" t="str">
        <f>"يوسف"</f>
        <v>يوسف</v>
      </c>
      <c r="C1113" s="1" t="str">
        <f>"زنده بودي"</f>
        <v>زنده بودي</v>
      </c>
      <c r="D1113" s="1" t="str">
        <f t="shared" si="118"/>
        <v>قراردادي بهره بردار</v>
      </c>
      <c r="E1113" s="1" t="str">
        <f t="shared" si="119"/>
        <v>پروژه بهره برداري نيروگاه بوشهر</v>
      </c>
      <c r="F1113" s="1">
        <v>6763207</v>
      </c>
      <c r="G1113" s="1">
        <v>1664191</v>
      </c>
      <c r="H1113" s="1">
        <v>0</v>
      </c>
      <c r="I1113" s="1">
        <v>3058761</v>
      </c>
      <c r="J1113" s="1">
        <v>0</v>
      </c>
      <c r="K1113" s="1">
        <v>3465000</v>
      </c>
      <c r="L1113" s="1">
        <v>0</v>
      </c>
      <c r="M1113" s="1">
        <v>400000</v>
      </c>
      <c r="N1113" s="1">
        <v>728042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1179808</v>
      </c>
      <c r="W1113" s="1">
        <v>1100000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520029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728042</v>
      </c>
      <c r="AM1113" s="1">
        <v>0</v>
      </c>
      <c r="AN1113" s="1">
        <v>19607080</v>
      </c>
      <c r="AO1113" s="1">
        <v>1412496</v>
      </c>
      <c r="AP1113" s="1">
        <v>18194584</v>
      </c>
      <c r="AQ1113" s="1">
        <v>3921416</v>
      </c>
      <c r="AR1113" s="1">
        <v>588212</v>
      </c>
      <c r="AS1113" s="1">
        <v>0</v>
      </c>
      <c r="AT1113" s="1">
        <f t="shared" si="117"/>
        <v>24116708</v>
      </c>
    </row>
    <row r="1114" spans="1:46" x14ac:dyDescent="0.2">
      <c r="A1114" s="1" t="str">
        <f>"01406"</f>
        <v>01406</v>
      </c>
      <c r="B1114" s="1" t="str">
        <f>"مصطفي"</f>
        <v>مصطفي</v>
      </c>
      <c r="C1114" s="1" t="str">
        <f>"محمدي گلوردي"</f>
        <v>محمدي گلوردي</v>
      </c>
      <c r="D1114" s="1" t="str">
        <f t="shared" si="118"/>
        <v>قراردادي بهره بردار</v>
      </c>
      <c r="E1114" s="1" t="str">
        <f t="shared" si="119"/>
        <v>پروژه بهره برداري نيروگاه بوشهر</v>
      </c>
      <c r="F1114" s="1">
        <v>7509101</v>
      </c>
      <c r="G1114" s="1">
        <v>1144024</v>
      </c>
      <c r="H1114" s="1">
        <v>0</v>
      </c>
      <c r="I1114" s="1">
        <v>3574594</v>
      </c>
      <c r="J1114" s="1">
        <v>0</v>
      </c>
      <c r="K1114" s="1">
        <v>4620000</v>
      </c>
      <c r="L1114" s="1">
        <v>0</v>
      </c>
      <c r="M1114" s="1">
        <v>400000</v>
      </c>
      <c r="N1114" s="1">
        <v>996220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1378772</v>
      </c>
      <c r="W1114" s="1">
        <v>1100000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711586</v>
      </c>
      <c r="AF1114" s="1">
        <v>1111269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996220</v>
      </c>
      <c r="AM1114" s="1">
        <v>0</v>
      </c>
      <c r="AN1114" s="1">
        <v>23541786</v>
      </c>
      <c r="AO1114" s="1">
        <v>1610136</v>
      </c>
      <c r="AP1114" s="1">
        <v>21931650</v>
      </c>
      <c r="AQ1114" s="1">
        <v>4486103</v>
      </c>
      <c r="AR1114" s="1">
        <v>672916</v>
      </c>
      <c r="AS1114" s="1">
        <v>0</v>
      </c>
      <c r="AT1114" s="1">
        <f t="shared" si="117"/>
        <v>28700805</v>
      </c>
    </row>
    <row r="1115" spans="1:46" x14ac:dyDescent="0.2">
      <c r="A1115" s="1" t="str">
        <f>"01407"</f>
        <v>01407</v>
      </c>
      <c r="B1115" s="1" t="str">
        <f>"سجاد"</f>
        <v>سجاد</v>
      </c>
      <c r="C1115" s="1" t="str">
        <f>"رستمي"</f>
        <v>رستمي</v>
      </c>
      <c r="D1115" s="1" t="str">
        <f t="shared" si="118"/>
        <v>قراردادي بهره بردار</v>
      </c>
      <c r="E1115" s="1" t="str">
        <f t="shared" si="119"/>
        <v>پروژه بهره برداري نيروگاه بوشهر</v>
      </c>
      <c r="F1115" s="1">
        <v>6725574</v>
      </c>
      <c r="G1115" s="1">
        <v>1941155</v>
      </c>
      <c r="H1115" s="1">
        <v>0</v>
      </c>
      <c r="I1115" s="1">
        <v>3032646</v>
      </c>
      <c r="J1115" s="1">
        <v>0</v>
      </c>
      <c r="K1115" s="1">
        <v>3465000</v>
      </c>
      <c r="L1115" s="1">
        <v>0</v>
      </c>
      <c r="M1115" s="1">
        <v>400000</v>
      </c>
      <c r="N1115" s="1">
        <v>714416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1169735</v>
      </c>
      <c r="W1115" s="1">
        <v>1100000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510297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714416</v>
      </c>
      <c r="AM1115" s="1">
        <v>0</v>
      </c>
      <c r="AN1115" s="1">
        <v>19773239</v>
      </c>
      <c r="AO1115" s="1">
        <v>1424127</v>
      </c>
      <c r="AP1115" s="1">
        <v>18349112</v>
      </c>
      <c r="AQ1115" s="1">
        <v>3954648</v>
      </c>
      <c r="AR1115" s="1">
        <v>593197</v>
      </c>
      <c r="AS1115" s="1">
        <v>0</v>
      </c>
      <c r="AT1115" s="1">
        <f t="shared" si="117"/>
        <v>24321084</v>
      </c>
    </row>
    <row r="1116" spans="1:46" x14ac:dyDescent="0.2">
      <c r="A1116" s="1" t="str">
        <f>"01408"</f>
        <v>01408</v>
      </c>
      <c r="B1116" s="1" t="str">
        <f>"مصطفي"</f>
        <v>مصطفي</v>
      </c>
      <c r="C1116" s="1" t="str">
        <f>"محمدي"</f>
        <v>محمدي</v>
      </c>
      <c r="D1116" s="1" t="str">
        <f t="shared" si="118"/>
        <v>قراردادي بهره بردار</v>
      </c>
      <c r="E1116" s="1" t="str">
        <f t="shared" si="119"/>
        <v>پروژه بهره برداري نيروگاه بوشهر</v>
      </c>
      <c r="F1116" s="1">
        <v>6725574</v>
      </c>
      <c r="G1116" s="1">
        <v>1747039</v>
      </c>
      <c r="H1116" s="1">
        <v>0</v>
      </c>
      <c r="I1116" s="1">
        <v>3032646</v>
      </c>
      <c r="J1116" s="1">
        <v>0</v>
      </c>
      <c r="K1116" s="1">
        <v>0</v>
      </c>
      <c r="L1116" s="1">
        <v>0</v>
      </c>
      <c r="M1116" s="1">
        <v>400000</v>
      </c>
      <c r="N1116" s="1">
        <v>714416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1169735</v>
      </c>
      <c r="W1116" s="1">
        <v>1100000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510297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714416</v>
      </c>
      <c r="AM1116" s="1">
        <v>0</v>
      </c>
      <c r="AN1116" s="1">
        <v>16114123</v>
      </c>
      <c r="AO1116" s="1">
        <v>1167989</v>
      </c>
      <c r="AP1116" s="1">
        <v>14946134</v>
      </c>
      <c r="AQ1116" s="1">
        <v>3222825</v>
      </c>
      <c r="AR1116" s="1">
        <v>483424</v>
      </c>
      <c r="AS1116" s="1">
        <v>0</v>
      </c>
      <c r="AT1116" s="1">
        <f t="shared" si="117"/>
        <v>19820372</v>
      </c>
    </row>
    <row r="1117" spans="1:46" x14ac:dyDescent="0.2">
      <c r="A1117" s="1" t="str">
        <f>"01409"</f>
        <v>01409</v>
      </c>
      <c r="B1117" s="1" t="str">
        <f>"عبدالرحيم"</f>
        <v>عبدالرحيم</v>
      </c>
      <c r="C1117" s="1" t="str">
        <f>"نيکنام"</f>
        <v>نيکنام</v>
      </c>
      <c r="D1117" s="1" t="str">
        <f t="shared" si="118"/>
        <v>قراردادي بهره بردار</v>
      </c>
      <c r="E1117" s="1" t="str">
        <f t="shared" si="119"/>
        <v>پروژه بهره برداري نيروگاه بوشهر</v>
      </c>
      <c r="F1117" s="1">
        <v>7035748</v>
      </c>
      <c r="G1117" s="1">
        <v>1092957</v>
      </c>
      <c r="H1117" s="1">
        <v>0</v>
      </c>
      <c r="I1117" s="1">
        <v>3415029</v>
      </c>
      <c r="J1117" s="1">
        <v>0</v>
      </c>
      <c r="K1117" s="1">
        <v>3465000</v>
      </c>
      <c r="L1117" s="1">
        <v>0</v>
      </c>
      <c r="M1117" s="1">
        <v>400000</v>
      </c>
      <c r="N1117" s="1">
        <v>828276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1342000</v>
      </c>
      <c r="U1117" s="1">
        <v>0</v>
      </c>
      <c r="V1117" s="1">
        <v>1317225</v>
      </c>
      <c r="W1117" s="1">
        <v>1100000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591626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1301576</v>
      </c>
      <c r="AM1117" s="1">
        <v>0</v>
      </c>
      <c r="AN1117" s="1">
        <v>21889437</v>
      </c>
      <c r="AO1117" s="1">
        <v>1438321</v>
      </c>
      <c r="AP1117" s="1">
        <v>20451116</v>
      </c>
      <c r="AQ1117" s="1">
        <v>4109487</v>
      </c>
      <c r="AR1117" s="1">
        <v>616423</v>
      </c>
      <c r="AS1117" s="1">
        <v>0</v>
      </c>
      <c r="AT1117" s="1">
        <f t="shared" si="117"/>
        <v>26615347</v>
      </c>
    </row>
    <row r="1118" spans="1:46" x14ac:dyDescent="0.2">
      <c r="A1118" s="1" t="str">
        <f>"01410"</f>
        <v>01410</v>
      </c>
      <c r="B1118" s="1" t="str">
        <f>"حسين"</f>
        <v>حسين</v>
      </c>
      <c r="C1118" s="1" t="str">
        <f>"اندرياي"</f>
        <v>اندرياي</v>
      </c>
      <c r="D1118" s="1" t="str">
        <f t="shared" si="118"/>
        <v>قراردادي بهره بردار</v>
      </c>
      <c r="E1118" s="1" t="str">
        <f t="shared" si="119"/>
        <v>پروژه بهره برداري نيروگاه بوشهر</v>
      </c>
      <c r="F1118" s="1">
        <v>6901041</v>
      </c>
      <c r="G1118" s="1">
        <v>1615058</v>
      </c>
      <c r="H1118" s="1">
        <v>0</v>
      </c>
      <c r="I1118" s="1">
        <v>3153985</v>
      </c>
      <c r="J1118" s="1">
        <v>0</v>
      </c>
      <c r="K1118" s="1">
        <v>3465000</v>
      </c>
      <c r="L1118" s="1">
        <v>0</v>
      </c>
      <c r="M1118" s="1">
        <v>400000</v>
      </c>
      <c r="N1118" s="1">
        <v>777495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1216537</v>
      </c>
      <c r="W1118" s="1">
        <v>1100000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555354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777495</v>
      </c>
      <c r="AM1118" s="1">
        <v>0</v>
      </c>
      <c r="AN1118" s="1">
        <v>19961965</v>
      </c>
      <c r="AO1118" s="1">
        <v>1437338</v>
      </c>
      <c r="AP1118" s="1">
        <v>18524627</v>
      </c>
      <c r="AQ1118" s="1">
        <v>3992393</v>
      </c>
      <c r="AR1118" s="1">
        <v>598859</v>
      </c>
      <c r="AS1118" s="1">
        <v>0</v>
      </c>
      <c r="AT1118" s="1">
        <f t="shared" si="117"/>
        <v>24553217</v>
      </c>
    </row>
    <row r="1119" spans="1:46" x14ac:dyDescent="0.2">
      <c r="A1119" s="1" t="str">
        <f>"01411"</f>
        <v>01411</v>
      </c>
      <c r="B1119" s="1" t="str">
        <f>"هادي"</f>
        <v>هادي</v>
      </c>
      <c r="C1119" s="1" t="str">
        <f>"تجويدي"</f>
        <v>تجويدي</v>
      </c>
      <c r="D1119" s="1" t="str">
        <f t="shared" si="118"/>
        <v>قراردادي بهره بردار</v>
      </c>
      <c r="E1119" s="1" t="str">
        <f t="shared" si="119"/>
        <v>پروژه بهره برداري نيروگاه بوشهر</v>
      </c>
      <c r="F1119" s="1">
        <v>6748783</v>
      </c>
      <c r="G1119" s="1">
        <v>0</v>
      </c>
      <c r="H1119" s="1">
        <v>0</v>
      </c>
      <c r="I1119" s="1">
        <v>3048774</v>
      </c>
      <c r="J1119" s="1">
        <v>0</v>
      </c>
      <c r="K1119" s="1">
        <v>3465000</v>
      </c>
      <c r="L1119" s="1">
        <v>0</v>
      </c>
      <c r="M1119" s="1">
        <v>400000</v>
      </c>
      <c r="N1119" s="1">
        <v>722842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1175956</v>
      </c>
      <c r="W1119" s="1">
        <v>1100000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516315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722842</v>
      </c>
      <c r="AM1119" s="1">
        <v>0</v>
      </c>
      <c r="AN1119" s="1">
        <v>17900512</v>
      </c>
      <c r="AO1119" s="1">
        <v>1293036</v>
      </c>
      <c r="AP1119" s="1">
        <v>16607476</v>
      </c>
      <c r="AQ1119" s="1">
        <v>3580102</v>
      </c>
      <c r="AR1119" s="1">
        <v>537015</v>
      </c>
      <c r="AS1119" s="1">
        <v>0</v>
      </c>
      <c r="AT1119" s="1">
        <f t="shared" si="117"/>
        <v>22017629</v>
      </c>
    </row>
    <row r="1120" spans="1:46" x14ac:dyDescent="0.2">
      <c r="A1120" s="1" t="str">
        <f>"01412"</f>
        <v>01412</v>
      </c>
      <c r="B1120" s="1" t="str">
        <f>"مهرداد"</f>
        <v>مهرداد</v>
      </c>
      <c r="C1120" s="1" t="str">
        <f>"نظري"</f>
        <v>نظري</v>
      </c>
      <c r="D1120" s="1" t="str">
        <f t="shared" si="118"/>
        <v>قراردادي بهره بردار</v>
      </c>
      <c r="E1120" s="1" t="str">
        <f t="shared" si="119"/>
        <v>پروژه بهره برداري نيروگاه بوشهر</v>
      </c>
      <c r="F1120" s="1">
        <v>6763207</v>
      </c>
      <c r="G1120" s="1">
        <v>1957871</v>
      </c>
      <c r="H1120" s="1">
        <v>0</v>
      </c>
      <c r="I1120" s="1">
        <v>3058761</v>
      </c>
      <c r="J1120" s="1">
        <v>0</v>
      </c>
      <c r="K1120" s="1">
        <v>3465000</v>
      </c>
      <c r="L1120" s="1">
        <v>0</v>
      </c>
      <c r="M1120" s="1">
        <v>400000</v>
      </c>
      <c r="N1120" s="1">
        <v>728042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1179808</v>
      </c>
      <c r="W1120" s="1">
        <v>1100000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520029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728042</v>
      </c>
      <c r="AM1120" s="1">
        <v>0</v>
      </c>
      <c r="AN1120" s="1">
        <v>19900760</v>
      </c>
      <c r="AO1120" s="1">
        <v>1433053</v>
      </c>
      <c r="AP1120" s="1">
        <v>18467707</v>
      </c>
      <c r="AQ1120" s="1">
        <v>3980152</v>
      </c>
      <c r="AR1120" s="1">
        <v>597023</v>
      </c>
      <c r="AS1120" s="1">
        <v>0</v>
      </c>
      <c r="AT1120" s="1">
        <f t="shared" si="117"/>
        <v>24477935</v>
      </c>
    </row>
    <row r="1121" spans="1:46" x14ac:dyDescent="0.2">
      <c r="A1121" s="1" t="str">
        <f>"01413"</f>
        <v>01413</v>
      </c>
      <c r="B1121" s="1" t="str">
        <f>"سجاد"</f>
        <v>سجاد</v>
      </c>
      <c r="C1121" s="1" t="str">
        <f>"مرادزاده"</f>
        <v>مرادزاده</v>
      </c>
      <c r="D1121" s="1" t="str">
        <f t="shared" si="118"/>
        <v>قراردادي بهره بردار</v>
      </c>
      <c r="E1121" s="1" t="str">
        <f t="shared" si="119"/>
        <v>پروژه بهره برداري نيروگاه بوشهر</v>
      </c>
      <c r="F1121" s="1">
        <v>6725574</v>
      </c>
      <c r="G1121" s="1">
        <v>1844097</v>
      </c>
      <c r="H1121" s="1">
        <v>0</v>
      </c>
      <c r="I1121" s="1">
        <v>3032646</v>
      </c>
      <c r="J1121" s="1">
        <v>0</v>
      </c>
      <c r="K1121" s="1">
        <v>3465000</v>
      </c>
      <c r="L1121" s="1">
        <v>0</v>
      </c>
      <c r="M1121" s="1">
        <v>400000</v>
      </c>
      <c r="N1121" s="1">
        <v>714416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1169735</v>
      </c>
      <c r="W1121" s="1">
        <v>1100000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510297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714416</v>
      </c>
      <c r="AM1121" s="1">
        <v>0</v>
      </c>
      <c r="AN1121" s="1">
        <v>19676181</v>
      </c>
      <c r="AO1121" s="1">
        <v>1417333</v>
      </c>
      <c r="AP1121" s="1">
        <v>18258848</v>
      </c>
      <c r="AQ1121" s="1">
        <v>3935236</v>
      </c>
      <c r="AR1121" s="1">
        <v>590285</v>
      </c>
      <c r="AS1121" s="1">
        <v>0</v>
      </c>
      <c r="AT1121" s="1">
        <f t="shared" si="117"/>
        <v>24201702</v>
      </c>
    </row>
    <row r="1122" spans="1:46" x14ac:dyDescent="0.2">
      <c r="A1122" s="1" t="str">
        <f>"01414"</f>
        <v>01414</v>
      </c>
      <c r="B1122" s="1" t="str">
        <f>"حسين"</f>
        <v>حسين</v>
      </c>
      <c r="C1122" s="1" t="str">
        <f>"آدره"</f>
        <v>آدره</v>
      </c>
      <c r="D1122" s="1" t="str">
        <f t="shared" si="118"/>
        <v>قراردادي بهره بردار</v>
      </c>
      <c r="E1122" s="1" t="str">
        <f t="shared" si="119"/>
        <v>پروژه بهره برداري نيروگاه بوشهر</v>
      </c>
      <c r="F1122" s="1">
        <v>6902283</v>
      </c>
      <c r="G1122" s="1">
        <v>0</v>
      </c>
      <c r="H1122" s="1">
        <v>0</v>
      </c>
      <c r="I1122" s="1">
        <v>3188329</v>
      </c>
      <c r="J1122" s="1">
        <v>0</v>
      </c>
      <c r="K1122" s="1">
        <v>3465000</v>
      </c>
      <c r="L1122" s="1">
        <v>0</v>
      </c>
      <c r="M1122" s="1">
        <v>400000</v>
      </c>
      <c r="N1122" s="1">
        <v>778081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1220254</v>
      </c>
      <c r="W1122" s="1">
        <v>1100000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555772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778081</v>
      </c>
      <c r="AM1122" s="1">
        <v>0</v>
      </c>
      <c r="AN1122" s="1">
        <v>18387800</v>
      </c>
      <c r="AO1122" s="1">
        <v>1747277</v>
      </c>
      <c r="AP1122" s="1">
        <v>16640523</v>
      </c>
      <c r="AQ1122" s="1">
        <v>3677560</v>
      </c>
      <c r="AR1122" s="1">
        <v>551634</v>
      </c>
      <c r="AS1122" s="1">
        <v>0</v>
      </c>
      <c r="AT1122" s="1">
        <f t="shared" si="117"/>
        <v>22616994</v>
      </c>
    </row>
    <row r="1123" spans="1:46" x14ac:dyDescent="0.2">
      <c r="A1123" s="1" t="str">
        <f>"01415"</f>
        <v>01415</v>
      </c>
      <c r="B1123" s="1" t="str">
        <f>"تورج"</f>
        <v>تورج</v>
      </c>
      <c r="C1123" s="1" t="str">
        <f>"نظري"</f>
        <v>نظري</v>
      </c>
      <c r="D1123" s="1" t="str">
        <f t="shared" si="118"/>
        <v>قراردادي بهره بردار</v>
      </c>
      <c r="E1123" s="1" t="str">
        <f t="shared" si="119"/>
        <v>پروژه بهره برداري نيروگاه بوشهر</v>
      </c>
      <c r="F1123" s="1">
        <v>12585847</v>
      </c>
      <c r="G1123" s="1">
        <v>3630294</v>
      </c>
      <c r="H1123" s="1">
        <v>0</v>
      </c>
      <c r="I1123" s="1">
        <v>5970073</v>
      </c>
      <c r="J1123" s="1">
        <v>0</v>
      </c>
      <c r="K1123" s="1">
        <v>4125000</v>
      </c>
      <c r="L1123" s="1">
        <v>0</v>
      </c>
      <c r="M1123" s="1">
        <v>400000</v>
      </c>
      <c r="N1123" s="1">
        <v>1738918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2302743</v>
      </c>
      <c r="W1123" s="1">
        <v>1100000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1242085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1490501</v>
      </c>
      <c r="AM1123" s="1">
        <v>0</v>
      </c>
      <c r="AN1123" s="1">
        <v>34585461</v>
      </c>
      <c r="AO1123" s="1">
        <v>3453065</v>
      </c>
      <c r="AP1123" s="1">
        <v>31132396</v>
      </c>
      <c r="AQ1123" s="1">
        <v>6917092</v>
      </c>
      <c r="AR1123" s="1">
        <v>1037564</v>
      </c>
      <c r="AS1123" s="1">
        <v>0</v>
      </c>
      <c r="AT1123" s="1">
        <f t="shared" si="117"/>
        <v>42540117</v>
      </c>
    </row>
    <row r="1124" spans="1:46" x14ac:dyDescent="0.2">
      <c r="A1124" s="1" t="str">
        <f>"01416"</f>
        <v>01416</v>
      </c>
      <c r="B1124" s="1" t="str">
        <f>"حسين"</f>
        <v>حسين</v>
      </c>
      <c r="C1124" s="1" t="str">
        <f>"مظاهري بني"</f>
        <v>مظاهري بني</v>
      </c>
      <c r="D1124" s="1" t="str">
        <f t="shared" si="118"/>
        <v>قراردادي بهره بردار</v>
      </c>
      <c r="E1124" s="1" t="str">
        <f t="shared" si="119"/>
        <v>پروژه بهره برداري نيروگاه بوشهر</v>
      </c>
      <c r="F1124" s="1">
        <v>11265177</v>
      </c>
      <c r="G1124" s="1">
        <v>6342298</v>
      </c>
      <c r="H1124" s="1">
        <v>0</v>
      </c>
      <c r="I1124" s="1">
        <v>5215003</v>
      </c>
      <c r="J1124" s="1">
        <v>0</v>
      </c>
      <c r="K1124" s="1">
        <v>5500000</v>
      </c>
      <c r="L1124" s="1">
        <v>0</v>
      </c>
      <c r="M1124" s="1">
        <v>400000</v>
      </c>
      <c r="N1124" s="1">
        <v>1413547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1342000</v>
      </c>
      <c r="U1124" s="1">
        <v>0</v>
      </c>
      <c r="V1124" s="1">
        <v>2011501</v>
      </c>
      <c r="W1124" s="1">
        <v>1100000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1009676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1211611</v>
      </c>
      <c r="AM1124" s="1">
        <v>0</v>
      </c>
      <c r="AN1124" s="1">
        <v>36810813</v>
      </c>
      <c r="AO1124" s="1">
        <v>3561469</v>
      </c>
      <c r="AP1124" s="1">
        <v>33249344</v>
      </c>
      <c r="AQ1124" s="1">
        <v>7093763</v>
      </c>
      <c r="AR1124" s="1">
        <v>1064064</v>
      </c>
      <c r="AS1124" s="1">
        <v>0</v>
      </c>
      <c r="AT1124" s="1">
        <f t="shared" si="117"/>
        <v>44968640</v>
      </c>
    </row>
    <row r="1125" spans="1:46" x14ac:dyDescent="0.2">
      <c r="A1125" s="1" t="str">
        <f>"01417"</f>
        <v>01417</v>
      </c>
      <c r="B1125" s="1" t="str">
        <f>"راضيه"</f>
        <v>راضيه</v>
      </c>
      <c r="C1125" s="1" t="str">
        <f>"هژبرنيا"</f>
        <v>هژبرنيا</v>
      </c>
      <c r="D1125" s="1" t="str">
        <f t="shared" si="118"/>
        <v>قراردادي بهره بردار</v>
      </c>
      <c r="E1125" s="1" t="str">
        <f t="shared" si="119"/>
        <v>پروژه بهره برداري نيروگاه بوشهر</v>
      </c>
      <c r="F1125" s="1">
        <v>10930488</v>
      </c>
      <c r="G1125" s="1">
        <v>3581646</v>
      </c>
      <c r="H1125" s="1">
        <v>0</v>
      </c>
      <c r="I1125" s="1">
        <v>5086881</v>
      </c>
      <c r="J1125" s="1">
        <v>0</v>
      </c>
      <c r="K1125" s="1">
        <v>4125000</v>
      </c>
      <c r="L1125" s="1">
        <v>0</v>
      </c>
      <c r="M1125" s="1">
        <v>400000</v>
      </c>
      <c r="N1125" s="1">
        <v>1293549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1962083</v>
      </c>
      <c r="W1125" s="1">
        <v>1100000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923963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1385945</v>
      </c>
      <c r="AM1125" s="1">
        <v>0</v>
      </c>
      <c r="AN1125" s="1">
        <v>30789555</v>
      </c>
      <c r="AO1125" s="1">
        <v>2815353</v>
      </c>
      <c r="AP1125" s="1">
        <v>27974202</v>
      </c>
      <c r="AQ1125" s="1">
        <v>6157911</v>
      </c>
      <c r="AR1125" s="1">
        <v>923687</v>
      </c>
      <c r="AS1125" s="1">
        <v>0</v>
      </c>
      <c r="AT1125" s="1">
        <f t="shared" si="117"/>
        <v>37871153</v>
      </c>
    </row>
    <row r="1126" spans="1:46" x14ac:dyDescent="0.2">
      <c r="A1126" s="1" t="str">
        <f>"01419"</f>
        <v>01419</v>
      </c>
      <c r="B1126" s="1" t="str">
        <f>"سيد عادل"</f>
        <v>سيد عادل</v>
      </c>
      <c r="C1126" s="1" t="str">
        <f>"هاشمي تنگستاني"</f>
        <v>هاشمي تنگستاني</v>
      </c>
      <c r="D1126" s="1" t="str">
        <f t="shared" si="118"/>
        <v>قراردادي بهره بردار</v>
      </c>
      <c r="E1126" s="1" t="str">
        <f t="shared" si="119"/>
        <v>پروژه بهره برداري نيروگاه بوشهر</v>
      </c>
      <c r="F1126" s="1">
        <v>7928410</v>
      </c>
      <c r="G1126" s="1">
        <v>2052590</v>
      </c>
      <c r="H1126" s="1">
        <v>0</v>
      </c>
      <c r="I1126" s="1">
        <v>3779816</v>
      </c>
      <c r="J1126" s="1">
        <v>0</v>
      </c>
      <c r="K1126" s="1">
        <v>4620000</v>
      </c>
      <c r="L1126" s="1">
        <v>0</v>
      </c>
      <c r="M1126" s="1">
        <v>400000</v>
      </c>
      <c r="N1126" s="1">
        <v>1047556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1455159</v>
      </c>
      <c r="W1126" s="1">
        <v>1100000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748254</v>
      </c>
      <c r="AF1126" s="1">
        <v>1111269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1047556</v>
      </c>
      <c r="AM1126" s="1">
        <v>0</v>
      </c>
      <c r="AN1126" s="1">
        <v>25290610</v>
      </c>
      <c r="AO1126" s="1">
        <v>2602554</v>
      </c>
      <c r="AP1126" s="1">
        <v>22688056</v>
      </c>
      <c r="AQ1126" s="1">
        <v>4835868</v>
      </c>
      <c r="AR1126" s="1">
        <v>725380</v>
      </c>
      <c r="AS1126" s="1">
        <v>0</v>
      </c>
      <c r="AT1126" s="1">
        <f t="shared" si="117"/>
        <v>30851858</v>
      </c>
    </row>
    <row r="1127" spans="1:46" x14ac:dyDescent="0.2">
      <c r="A1127" s="1" t="str">
        <f>"01420"</f>
        <v>01420</v>
      </c>
      <c r="B1127" s="1" t="str">
        <f>"اميد"</f>
        <v>اميد</v>
      </c>
      <c r="C1127" s="1" t="str">
        <f>"زارع گلستاني"</f>
        <v>زارع گلستاني</v>
      </c>
      <c r="D1127" s="1" t="str">
        <f t="shared" si="118"/>
        <v>قراردادي بهره بردار</v>
      </c>
      <c r="E1127" s="1" t="str">
        <f t="shared" si="119"/>
        <v>پروژه بهره برداري نيروگاه بوشهر</v>
      </c>
      <c r="F1127" s="1">
        <v>6754427</v>
      </c>
      <c r="G1127" s="1">
        <v>0</v>
      </c>
      <c r="H1127" s="1">
        <v>0</v>
      </c>
      <c r="I1127" s="1">
        <v>3052626</v>
      </c>
      <c r="J1127" s="1">
        <v>0</v>
      </c>
      <c r="K1127" s="1">
        <v>3465000</v>
      </c>
      <c r="L1127" s="1">
        <v>0</v>
      </c>
      <c r="M1127" s="1">
        <v>400000</v>
      </c>
      <c r="N1127" s="1">
        <v>724817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1177442</v>
      </c>
      <c r="W1127" s="1">
        <v>1100000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517726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724817</v>
      </c>
      <c r="AM1127" s="1">
        <v>0</v>
      </c>
      <c r="AN1127" s="1">
        <v>17916855</v>
      </c>
      <c r="AO1127" s="1">
        <v>1294180</v>
      </c>
      <c r="AP1127" s="1">
        <v>16622675</v>
      </c>
      <c r="AQ1127" s="1">
        <v>3583371</v>
      </c>
      <c r="AR1127" s="1">
        <v>537506</v>
      </c>
      <c r="AS1127" s="1">
        <v>0</v>
      </c>
      <c r="AT1127" s="1">
        <f t="shared" si="117"/>
        <v>22037732</v>
      </c>
    </row>
    <row r="1128" spans="1:46" x14ac:dyDescent="0.2">
      <c r="A1128" s="1" t="str">
        <f>"01421"</f>
        <v>01421</v>
      </c>
      <c r="B1128" s="1" t="str">
        <f>"ساسان"</f>
        <v>ساسان</v>
      </c>
      <c r="C1128" s="1" t="str">
        <f>"رحيمي"</f>
        <v>رحيمي</v>
      </c>
      <c r="D1128" s="1" t="str">
        <f t="shared" si="118"/>
        <v>قراردادي بهره بردار</v>
      </c>
      <c r="E1128" s="1" t="str">
        <f t="shared" si="119"/>
        <v>پروژه بهره برداري نيروگاه بوشهر</v>
      </c>
      <c r="F1128" s="1">
        <v>10757650</v>
      </c>
      <c r="G1128" s="1">
        <v>2961620</v>
      </c>
      <c r="H1128" s="1">
        <v>0</v>
      </c>
      <c r="I1128" s="1">
        <v>4870429</v>
      </c>
      <c r="J1128" s="1">
        <v>0</v>
      </c>
      <c r="K1128" s="1">
        <v>0</v>
      </c>
      <c r="L1128" s="1">
        <v>0</v>
      </c>
      <c r="M1128" s="1">
        <v>400000</v>
      </c>
      <c r="N1128" s="1">
        <v>1228057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1878594</v>
      </c>
      <c r="W1128" s="1">
        <v>1100000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877184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1052620</v>
      </c>
      <c r="AM1128" s="1">
        <v>0</v>
      </c>
      <c r="AN1128" s="1">
        <v>25126154</v>
      </c>
      <c r="AO1128" s="1">
        <v>4568831</v>
      </c>
      <c r="AP1128" s="1">
        <v>20557323</v>
      </c>
      <c r="AQ1128" s="1">
        <v>5025231</v>
      </c>
      <c r="AR1128" s="1">
        <v>753785</v>
      </c>
      <c r="AS1128" s="1">
        <v>0</v>
      </c>
      <c r="AT1128" s="1">
        <f t="shared" si="117"/>
        <v>30905170</v>
      </c>
    </row>
    <row r="1129" spans="1:46" x14ac:dyDescent="0.2">
      <c r="A1129" s="1" t="str">
        <f>"01423"</f>
        <v>01423</v>
      </c>
      <c r="B1129" s="1" t="str">
        <f>"عليرضا"</f>
        <v>عليرضا</v>
      </c>
      <c r="C1129" s="1" t="str">
        <f>"حاجياني"</f>
        <v>حاجياني</v>
      </c>
      <c r="D1129" s="1" t="str">
        <f t="shared" si="118"/>
        <v>قراردادي بهره بردار</v>
      </c>
      <c r="E1129" s="1" t="str">
        <f t="shared" si="119"/>
        <v>پروژه بهره برداري نيروگاه بوشهر</v>
      </c>
      <c r="F1129" s="1">
        <v>6799565</v>
      </c>
      <c r="G1129" s="1">
        <v>1776545</v>
      </c>
      <c r="H1129" s="1">
        <v>0</v>
      </c>
      <c r="I1129" s="1">
        <v>3083864</v>
      </c>
      <c r="J1129" s="1">
        <v>0</v>
      </c>
      <c r="K1129" s="1">
        <v>3465000</v>
      </c>
      <c r="L1129" s="1">
        <v>0</v>
      </c>
      <c r="M1129" s="1">
        <v>400000</v>
      </c>
      <c r="N1129" s="1">
        <v>741070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1189491</v>
      </c>
      <c r="W1129" s="1">
        <v>1100000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529336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741070</v>
      </c>
      <c r="AM1129" s="1">
        <v>0</v>
      </c>
      <c r="AN1129" s="1">
        <v>19825941</v>
      </c>
      <c r="AO1129" s="1">
        <v>1427816</v>
      </c>
      <c r="AP1129" s="1">
        <v>18398125</v>
      </c>
      <c r="AQ1129" s="1">
        <v>3965188</v>
      </c>
      <c r="AR1129" s="1">
        <v>594778</v>
      </c>
      <c r="AS1129" s="1">
        <v>0</v>
      </c>
      <c r="AT1129" s="1">
        <f t="shared" si="117"/>
        <v>24385907</v>
      </c>
    </row>
    <row r="1130" spans="1:46" x14ac:dyDescent="0.2">
      <c r="A1130" s="1" t="str">
        <f>"01424"</f>
        <v>01424</v>
      </c>
      <c r="B1130" s="1" t="str">
        <f>"سيد سجاد"</f>
        <v>سيد سجاد</v>
      </c>
      <c r="C1130" s="1" t="str">
        <f>"نعمت اللهي"</f>
        <v>نعمت اللهي</v>
      </c>
      <c r="D1130" s="1" t="str">
        <f t="shared" si="118"/>
        <v>قراردادي بهره بردار</v>
      </c>
      <c r="E1130" s="1" t="str">
        <f t="shared" si="119"/>
        <v>پروژه بهره برداري نيروگاه بوشهر</v>
      </c>
      <c r="F1130" s="1">
        <v>7407540</v>
      </c>
      <c r="G1130" s="1">
        <v>1754404</v>
      </c>
      <c r="H1130" s="1">
        <v>0</v>
      </c>
      <c r="I1130" s="1">
        <v>3426109</v>
      </c>
      <c r="J1130" s="1">
        <v>0</v>
      </c>
      <c r="K1130" s="1">
        <v>0</v>
      </c>
      <c r="L1130" s="1">
        <v>0</v>
      </c>
      <c r="M1130" s="1">
        <v>400000</v>
      </c>
      <c r="N1130" s="1">
        <v>877337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1321499</v>
      </c>
      <c r="W1130" s="1">
        <v>1100000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626669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877337</v>
      </c>
      <c r="AM1130" s="1">
        <v>0</v>
      </c>
      <c r="AN1130" s="1">
        <v>17790895</v>
      </c>
      <c r="AO1130" s="1">
        <v>1285363</v>
      </c>
      <c r="AP1130" s="1">
        <v>16505532</v>
      </c>
      <c r="AQ1130" s="1">
        <v>3558179</v>
      </c>
      <c r="AR1130" s="1">
        <v>533727</v>
      </c>
      <c r="AS1130" s="1">
        <v>0</v>
      </c>
      <c r="AT1130" s="1">
        <f t="shared" si="117"/>
        <v>21882801</v>
      </c>
    </row>
    <row r="1131" spans="1:46" x14ac:dyDescent="0.2">
      <c r="A1131" s="1" t="str">
        <f>"01425"</f>
        <v>01425</v>
      </c>
      <c r="B1131" s="1" t="str">
        <f>"اشکان"</f>
        <v>اشکان</v>
      </c>
      <c r="C1131" s="1" t="str">
        <f>"احمدي دوقزلو"</f>
        <v>احمدي دوقزلو</v>
      </c>
      <c r="D1131" s="1" t="str">
        <f t="shared" si="118"/>
        <v>قراردادي بهره بردار</v>
      </c>
      <c r="E1131" s="1" t="str">
        <f t="shared" si="119"/>
        <v>پروژه بهره برداري نيروگاه بوشهر</v>
      </c>
      <c r="F1131" s="1">
        <v>6748783</v>
      </c>
      <c r="G1131" s="1">
        <v>975739</v>
      </c>
      <c r="H1131" s="1">
        <v>0</v>
      </c>
      <c r="I1131" s="1">
        <v>3048774</v>
      </c>
      <c r="J1131" s="1">
        <v>0</v>
      </c>
      <c r="K1131" s="1">
        <v>4620000</v>
      </c>
      <c r="L1131" s="1">
        <v>0</v>
      </c>
      <c r="M1131" s="1">
        <v>400000</v>
      </c>
      <c r="N1131" s="1">
        <v>722842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1175956</v>
      </c>
      <c r="W1131" s="1">
        <v>1100000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516315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722842</v>
      </c>
      <c r="AM1131" s="1">
        <v>0</v>
      </c>
      <c r="AN1131" s="1">
        <v>20031251</v>
      </c>
      <c r="AO1131" s="1">
        <v>1442188</v>
      </c>
      <c r="AP1131" s="1">
        <v>18589063</v>
      </c>
      <c r="AQ1131" s="1">
        <v>4006250</v>
      </c>
      <c r="AR1131" s="1">
        <v>600938</v>
      </c>
      <c r="AS1131" s="1">
        <v>0</v>
      </c>
      <c r="AT1131" s="1">
        <f t="shared" si="117"/>
        <v>24638439</v>
      </c>
    </row>
    <row r="1132" spans="1:46" x14ac:dyDescent="0.2">
      <c r="A1132" s="1" t="str">
        <f>"01426"</f>
        <v>01426</v>
      </c>
      <c r="B1132" s="1" t="str">
        <f>"مصيب"</f>
        <v>مصيب</v>
      </c>
      <c r="C1132" s="1" t="str">
        <f>"اسدي"</f>
        <v>اسدي</v>
      </c>
      <c r="D1132" s="1" t="str">
        <f>"قراردادي کارگري"</f>
        <v>قراردادي کارگري</v>
      </c>
      <c r="E1132" s="1" t="str">
        <f>"پروژه تعميرات نيروگاه بوشهر"</f>
        <v>پروژه تعميرات نيروگاه بوشهر</v>
      </c>
      <c r="F1132" s="1">
        <v>4662811</v>
      </c>
      <c r="G1132" s="1">
        <v>5235301</v>
      </c>
      <c r="H1132" s="1">
        <v>0</v>
      </c>
      <c r="I1132" s="1">
        <v>2797687</v>
      </c>
      <c r="J1132" s="1">
        <v>0</v>
      </c>
      <c r="K1132" s="1">
        <v>0</v>
      </c>
      <c r="L1132" s="1">
        <v>3345440</v>
      </c>
      <c r="M1132" s="1">
        <v>400000</v>
      </c>
      <c r="N1132" s="1">
        <v>2486833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1474277</v>
      </c>
      <c r="W1132" s="1">
        <v>1100000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21502349</v>
      </c>
      <c r="AO1132" s="1">
        <v>3295164</v>
      </c>
      <c r="AP1132" s="1">
        <v>18207185</v>
      </c>
      <c r="AQ1132" s="1">
        <v>4300470</v>
      </c>
      <c r="AR1132" s="1">
        <v>645070</v>
      </c>
      <c r="AS1132" s="1">
        <v>0</v>
      </c>
      <c r="AT1132" s="1">
        <f t="shared" si="117"/>
        <v>26447889</v>
      </c>
    </row>
    <row r="1133" spans="1:46" x14ac:dyDescent="0.2">
      <c r="A1133" s="1" t="str">
        <f>"01427"</f>
        <v>01427</v>
      </c>
      <c r="B1133" s="1" t="str">
        <f>"ستار"</f>
        <v>ستار</v>
      </c>
      <c r="C1133" s="1" t="str">
        <f>"محمودي"</f>
        <v>محمودي</v>
      </c>
      <c r="D1133" s="1" t="str">
        <f>"قراردادي بهره بردار"</f>
        <v>قراردادي بهره بردار</v>
      </c>
      <c r="E1133" s="1" t="str">
        <f>"پروژه بهره برداري نيروگاه بوشهر"</f>
        <v>پروژه بهره برداري نيروگاه بوشهر</v>
      </c>
      <c r="F1133" s="1">
        <v>10742267</v>
      </c>
      <c r="G1133" s="1">
        <v>729270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400000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1100000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12971537</v>
      </c>
      <c r="AO1133" s="1">
        <v>948008</v>
      </c>
      <c r="AP1133" s="1">
        <v>12023529</v>
      </c>
      <c r="AQ1133" s="1">
        <v>2594307</v>
      </c>
      <c r="AR1133" s="1">
        <v>389146</v>
      </c>
      <c r="AS1133" s="1">
        <v>0</v>
      </c>
      <c r="AT1133" s="1">
        <f t="shared" si="117"/>
        <v>15954990</v>
      </c>
    </row>
    <row r="1134" spans="1:46" x14ac:dyDescent="0.2">
      <c r="A1134" s="1" t="str">
        <f>"01428"</f>
        <v>01428</v>
      </c>
      <c r="B1134" s="1" t="str">
        <f>"فاطمه"</f>
        <v>فاطمه</v>
      </c>
      <c r="C1134" s="1" t="str">
        <f>"صفري کشکولي"</f>
        <v>صفري کشکولي</v>
      </c>
      <c r="D1134" s="1" t="str">
        <f t="shared" ref="D1134:D1142" si="120">"قراردادي کارگري"</f>
        <v>قراردادي کارگري</v>
      </c>
      <c r="E1134" s="1" t="str">
        <f t="shared" ref="E1134:E1143" si="121">"پروژه تعميرات نيروگاه بوشهر"</f>
        <v>پروژه تعميرات نيروگاه بوشهر</v>
      </c>
      <c r="F1134" s="1">
        <v>8649058</v>
      </c>
      <c r="G1134" s="1">
        <v>590991</v>
      </c>
      <c r="H1134" s="1">
        <v>0</v>
      </c>
      <c r="I1134" s="1">
        <v>6919245</v>
      </c>
      <c r="J1134" s="1">
        <v>0</v>
      </c>
      <c r="K1134" s="1">
        <v>0</v>
      </c>
      <c r="L1134" s="1">
        <v>2852440</v>
      </c>
      <c r="M1134" s="1">
        <v>400000</v>
      </c>
      <c r="N1134" s="1">
        <v>5189435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2506018</v>
      </c>
      <c r="W1134" s="1">
        <v>1100000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28207187</v>
      </c>
      <c r="AO1134" s="1">
        <v>2368807</v>
      </c>
      <c r="AP1134" s="1">
        <v>25838380</v>
      </c>
      <c r="AQ1134" s="1">
        <v>5641437</v>
      </c>
      <c r="AR1134" s="1">
        <v>846216</v>
      </c>
      <c r="AS1134" s="1">
        <v>0</v>
      </c>
      <c r="AT1134" s="1">
        <f t="shared" si="117"/>
        <v>34694840</v>
      </c>
    </row>
    <row r="1135" spans="1:46" x14ac:dyDescent="0.2">
      <c r="A1135" s="1" t="str">
        <f>"01429"</f>
        <v>01429</v>
      </c>
      <c r="B1135" s="1" t="str">
        <f>"پدرام"</f>
        <v>پدرام</v>
      </c>
      <c r="C1135" s="1" t="str">
        <f>"بناوي"</f>
        <v>بناوي</v>
      </c>
      <c r="D1135" s="1" t="str">
        <f t="shared" si="120"/>
        <v>قراردادي کارگري</v>
      </c>
      <c r="E1135" s="1" t="str">
        <f t="shared" si="121"/>
        <v>پروژه تعميرات نيروگاه بوشهر</v>
      </c>
      <c r="F1135" s="1">
        <v>6667614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248276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682759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7598649</v>
      </c>
      <c r="AO1135" s="1">
        <v>557905</v>
      </c>
      <c r="AP1135" s="1">
        <v>7040744</v>
      </c>
      <c r="AQ1135" s="1">
        <v>1519730</v>
      </c>
      <c r="AR1135" s="1">
        <v>227959</v>
      </c>
      <c r="AS1135" s="1">
        <v>0</v>
      </c>
      <c r="AT1135" s="1">
        <f t="shared" si="117"/>
        <v>9346338</v>
      </c>
    </row>
    <row r="1136" spans="1:46" x14ac:dyDescent="0.2">
      <c r="A1136" s="1" t="str">
        <f>"01430"</f>
        <v>01430</v>
      </c>
      <c r="B1136" s="1" t="str">
        <f>"وحيد"</f>
        <v>وحيد</v>
      </c>
      <c r="C1136" s="1" t="str">
        <f>"تقي پور"</f>
        <v>تقي پور</v>
      </c>
      <c r="D1136" s="1" t="str">
        <f t="shared" si="120"/>
        <v>قراردادي کارگري</v>
      </c>
      <c r="E1136" s="1" t="str">
        <f t="shared" si="121"/>
        <v>پروژه تعميرات نيروگاه بوشهر</v>
      </c>
      <c r="F1136" s="1">
        <v>6667614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248276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682759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7598649</v>
      </c>
      <c r="AO1136" s="1">
        <v>557905</v>
      </c>
      <c r="AP1136" s="1">
        <v>7040744</v>
      </c>
      <c r="AQ1136" s="1">
        <v>1519730</v>
      </c>
      <c r="AR1136" s="1">
        <v>227959</v>
      </c>
      <c r="AS1136" s="1">
        <v>0</v>
      </c>
      <c r="AT1136" s="1">
        <f t="shared" si="117"/>
        <v>9346338</v>
      </c>
    </row>
    <row r="1137" spans="1:46" x14ac:dyDescent="0.2">
      <c r="A1137" s="1" t="str">
        <f>"01431"</f>
        <v>01431</v>
      </c>
      <c r="B1137" s="1" t="str">
        <f>"حسين"</f>
        <v>حسين</v>
      </c>
      <c r="C1137" s="1" t="str">
        <f>"رئيسي پور"</f>
        <v>رئيسي پور</v>
      </c>
      <c r="D1137" s="1" t="str">
        <f t="shared" si="120"/>
        <v>قراردادي کارگري</v>
      </c>
      <c r="E1137" s="1" t="str">
        <f t="shared" si="121"/>
        <v>پروژه تعميرات نيروگاه بوشهر</v>
      </c>
      <c r="F1137" s="1">
        <v>6667614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248276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682759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7598649</v>
      </c>
      <c r="AO1137" s="1">
        <v>557905</v>
      </c>
      <c r="AP1137" s="1">
        <v>7040744</v>
      </c>
      <c r="AQ1137" s="1">
        <v>1519730</v>
      </c>
      <c r="AR1137" s="1">
        <v>227959</v>
      </c>
      <c r="AS1137" s="1">
        <v>0</v>
      </c>
      <c r="AT1137" s="1">
        <f t="shared" si="117"/>
        <v>9346338</v>
      </c>
    </row>
    <row r="1138" spans="1:46" x14ac:dyDescent="0.2">
      <c r="A1138" s="1" t="str">
        <f>"01432"</f>
        <v>01432</v>
      </c>
      <c r="B1138" s="1" t="str">
        <f>"يوسف"</f>
        <v>يوسف</v>
      </c>
      <c r="C1138" s="1" t="str">
        <f>"زنگنه"</f>
        <v>زنگنه</v>
      </c>
      <c r="D1138" s="1" t="str">
        <f t="shared" si="120"/>
        <v>قراردادي کارگري</v>
      </c>
      <c r="E1138" s="1" t="str">
        <f t="shared" si="121"/>
        <v>پروژه تعميرات نيروگاه بوشهر</v>
      </c>
      <c r="F1138" s="1">
        <v>6667614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248276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682759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7598649</v>
      </c>
      <c r="AO1138" s="1">
        <v>557905</v>
      </c>
      <c r="AP1138" s="1">
        <v>7040744</v>
      </c>
      <c r="AQ1138" s="1">
        <v>1519730</v>
      </c>
      <c r="AR1138" s="1">
        <v>227959</v>
      </c>
      <c r="AS1138" s="1">
        <v>0</v>
      </c>
      <c r="AT1138" s="1">
        <f t="shared" si="117"/>
        <v>9346338</v>
      </c>
    </row>
    <row r="1139" spans="1:46" x14ac:dyDescent="0.2">
      <c r="A1139" s="1" t="str">
        <f>"01433"</f>
        <v>01433</v>
      </c>
      <c r="B1139" s="1" t="str">
        <f>"امير رضا"</f>
        <v>امير رضا</v>
      </c>
      <c r="C1139" s="1" t="str">
        <f>"عطايي"</f>
        <v>عطايي</v>
      </c>
      <c r="D1139" s="1" t="str">
        <f t="shared" si="120"/>
        <v>قراردادي کارگري</v>
      </c>
      <c r="E1139" s="1" t="str">
        <f t="shared" si="121"/>
        <v>پروژه تعميرات نيروگاه بوشهر</v>
      </c>
      <c r="F1139" s="1">
        <v>6667614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248276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682759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7598649</v>
      </c>
      <c r="AO1139" s="1">
        <v>557905</v>
      </c>
      <c r="AP1139" s="1">
        <v>7040744</v>
      </c>
      <c r="AQ1139" s="1">
        <v>1519730</v>
      </c>
      <c r="AR1139" s="1">
        <v>227959</v>
      </c>
      <c r="AS1139" s="1">
        <v>0</v>
      </c>
      <c r="AT1139" s="1">
        <f t="shared" si="117"/>
        <v>9346338</v>
      </c>
    </row>
    <row r="1140" spans="1:46" x14ac:dyDescent="0.2">
      <c r="A1140" s="1" t="str">
        <f>"01434"</f>
        <v>01434</v>
      </c>
      <c r="B1140" s="1" t="str">
        <f>"مجتبي"</f>
        <v>مجتبي</v>
      </c>
      <c r="C1140" s="1" t="str">
        <f>"محمدي نژاد"</f>
        <v>محمدي نژاد</v>
      </c>
      <c r="D1140" s="1" t="str">
        <f t="shared" si="120"/>
        <v>قراردادي کارگري</v>
      </c>
      <c r="E1140" s="1" t="str">
        <f t="shared" si="121"/>
        <v>پروژه تعميرات نيروگاه بوشهر</v>
      </c>
      <c r="F1140" s="1">
        <v>6667614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248276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682759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7598649</v>
      </c>
      <c r="AO1140" s="1">
        <v>557905</v>
      </c>
      <c r="AP1140" s="1">
        <v>7040744</v>
      </c>
      <c r="AQ1140" s="1">
        <v>1519730</v>
      </c>
      <c r="AR1140" s="1">
        <v>227959</v>
      </c>
      <c r="AS1140" s="1">
        <v>0</v>
      </c>
      <c r="AT1140" s="1">
        <f t="shared" si="117"/>
        <v>9346338</v>
      </c>
    </row>
    <row r="1141" spans="1:46" x14ac:dyDescent="0.2">
      <c r="A1141" s="1" t="str">
        <f>"01435"</f>
        <v>01435</v>
      </c>
      <c r="B1141" s="1" t="str">
        <f>"عادل"</f>
        <v>عادل</v>
      </c>
      <c r="C1141" s="1" t="str">
        <f>"بازدارنيا"</f>
        <v>بازدارنيا</v>
      </c>
      <c r="D1141" s="1" t="str">
        <f t="shared" si="120"/>
        <v>قراردادي کارگري</v>
      </c>
      <c r="E1141" s="1" t="str">
        <f t="shared" si="121"/>
        <v>پروژه تعميرات نيروگاه بوشهر</v>
      </c>
      <c r="F1141" s="1">
        <v>6667614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248276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682759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7598649</v>
      </c>
      <c r="AO1141" s="1">
        <v>557905</v>
      </c>
      <c r="AP1141" s="1">
        <v>7040744</v>
      </c>
      <c r="AQ1141" s="1">
        <v>1519730</v>
      </c>
      <c r="AR1141" s="1">
        <v>227959</v>
      </c>
      <c r="AS1141" s="1">
        <v>0</v>
      </c>
      <c r="AT1141" s="1">
        <f t="shared" si="117"/>
        <v>9346338</v>
      </c>
    </row>
    <row r="1142" spans="1:46" x14ac:dyDescent="0.2">
      <c r="A1142" s="1" t="str">
        <f>"01436"</f>
        <v>01436</v>
      </c>
      <c r="B1142" s="1" t="str">
        <f>"محمدصادق"</f>
        <v>محمدصادق</v>
      </c>
      <c r="C1142" s="1" t="str">
        <f>"جعفري"</f>
        <v>جعفري</v>
      </c>
      <c r="D1142" s="1" t="str">
        <f t="shared" si="120"/>
        <v>قراردادي کارگري</v>
      </c>
      <c r="E1142" s="1" t="str">
        <f t="shared" si="121"/>
        <v>پروژه تعميرات نيروگاه بوشهر</v>
      </c>
      <c r="F1142" s="1">
        <v>4445076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165517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455172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5065765</v>
      </c>
      <c r="AO1142" s="1">
        <v>372604</v>
      </c>
      <c r="AP1142" s="1">
        <v>4693161</v>
      </c>
      <c r="AQ1142" s="1">
        <v>1013153</v>
      </c>
      <c r="AR1142" s="1">
        <v>151973</v>
      </c>
      <c r="AS1142" s="1">
        <v>0</v>
      </c>
      <c r="AT1142" s="1">
        <f t="shared" si="117"/>
        <v>6230891</v>
      </c>
    </row>
    <row r="1143" spans="1:46" x14ac:dyDescent="0.2">
      <c r="A1143" s="1" t="str">
        <f>"01437"</f>
        <v>01437</v>
      </c>
      <c r="B1143" s="1" t="str">
        <f>"مصطفي"</f>
        <v>مصطفي</v>
      </c>
      <c r="C1143" s="1" t="str">
        <f>"نريماني"</f>
        <v>نريماني</v>
      </c>
      <c r="D1143" s="1" t="str">
        <f>"قراردادي بهره بردار"</f>
        <v>قراردادي بهره بردار</v>
      </c>
      <c r="E1143" s="1" t="str">
        <f t="shared" si="121"/>
        <v>پروژه تعميرات نيروگاه بوشهر</v>
      </c>
      <c r="F1143" s="1">
        <v>3704230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137931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379310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4221471</v>
      </c>
      <c r="AO1143" s="1">
        <v>309503</v>
      </c>
      <c r="AP1143" s="1">
        <v>3911968</v>
      </c>
      <c r="AQ1143" s="1">
        <v>844294</v>
      </c>
      <c r="AR1143" s="1">
        <v>126644</v>
      </c>
      <c r="AS1143" s="1">
        <v>0</v>
      </c>
      <c r="AT1143" s="1">
        <f t="shared" si="117"/>
        <v>5192409</v>
      </c>
    </row>
  </sheetData>
  <sortState ref="A2:AS1143">
    <sortCondition ref="A2:A11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2019-04-06T00:31:59Z</dcterms:created>
  <dcterms:modified xsi:type="dcterms:W3CDTF">2019-04-13T01:57:03Z</dcterms:modified>
</cp:coreProperties>
</file>