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آقای برارزاده\"/>
    </mc:Choice>
  </mc:AlternateContent>
  <bookViews>
    <workbookView xWindow="0" yWindow="0" windowWidth="20400" windowHeight="9300" tabRatio="904" activeTab="6"/>
  </bookViews>
  <sheets>
    <sheet name="فروردین دارخوین 95 " sheetId="4" r:id="rId1"/>
    <sheet name="دارخوين ارديبهشت 95 " sheetId="1" r:id="rId2"/>
    <sheet name="خرداد " sheetId="5" r:id="rId3"/>
    <sheet name="سنوات " sheetId="2" r:id="rId4"/>
    <sheet name="رفاهیات " sheetId="6" r:id="rId5"/>
    <sheet name="رفاهی 2 " sheetId="8" r:id="rId6"/>
    <sheet name="جدول " sheetId="3" r:id="rId7"/>
  </sheets>
  <definedNames>
    <definedName name="_xlnm.Print_Area" localSheetId="6">'جدول '!$B$1:$J$17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J10" i="3"/>
  <c r="J9" i="3"/>
  <c r="J7" i="3"/>
  <c r="J6" i="3"/>
  <c r="J5" i="3"/>
  <c r="J8" i="3"/>
  <c r="I8" i="3"/>
  <c r="H8" i="3"/>
  <c r="G8" i="3"/>
  <c r="F8" i="3"/>
  <c r="E8" i="3"/>
  <c r="E7" i="3"/>
  <c r="I7" i="3"/>
  <c r="I6" i="3"/>
  <c r="H7" i="3"/>
  <c r="H6" i="3"/>
  <c r="H5" i="3"/>
  <c r="G6" i="3" l="1"/>
  <c r="G7" i="3"/>
  <c r="G5" i="3"/>
  <c r="L33" i="2"/>
  <c r="K33" i="2"/>
  <c r="J33" i="2"/>
  <c r="I33" i="2"/>
  <c r="H33" i="2"/>
  <c r="G33" i="2"/>
  <c r="F33" i="2"/>
  <c r="E33" i="2"/>
  <c r="D33" i="2"/>
  <c r="N32" i="2"/>
  <c r="M32" i="2"/>
  <c r="O32" i="2" s="1"/>
  <c r="C32" i="2"/>
  <c r="B32" i="2"/>
  <c r="A32" i="2"/>
  <c r="M31" i="2"/>
  <c r="O31" i="2" s="1"/>
  <c r="C31" i="2"/>
  <c r="B31" i="2"/>
  <c r="A31" i="2"/>
  <c r="N30" i="2"/>
  <c r="M30" i="2"/>
  <c r="O30" i="2" s="1"/>
  <c r="C30" i="2"/>
  <c r="B30" i="2"/>
  <c r="A30" i="2"/>
  <c r="M29" i="2"/>
  <c r="O29" i="2" s="1"/>
  <c r="C29" i="2"/>
  <c r="B29" i="2"/>
  <c r="A29" i="2"/>
  <c r="N28" i="2"/>
  <c r="M28" i="2"/>
  <c r="O28" i="2" s="1"/>
  <c r="C28" i="2"/>
  <c r="B28" i="2"/>
  <c r="A28" i="2"/>
  <c r="M27" i="2"/>
  <c r="O27" i="2" s="1"/>
  <c r="C27" i="2"/>
  <c r="B27" i="2"/>
  <c r="A27" i="2"/>
  <c r="N26" i="2"/>
  <c r="M26" i="2"/>
  <c r="O26" i="2" s="1"/>
  <c r="C26" i="2"/>
  <c r="B26" i="2"/>
  <c r="A26" i="2"/>
  <c r="M25" i="2"/>
  <c r="O25" i="2" s="1"/>
  <c r="C25" i="2"/>
  <c r="B25" i="2"/>
  <c r="A25" i="2"/>
  <c r="N24" i="2"/>
  <c r="M24" i="2"/>
  <c r="O24" i="2" s="1"/>
  <c r="C24" i="2"/>
  <c r="B24" i="2"/>
  <c r="A24" i="2"/>
  <c r="M23" i="2"/>
  <c r="O23" i="2" s="1"/>
  <c r="C23" i="2"/>
  <c r="B23" i="2"/>
  <c r="A23" i="2"/>
  <c r="N22" i="2"/>
  <c r="M22" i="2"/>
  <c r="O22" i="2" s="1"/>
  <c r="C22" i="2"/>
  <c r="B22" i="2"/>
  <c r="A22" i="2"/>
  <c r="M21" i="2"/>
  <c r="O21" i="2" s="1"/>
  <c r="C21" i="2"/>
  <c r="B21" i="2"/>
  <c r="A21" i="2"/>
  <c r="N20" i="2"/>
  <c r="M20" i="2"/>
  <c r="O20" i="2" s="1"/>
  <c r="C20" i="2"/>
  <c r="B20" i="2"/>
  <c r="A20" i="2"/>
  <c r="M19" i="2"/>
  <c r="O19" i="2" s="1"/>
  <c r="C19" i="2"/>
  <c r="B19" i="2"/>
  <c r="A19" i="2"/>
  <c r="N18" i="2"/>
  <c r="M18" i="2"/>
  <c r="O18" i="2" s="1"/>
  <c r="C18" i="2"/>
  <c r="B18" i="2"/>
  <c r="A18" i="2"/>
  <c r="M17" i="2"/>
  <c r="O17" i="2" s="1"/>
  <c r="C17" i="2"/>
  <c r="B17" i="2"/>
  <c r="A17" i="2"/>
  <c r="N16" i="2"/>
  <c r="M16" i="2"/>
  <c r="O16" i="2" s="1"/>
  <c r="C16" i="2"/>
  <c r="B16" i="2"/>
  <c r="A16" i="2"/>
  <c r="M15" i="2"/>
  <c r="O15" i="2" s="1"/>
  <c r="C15" i="2"/>
  <c r="B15" i="2"/>
  <c r="A15" i="2"/>
  <c r="N14" i="2"/>
  <c r="M14" i="2"/>
  <c r="O14" i="2" s="1"/>
  <c r="C14" i="2"/>
  <c r="B14" i="2"/>
  <c r="A14" i="2"/>
  <c r="M13" i="2"/>
  <c r="O13" i="2" s="1"/>
  <c r="C13" i="2"/>
  <c r="B13" i="2"/>
  <c r="A13" i="2"/>
  <c r="N12" i="2"/>
  <c r="M12" i="2"/>
  <c r="O12" i="2" s="1"/>
  <c r="C12" i="2"/>
  <c r="B12" i="2"/>
  <c r="A12" i="2"/>
  <c r="M11" i="2"/>
  <c r="O11" i="2" s="1"/>
  <c r="C11" i="2"/>
  <c r="B11" i="2"/>
  <c r="A11" i="2"/>
  <c r="N10" i="2"/>
  <c r="M10" i="2"/>
  <c r="O10" i="2" s="1"/>
  <c r="C10" i="2"/>
  <c r="B10" i="2"/>
  <c r="A10" i="2"/>
  <c r="M9" i="2"/>
  <c r="O9" i="2" s="1"/>
  <c r="C9" i="2"/>
  <c r="B9" i="2"/>
  <c r="A9" i="2"/>
  <c r="N8" i="2"/>
  <c r="M8" i="2"/>
  <c r="O8" i="2" s="1"/>
  <c r="C8" i="2"/>
  <c r="B8" i="2"/>
  <c r="A8" i="2"/>
  <c r="M7" i="2"/>
  <c r="O7" i="2" s="1"/>
  <c r="C7" i="2"/>
  <c r="B7" i="2"/>
  <c r="A7" i="2"/>
  <c r="N6" i="2"/>
  <c r="M6" i="2"/>
  <c r="O6" i="2" s="1"/>
  <c r="C6" i="2"/>
  <c r="B6" i="2"/>
  <c r="A6" i="2"/>
  <c r="M5" i="2"/>
  <c r="O5" i="2" s="1"/>
  <c r="C5" i="2"/>
  <c r="B5" i="2"/>
  <c r="A5" i="2"/>
  <c r="N4" i="2"/>
  <c r="M4" i="2"/>
  <c r="O4" i="2" s="1"/>
  <c r="C4" i="2"/>
  <c r="B4" i="2"/>
  <c r="A4" i="2"/>
  <c r="M3" i="2"/>
  <c r="O3" i="2" s="1"/>
  <c r="C3" i="2"/>
  <c r="B3" i="2"/>
  <c r="A3" i="2"/>
  <c r="N2" i="2"/>
  <c r="M2" i="2"/>
  <c r="O2" i="2" s="1"/>
  <c r="C2" i="2"/>
  <c r="B2" i="2"/>
  <c r="A2" i="2"/>
  <c r="M33" i="2"/>
  <c r="N3" i="2" l="1"/>
  <c r="N33" i="2" s="1"/>
  <c r="N5" i="2"/>
  <c r="N7" i="2"/>
  <c r="N9" i="2"/>
  <c r="N11" i="2"/>
  <c r="N13" i="2"/>
  <c r="N15" i="2"/>
  <c r="N17" i="2"/>
  <c r="N19" i="2"/>
  <c r="N21" i="2"/>
  <c r="N23" i="2"/>
  <c r="N25" i="2"/>
  <c r="N27" i="2"/>
  <c r="N29" i="2"/>
  <c r="N31" i="2"/>
  <c r="O33" i="2"/>
  <c r="F7" i="3"/>
  <c r="F6" i="3"/>
  <c r="F5" i="3"/>
  <c r="E6" i="3"/>
  <c r="E5" i="3"/>
  <c r="AP33" i="1"/>
  <c r="AO33" i="1"/>
  <c r="AN33" i="1"/>
  <c r="AM33" i="1"/>
  <c r="AL33" i="1"/>
  <c r="AK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AJ32" i="1"/>
  <c r="AI32" i="1"/>
  <c r="AH32" i="1"/>
  <c r="AG32" i="1"/>
  <c r="C32" i="1"/>
  <c r="B32" i="1"/>
  <c r="A32" i="1"/>
  <c r="AJ31" i="1"/>
  <c r="AI31" i="1"/>
  <c r="AH31" i="1"/>
  <c r="AG31" i="1"/>
  <c r="C31" i="1"/>
  <c r="B31" i="1"/>
  <c r="A31" i="1"/>
  <c r="AJ30" i="1"/>
  <c r="AI30" i="1"/>
  <c r="AH30" i="1"/>
  <c r="AG30" i="1"/>
  <c r="C30" i="1"/>
  <c r="B30" i="1"/>
  <c r="A30" i="1"/>
  <c r="AJ29" i="1"/>
  <c r="AI29" i="1"/>
  <c r="AH29" i="1"/>
  <c r="AG29" i="1"/>
  <c r="C29" i="1"/>
  <c r="B29" i="1"/>
  <c r="A29" i="1"/>
  <c r="AJ28" i="1"/>
  <c r="AI28" i="1"/>
  <c r="AH28" i="1"/>
  <c r="AG28" i="1"/>
  <c r="C28" i="1"/>
  <c r="B28" i="1"/>
  <c r="A28" i="1"/>
  <c r="AJ27" i="1"/>
  <c r="AI27" i="1"/>
  <c r="AH27" i="1"/>
  <c r="AG27" i="1"/>
  <c r="C27" i="1"/>
  <c r="B27" i="1"/>
  <c r="A27" i="1"/>
  <c r="AJ26" i="1"/>
  <c r="AI26" i="1"/>
  <c r="AH26" i="1"/>
  <c r="AG26" i="1"/>
  <c r="C26" i="1"/>
  <c r="B26" i="1"/>
  <c r="A26" i="1"/>
  <c r="AJ25" i="1"/>
  <c r="AI25" i="1"/>
  <c r="AH25" i="1"/>
  <c r="AG25" i="1"/>
  <c r="C25" i="1"/>
  <c r="B25" i="1"/>
  <c r="A25" i="1"/>
  <c r="AJ24" i="1"/>
  <c r="AI24" i="1"/>
  <c r="AH24" i="1"/>
  <c r="AG24" i="1"/>
  <c r="C24" i="1"/>
  <c r="B24" i="1"/>
  <c r="A24" i="1"/>
  <c r="AJ23" i="1"/>
  <c r="AI23" i="1"/>
  <c r="AH23" i="1"/>
  <c r="AG23" i="1"/>
  <c r="C23" i="1"/>
  <c r="B23" i="1"/>
  <c r="A23" i="1"/>
  <c r="AJ22" i="1"/>
  <c r="AI22" i="1"/>
  <c r="AH22" i="1"/>
  <c r="AG22" i="1"/>
  <c r="C22" i="1"/>
  <c r="B22" i="1"/>
  <c r="A22" i="1"/>
  <c r="AJ21" i="1"/>
  <c r="AI21" i="1"/>
  <c r="AH21" i="1"/>
  <c r="AG21" i="1"/>
  <c r="C21" i="1"/>
  <c r="B21" i="1"/>
  <c r="A21" i="1"/>
  <c r="AJ20" i="1"/>
  <c r="AI20" i="1"/>
  <c r="AH20" i="1"/>
  <c r="AG20" i="1"/>
  <c r="C20" i="1"/>
  <c r="B20" i="1"/>
  <c r="A20" i="1"/>
  <c r="AJ19" i="1"/>
  <c r="AI19" i="1"/>
  <c r="AH19" i="1"/>
  <c r="AG19" i="1"/>
  <c r="C19" i="1"/>
  <c r="B19" i="1"/>
  <c r="A19" i="1"/>
  <c r="AJ18" i="1"/>
  <c r="AI18" i="1"/>
  <c r="AH18" i="1"/>
  <c r="AG18" i="1"/>
  <c r="C18" i="1"/>
  <c r="B18" i="1"/>
  <c r="A18" i="1"/>
  <c r="AJ17" i="1"/>
  <c r="AI17" i="1"/>
  <c r="AH17" i="1"/>
  <c r="AG17" i="1"/>
  <c r="C17" i="1"/>
  <c r="B17" i="1"/>
  <c r="A17" i="1"/>
  <c r="AJ16" i="1"/>
  <c r="AI16" i="1"/>
  <c r="AH16" i="1"/>
  <c r="AG16" i="1"/>
  <c r="C16" i="1"/>
  <c r="B16" i="1"/>
  <c r="A16" i="1"/>
  <c r="AJ15" i="1"/>
  <c r="AI15" i="1"/>
  <c r="AH15" i="1"/>
  <c r="AG15" i="1"/>
  <c r="C15" i="1"/>
  <c r="B15" i="1"/>
  <c r="A15" i="1"/>
  <c r="AJ14" i="1"/>
  <c r="AI14" i="1"/>
  <c r="AH14" i="1"/>
  <c r="AG14" i="1"/>
  <c r="C14" i="1"/>
  <c r="B14" i="1"/>
  <c r="A14" i="1"/>
  <c r="AJ13" i="1"/>
  <c r="AI13" i="1"/>
  <c r="AH13" i="1"/>
  <c r="AG13" i="1"/>
  <c r="C13" i="1"/>
  <c r="B13" i="1"/>
  <c r="A13" i="1"/>
  <c r="AJ12" i="1"/>
  <c r="AI12" i="1"/>
  <c r="AH12" i="1"/>
  <c r="AG12" i="1"/>
  <c r="C12" i="1"/>
  <c r="B12" i="1"/>
  <c r="A12" i="1"/>
  <c r="AJ11" i="1"/>
  <c r="AI11" i="1"/>
  <c r="AH11" i="1"/>
  <c r="AG11" i="1"/>
  <c r="C11" i="1"/>
  <c r="B11" i="1"/>
  <c r="A11" i="1"/>
  <c r="AJ10" i="1"/>
  <c r="AI10" i="1"/>
  <c r="AH10" i="1"/>
  <c r="AG10" i="1"/>
  <c r="C10" i="1"/>
  <c r="B10" i="1"/>
  <c r="A10" i="1"/>
  <c r="AJ9" i="1"/>
  <c r="AI9" i="1"/>
  <c r="AH9" i="1"/>
  <c r="AG9" i="1"/>
  <c r="C9" i="1"/>
  <c r="B9" i="1"/>
  <c r="A9" i="1"/>
  <c r="AJ8" i="1"/>
  <c r="AI8" i="1"/>
  <c r="AH8" i="1"/>
  <c r="AG8" i="1"/>
  <c r="C8" i="1"/>
  <c r="B8" i="1"/>
  <c r="A8" i="1"/>
  <c r="AJ7" i="1"/>
  <c r="AI7" i="1"/>
  <c r="AH7" i="1"/>
  <c r="AG7" i="1"/>
  <c r="C7" i="1"/>
  <c r="B7" i="1"/>
  <c r="A7" i="1"/>
  <c r="AJ6" i="1"/>
  <c r="AI6" i="1"/>
  <c r="AH6" i="1"/>
  <c r="AG6" i="1"/>
  <c r="C6" i="1"/>
  <c r="B6" i="1"/>
  <c r="A6" i="1"/>
  <c r="AJ5" i="1"/>
  <c r="AI5" i="1"/>
  <c r="AH5" i="1"/>
  <c r="AG5" i="1"/>
  <c r="C5" i="1"/>
  <c r="B5" i="1"/>
  <c r="A5" i="1"/>
  <c r="AJ4" i="1"/>
  <c r="AI4" i="1"/>
  <c r="AH4" i="1"/>
  <c r="AG4" i="1"/>
  <c r="C4" i="1"/>
  <c r="B4" i="1"/>
  <c r="A4" i="1"/>
  <c r="AJ3" i="1"/>
  <c r="AI3" i="1"/>
  <c r="AI33" i="1" s="1"/>
  <c r="AH3" i="1"/>
  <c r="AG3" i="1"/>
  <c r="AG33" i="1" s="1"/>
  <c r="C3" i="1"/>
  <c r="B3" i="1"/>
  <c r="A3" i="1"/>
  <c r="AJ2" i="1"/>
  <c r="AJ33" i="1" s="1"/>
  <c r="AI2" i="1"/>
  <c r="AH2" i="1"/>
  <c r="AH33" i="1" s="1"/>
  <c r="AG2" i="1"/>
  <c r="C2" i="1"/>
  <c r="B2" i="1"/>
  <c r="A2" i="1"/>
  <c r="AI33" i="4" l="1"/>
  <c r="AH33" i="4"/>
  <c r="AG33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2" i="4"/>
  <c r="B32" i="4"/>
  <c r="A32" i="4"/>
  <c r="C31" i="4"/>
  <c r="B31" i="4"/>
  <c r="A31" i="4"/>
  <c r="C30" i="4"/>
  <c r="B30" i="4"/>
  <c r="A30" i="4"/>
  <c r="C29" i="4"/>
  <c r="B29" i="4"/>
  <c r="A29" i="4"/>
  <c r="C28" i="4"/>
  <c r="B28" i="4"/>
  <c r="A28" i="4"/>
  <c r="C27" i="4"/>
  <c r="B27" i="4"/>
  <c r="A27" i="4"/>
  <c r="C26" i="4"/>
  <c r="B26" i="4"/>
  <c r="A26" i="4"/>
  <c r="C25" i="4"/>
  <c r="B25" i="4"/>
  <c r="A25" i="4"/>
  <c r="C24" i="4"/>
  <c r="B24" i="4"/>
  <c r="A24" i="4"/>
  <c r="C23" i="4"/>
  <c r="B23" i="4"/>
  <c r="A23" i="4"/>
  <c r="C22" i="4"/>
  <c r="B22" i="4"/>
  <c r="A22" i="4"/>
  <c r="C21" i="4"/>
  <c r="B21" i="4"/>
  <c r="A21" i="4"/>
  <c r="C20" i="4"/>
  <c r="B20" i="4"/>
  <c r="A20" i="4"/>
  <c r="C19" i="4"/>
  <c r="B19" i="4"/>
  <c r="A19" i="4"/>
  <c r="C18" i="4"/>
  <c r="B18" i="4"/>
  <c r="A18" i="4"/>
  <c r="C17" i="4"/>
  <c r="B17" i="4"/>
  <c r="A17" i="4"/>
  <c r="C16" i="4"/>
  <c r="B16" i="4"/>
  <c r="A16" i="4"/>
  <c r="C15" i="4"/>
  <c r="B15" i="4"/>
  <c r="A15" i="4"/>
  <c r="C14" i="4"/>
  <c r="B14" i="4"/>
  <c r="A14" i="4"/>
  <c r="C13" i="4"/>
  <c r="B13" i="4"/>
  <c r="A13" i="4"/>
  <c r="C12" i="4"/>
  <c r="B12" i="4"/>
  <c r="A12" i="4"/>
  <c r="C11" i="4"/>
  <c r="B11" i="4"/>
  <c r="A11" i="4"/>
  <c r="C10" i="4"/>
  <c r="B10" i="4"/>
  <c r="A10" i="4"/>
  <c r="C9" i="4"/>
  <c r="B9" i="4"/>
  <c r="A9" i="4"/>
  <c r="C8" i="4"/>
  <c r="B8" i="4"/>
  <c r="A8" i="4"/>
  <c r="C7" i="4"/>
  <c r="B7" i="4"/>
  <c r="A7" i="4"/>
  <c r="C6" i="4"/>
  <c r="B6" i="4"/>
  <c r="A6" i="4"/>
  <c r="C5" i="4"/>
  <c r="B5" i="4"/>
  <c r="A5" i="4"/>
  <c r="C4" i="4"/>
  <c r="B4" i="4"/>
  <c r="A4" i="4"/>
  <c r="C3" i="4"/>
  <c r="B3" i="4"/>
  <c r="A3" i="4"/>
  <c r="C2" i="4"/>
  <c r="B2" i="4"/>
  <c r="A2" i="4"/>
  <c r="J35" i="8" l="1"/>
  <c r="L34" i="6" l="1"/>
</calcChain>
</file>

<file path=xl/sharedStrings.xml><?xml version="1.0" encoding="utf-8"?>
<sst xmlns="http://schemas.openxmlformats.org/spreadsheetml/2006/main" count="455" uniqueCount="209">
  <si>
    <t>كد پرسنلي</t>
  </si>
  <si>
    <t>نام و نام خانوادگي</t>
  </si>
  <si>
    <t>مركز هزينه</t>
  </si>
  <si>
    <t>كاركرد اضافه كاري</t>
  </si>
  <si>
    <t>كاركرد عادي</t>
  </si>
  <si>
    <t>اضافه كاري</t>
  </si>
  <si>
    <t>حق ماموريت</t>
  </si>
  <si>
    <t>حق اولأد</t>
  </si>
  <si>
    <t>حق مسكن</t>
  </si>
  <si>
    <t>بن کارگري</t>
  </si>
  <si>
    <t>حق ناهار</t>
  </si>
  <si>
    <t>اياب وذهاب</t>
  </si>
  <si>
    <t>تفاوت تطبيق</t>
  </si>
  <si>
    <t>مزد شغل</t>
  </si>
  <si>
    <t>مزد رتبه</t>
  </si>
  <si>
    <t>مزد سنوات</t>
  </si>
  <si>
    <t>مزد پست</t>
  </si>
  <si>
    <t>بيمه تامين اجتماعي - سهم كارمند</t>
  </si>
  <si>
    <t>مساعده</t>
  </si>
  <si>
    <t>ماليات</t>
  </si>
  <si>
    <t>جمع اقساط وام</t>
  </si>
  <si>
    <t>عضويت رفاه پارسيان</t>
  </si>
  <si>
    <t>بيمه تامين اجتماعي سهم كارفرما</t>
  </si>
  <si>
    <t>بيمه بيكاري</t>
  </si>
  <si>
    <t>كاركرد موثر</t>
  </si>
  <si>
    <t>خالص پرداختي</t>
  </si>
  <si>
    <t>جمع حقوق و مزايا</t>
  </si>
  <si>
    <t>جمع كسور</t>
  </si>
  <si>
    <t>شعبات وزارت دارائي</t>
  </si>
  <si>
    <t>گروه مالياتي وزارت دارائي</t>
  </si>
  <si>
    <t>شعبات سازمان تامين اجتماعي</t>
  </si>
  <si>
    <t>شماره بيمهء سازمان تامين اجتماعي</t>
  </si>
  <si>
    <t xml:space="preserve"> مبلغ قسط وام صندوق رفاه و پس انداز کارکنان</t>
  </si>
  <si>
    <t>باقيمانده‌ وام صندوق رفاه و پس انداز کارکنان</t>
  </si>
  <si>
    <t>مجموع اقساط‌وام صندوق رفاه و پس انداز کارکنان</t>
  </si>
  <si>
    <t>مبلغ‌وام صندوق رفاه و پس انداز کارکنان</t>
  </si>
  <si>
    <t xml:space="preserve"> مبلغ استقراروام صندوق رفاه و پس انداز کارکنان</t>
  </si>
  <si>
    <t xml:space="preserve"> مبلغ قسط بيمه ايران شرکت</t>
  </si>
  <si>
    <t xml:space="preserve"> مبلغ در حكم بن کارگري</t>
  </si>
  <si>
    <t xml:space="preserve"> مبلغ در حكم حق اولأد</t>
  </si>
  <si>
    <t xml:space="preserve"> مبلغ در حكم حق مسكن</t>
  </si>
  <si>
    <t xml:space="preserve"> مبلغ در حكم مزد شغل</t>
  </si>
  <si>
    <t xml:space="preserve"> مبلغ در حكم مزد رتبه</t>
  </si>
  <si>
    <t xml:space="preserve"> مبلغ در حكم حق پرتو کاري</t>
  </si>
  <si>
    <t xml:space="preserve"> مبلغ در حكم مزد پست</t>
  </si>
  <si>
    <t xml:space="preserve"> مبلغ در حكم مزد سنوات</t>
  </si>
  <si>
    <t xml:space="preserve"> مبلغ در حكم تفاوت تطبيق</t>
  </si>
  <si>
    <t xml:space="preserve">حکم حقوقی </t>
  </si>
  <si>
    <t xml:space="preserve">سنوات </t>
  </si>
  <si>
    <t xml:space="preserve">عیدی </t>
  </si>
  <si>
    <t>ردیف</t>
  </si>
  <si>
    <t>ماه مربوط</t>
  </si>
  <si>
    <t>تعداد نفرات</t>
  </si>
  <si>
    <t xml:space="preserve">جمع حقوق و مزایا </t>
  </si>
  <si>
    <t>بیمه تامین 
اجتماعی 23%</t>
  </si>
  <si>
    <t xml:space="preserve">عیدی و پاداش </t>
  </si>
  <si>
    <t xml:space="preserve">رفاهیات </t>
  </si>
  <si>
    <t xml:space="preserve">جمع کل </t>
  </si>
  <si>
    <t xml:space="preserve">جمع </t>
  </si>
  <si>
    <t>مالیات بر ارزش افزوده</t>
  </si>
  <si>
    <t xml:space="preserve">
تهیه کننده: </t>
  </si>
  <si>
    <t xml:space="preserve">
تائید کننده (پیمانکار): </t>
  </si>
  <si>
    <t xml:space="preserve">
تصویب کننده(کارفرما): </t>
  </si>
  <si>
    <t xml:space="preserve">فروردین </t>
  </si>
  <si>
    <t xml:space="preserve">اردیبهشت </t>
  </si>
  <si>
    <t xml:space="preserve">خرداد </t>
  </si>
  <si>
    <t>ساير مزايا بدون بيمه وماليات</t>
  </si>
  <si>
    <t>فوق العاده مهد کودک</t>
  </si>
  <si>
    <t>کسور اصلاح حقوق</t>
  </si>
  <si>
    <t>کارکرد بيماري</t>
  </si>
  <si>
    <t>حقوق ثابت</t>
  </si>
  <si>
    <t>بدهي ماه جاري</t>
  </si>
  <si>
    <t>پاداش</t>
  </si>
  <si>
    <t xml:space="preserve"> مبلغ قسط بيمه عمر البرز شرکت</t>
  </si>
  <si>
    <t>9157041</t>
  </si>
  <si>
    <t>عيد آسماني</t>
  </si>
  <si>
    <t>توليد توسعه - دارخوين</t>
  </si>
  <si>
    <t>50575808</t>
  </si>
  <si>
    <t>9157042</t>
  </si>
  <si>
    <t>کاظم آل بالدي</t>
  </si>
  <si>
    <t>57951643</t>
  </si>
  <si>
    <t>9157043</t>
  </si>
  <si>
    <t>عبداله البوبالد</t>
  </si>
  <si>
    <t>57951654</t>
  </si>
  <si>
    <t>9157044</t>
  </si>
  <si>
    <t>سعيد ال بوبالدي</t>
  </si>
  <si>
    <t>56004180</t>
  </si>
  <si>
    <t>9157045</t>
  </si>
  <si>
    <t>شريف آلبوبالدي</t>
  </si>
  <si>
    <t>52544320</t>
  </si>
  <si>
    <t>9157046</t>
  </si>
  <si>
    <t>يعقوب آلبوبالدي</t>
  </si>
  <si>
    <t>52545284</t>
  </si>
  <si>
    <t>9157047</t>
  </si>
  <si>
    <t>محمد البوغبيش</t>
  </si>
  <si>
    <t>57958412</t>
  </si>
  <si>
    <t>9157049</t>
  </si>
  <si>
    <t>عبدالامام بالدي</t>
  </si>
  <si>
    <t>50135194</t>
  </si>
  <si>
    <t>9157050</t>
  </si>
  <si>
    <t>حسين باوي</t>
  </si>
  <si>
    <t>57952049</t>
  </si>
  <si>
    <t>9157053</t>
  </si>
  <si>
    <t>عظيم باوي سويره</t>
  </si>
  <si>
    <t>57962120</t>
  </si>
  <si>
    <t>9157054</t>
  </si>
  <si>
    <t>عارف باوي فرد</t>
  </si>
  <si>
    <t>52703310</t>
  </si>
  <si>
    <t>9157055</t>
  </si>
  <si>
    <t>نجم باوي فرد</t>
  </si>
  <si>
    <t>52554911</t>
  </si>
  <si>
    <t>9157056</t>
  </si>
  <si>
    <t>سعيد بدوي</t>
  </si>
  <si>
    <t>50354983</t>
  </si>
  <si>
    <t>9157057</t>
  </si>
  <si>
    <t>عباس بدوي</t>
  </si>
  <si>
    <t>50546913</t>
  </si>
  <si>
    <t>9157058</t>
  </si>
  <si>
    <t>طاهر پورحزبه</t>
  </si>
  <si>
    <t>52537454</t>
  </si>
  <si>
    <t>9157059</t>
  </si>
  <si>
    <t>رحمه سياحي</t>
  </si>
  <si>
    <t>57963719</t>
  </si>
  <si>
    <t>9157060</t>
  </si>
  <si>
    <t>مرد سياحي</t>
  </si>
  <si>
    <t>57787686</t>
  </si>
  <si>
    <t>9157065</t>
  </si>
  <si>
    <t>رحيم عقباوي</t>
  </si>
  <si>
    <t>57950611</t>
  </si>
  <si>
    <t>9157066</t>
  </si>
  <si>
    <t>جمشيد فرحانيان</t>
  </si>
  <si>
    <t>57951656</t>
  </si>
  <si>
    <t>9157068</t>
  </si>
  <si>
    <t>مجتبي قنواتي زاده</t>
  </si>
  <si>
    <t>57964338</t>
  </si>
  <si>
    <t>9157069</t>
  </si>
  <si>
    <t>رضا محمدحسيني</t>
  </si>
  <si>
    <t>57964159</t>
  </si>
  <si>
    <t>9157070</t>
  </si>
  <si>
    <t>فاضل مقدم</t>
  </si>
  <si>
    <t>76306655</t>
  </si>
  <si>
    <t>9157072</t>
  </si>
  <si>
    <t>محمدامين نادري</t>
  </si>
  <si>
    <t>57959895</t>
  </si>
  <si>
    <t>9157075</t>
  </si>
  <si>
    <t>علي پورحزبه</t>
  </si>
  <si>
    <t>52551779</t>
  </si>
  <si>
    <t>9157077</t>
  </si>
  <si>
    <t>جاسم جامدي باوي</t>
  </si>
  <si>
    <t>57963718</t>
  </si>
  <si>
    <t>9157079</t>
  </si>
  <si>
    <t>مزعل جليزي</t>
  </si>
  <si>
    <t>50090371</t>
  </si>
  <si>
    <t>9157081</t>
  </si>
  <si>
    <t>فهد چاملي</t>
  </si>
  <si>
    <t>57961939</t>
  </si>
  <si>
    <t>9157084</t>
  </si>
  <si>
    <t>ايوب حويزاوي</t>
  </si>
  <si>
    <t>57955080</t>
  </si>
  <si>
    <t>9157089</t>
  </si>
  <si>
    <t>منصور خنفري راد</t>
  </si>
  <si>
    <t>57962868</t>
  </si>
  <si>
    <t>9157090</t>
  </si>
  <si>
    <t>جميل زرگاني</t>
  </si>
  <si>
    <t>57959541</t>
  </si>
  <si>
    <t>9157091</t>
  </si>
  <si>
    <t>علي ساري</t>
  </si>
  <si>
    <t>52564961</t>
  </si>
  <si>
    <t xml:space="preserve">جمع کارکرد </t>
  </si>
  <si>
    <t xml:space="preserve">شماره کارت </t>
  </si>
  <si>
    <t xml:space="preserve">رفاهیات اردیبهشت </t>
  </si>
  <si>
    <t xml:space="preserve">یارانه ورزشی اردیبهشت </t>
  </si>
  <si>
    <t>معوقات</t>
  </si>
  <si>
    <t>6221060117770861</t>
  </si>
  <si>
    <t>6221060117770788</t>
  </si>
  <si>
    <t>6221060117770515</t>
  </si>
  <si>
    <t>6221060117770671</t>
  </si>
  <si>
    <t>6221060117770960</t>
  </si>
  <si>
    <t>6221060117770739</t>
  </si>
  <si>
    <t>6221060117770549</t>
  </si>
  <si>
    <t>6221060117770689</t>
  </si>
  <si>
    <t>6221060117770820</t>
  </si>
  <si>
    <t>6221060117770663</t>
  </si>
  <si>
    <t>6221060117770655</t>
  </si>
  <si>
    <t>6221060117770986</t>
  </si>
  <si>
    <t>6221060117770598</t>
  </si>
  <si>
    <t>6221060117770556</t>
  </si>
  <si>
    <t>6221060117770846</t>
  </si>
  <si>
    <t>6221060117770762</t>
  </si>
  <si>
    <t>6221060117770747</t>
  </si>
  <si>
    <t>6221060117770523</t>
  </si>
  <si>
    <t>6221060117770705</t>
  </si>
  <si>
    <t>6221060117770564</t>
  </si>
  <si>
    <t>6221060117770697</t>
  </si>
  <si>
    <t>6221060117770572</t>
  </si>
  <si>
    <t>6221060117770630</t>
  </si>
  <si>
    <t>6221060117770648</t>
  </si>
  <si>
    <t>6221060119369522</t>
  </si>
  <si>
    <t>6221060117770978</t>
  </si>
  <si>
    <t>6221060117770606</t>
  </si>
  <si>
    <t>6221060117770770</t>
  </si>
  <si>
    <t>6221060117770531</t>
  </si>
  <si>
    <t>6221060117770911</t>
  </si>
  <si>
    <t>6221060117770887</t>
  </si>
  <si>
    <t>رفاهی فروردین95</t>
  </si>
  <si>
    <t>یارانه ورزشی فروردین95</t>
  </si>
  <si>
    <t>پاداش روز زن</t>
  </si>
  <si>
    <t>پرداختی</t>
  </si>
  <si>
    <t xml:space="preserve">گزارش صورت وضعیت فروردین لغایت خرداد ماه 95 پرسنل شرکت تولید توسعه انرژی اتمی (دارخوین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</si>
</sst>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_-* #,##0.00\-;_-* &quot;-&quot;??_-;_-@_-"/>
    <numFmt numFmtId="164" formatCode="_-* #,##0_-;_-* #,##0\-;_-* &quot;-&quot;??_-;_-@_-"/>
  </numFmts>
  <fonts count="24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4"/>
      <color rgb="FF0000FF"/>
      <name val="Tahoma"/>
      <family val="2"/>
    </font>
    <font>
      <sz val="14"/>
      <color theme="1"/>
      <name val="Tahoma"/>
      <family val="2"/>
    </font>
    <font>
      <b/>
      <sz val="14"/>
      <color rgb="FFFF0000"/>
      <name val="Tahoma"/>
      <family val="2"/>
    </font>
    <font>
      <b/>
      <sz val="11"/>
      <color theme="1"/>
      <name val="Calibri"/>
      <family val="2"/>
      <charset val="178"/>
      <scheme val="minor"/>
    </font>
    <font>
      <sz val="12"/>
      <color theme="1"/>
      <name val="B Zar"/>
      <charset val="178"/>
    </font>
    <font>
      <sz val="14"/>
      <color theme="1"/>
      <name val="B Zar"/>
      <charset val="178"/>
    </font>
    <font>
      <b/>
      <sz val="16"/>
      <color theme="1"/>
      <name val="B Zar"/>
      <charset val="178"/>
    </font>
    <font>
      <b/>
      <sz val="14"/>
      <color theme="1"/>
      <name val="B Zar"/>
      <charset val="178"/>
    </font>
    <font>
      <b/>
      <sz val="14"/>
      <name val="B Zar"/>
      <charset val="178"/>
    </font>
    <font>
      <sz val="14"/>
      <color theme="1"/>
      <name val="Calibri"/>
      <family val="2"/>
      <charset val="178"/>
      <scheme val="minor"/>
    </font>
    <font>
      <sz val="16"/>
      <color theme="1"/>
      <name val="B Zar"/>
      <charset val="178"/>
    </font>
    <font>
      <sz val="16"/>
      <name val="B Zar"/>
      <charset val="178"/>
    </font>
    <font>
      <b/>
      <sz val="16"/>
      <color rgb="FFFF0000"/>
      <name val="B Zar"/>
      <charset val="178"/>
    </font>
    <font>
      <b/>
      <sz val="16"/>
      <name val="B Zar"/>
      <charset val="178"/>
    </font>
    <font>
      <sz val="11"/>
      <color theme="1"/>
      <name val="Tahoma"/>
      <family val="2"/>
    </font>
    <font>
      <b/>
      <sz val="14"/>
      <color theme="1"/>
      <name val="Tahoma"/>
      <family val="2"/>
    </font>
    <font>
      <b/>
      <sz val="11"/>
      <color rgb="FF0000FF"/>
      <name val="Tahoma"/>
      <family val="2"/>
    </font>
    <font>
      <b/>
      <sz val="11"/>
      <color rgb="FFFF0000"/>
      <name val="Tahoma"/>
      <family val="2"/>
    </font>
    <font>
      <sz val="11"/>
      <name val="Calibri"/>
      <family val="2"/>
      <charset val="178"/>
      <scheme val="minor"/>
    </font>
    <font>
      <sz val="18"/>
      <name val="Calibri"/>
      <family val="2"/>
      <charset val="178"/>
      <scheme val="minor"/>
    </font>
    <font>
      <sz val="16"/>
      <name val="Tahoma"/>
      <family val="2"/>
    </font>
    <font>
      <b/>
      <sz val="16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/>
    <xf numFmtId="0" fontId="12" fillId="2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3" fontId="15" fillId="0" borderId="2" xfId="0" applyNumberFormat="1" applyFont="1" applyBorder="1" applyAlignment="1">
      <alignment horizontal="center" vertical="center"/>
    </xf>
    <xf numFmtId="0" fontId="16" fillId="2" borderId="0" xfId="0" applyFont="1" applyFill="1" applyAlignment="1">
      <alignment horizontal="right" vertical="center"/>
    </xf>
    <xf numFmtId="164" fontId="5" fillId="0" borderId="0" xfId="1" applyNumberFormat="1" applyFont="1"/>
    <xf numFmtId="3" fontId="16" fillId="2" borderId="0" xfId="0" applyNumberFormat="1" applyFont="1" applyFill="1" applyBorder="1" applyAlignment="1">
      <alignment horizontal="left" vertical="center"/>
    </xf>
    <xf numFmtId="3" fontId="9" fillId="2" borderId="0" xfId="0" applyNumberFormat="1" applyFont="1" applyFill="1" applyBorder="1" applyAlignment="1">
      <alignment horizontal="center" vertical="center"/>
    </xf>
    <xf numFmtId="3" fontId="14" fillId="0" borderId="0" xfId="0" applyNumberFormat="1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2" borderId="0" xfId="2" applyNumberFormat="1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4" fontId="19" fillId="0" borderId="0" xfId="3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18" fillId="0" borderId="0" xfId="1" applyNumberFormat="1" applyFont="1" applyAlignment="1">
      <alignment horizontal="center" vertical="center"/>
    </xf>
    <xf numFmtId="164" fontId="16" fillId="0" borderId="0" xfId="1" applyNumberFormat="1" applyFont="1" applyAlignment="1">
      <alignment horizontal="center" vertical="center"/>
    </xf>
    <xf numFmtId="164" fontId="19" fillId="0" borderId="0" xfId="1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17" fillId="2" borderId="4" xfId="0" applyFont="1" applyFill="1" applyBorder="1" applyAlignment="1">
      <alignment horizontal="right" vertical="top" wrapText="1"/>
    </xf>
    <xf numFmtId="0" fontId="17" fillId="2" borderId="6" xfId="0" applyFont="1" applyFill="1" applyBorder="1" applyAlignment="1">
      <alignment horizontal="right" vertical="top" wrapText="1"/>
    </xf>
    <xf numFmtId="3" fontId="17" fillId="2" borderId="4" xfId="0" applyNumberFormat="1" applyFont="1" applyFill="1" applyBorder="1" applyAlignment="1">
      <alignment horizontal="right" vertical="top" wrapText="1"/>
    </xf>
    <xf numFmtId="3" fontId="17" fillId="2" borderId="5" xfId="0" applyNumberFormat="1" applyFont="1" applyFill="1" applyBorder="1" applyAlignment="1">
      <alignment horizontal="right" vertical="top" wrapText="1"/>
    </xf>
    <xf numFmtId="3" fontId="17" fillId="2" borderId="6" xfId="0" applyNumberFormat="1" applyFont="1" applyFill="1" applyBorder="1" applyAlignment="1">
      <alignment horizontal="right" vertical="top" wrapText="1"/>
    </xf>
    <xf numFmtId="0" fontId="15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0" fontId="20" fillId="0" borderId="0" xfId="0" applyFont="1"/>
    <xf numFmtId="0" fontId="15" fillId="0" borderId="0" xfId="0" applyFont="1" applyAlignment="1">
      <alignment horizontal="center" vertical="center"/>
    </xf>
    <xf numFmtId="3" fontId="15" fillId="0" borderId="0" xfId="0" applyNumberFormat="1" applyFont="1" applyBorder="1" applyAlignment="1">
      <alignment horizontal="left" vertical="center"/>
    </xf>
    <xf numFmtId="3" fontId="15" fillId="0" borderId="0" xfId="0" applyNumberFormat="1" applyFont="1" applyBorder="1" applyAlignment="1">
      <alignment horizontal="center" vertical="center"/>
    </xf>
    <xf numFmtId="3" fontId="21" fillId="0" borderId="0" xfId="0" applyNumberFormat="1" applyFont="1"/>
    <xf numFmtId="164" fontId="20" fillId="0" borderId="0" xfId="1" applyNumberFormat="1" applyFont="1"/>
    <xf numFmtId="3" fontId="20" fillId="0" borderId="0" xfId="0" applyNumberFormat="1" applyFont="1"/>
    <xf numFmtId="0" fontId="22" fillId="0" borderId="0" xfId="0" applyFont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3" fontId="22" fillId="2" borderId="0" xfId="0" applyNumberFormat="1" applyFont="1" applyFill="1" applyAlignment="1">
      <alignment horizontal="center" vertical="center"/>
    </xf>
    <xf numFmtId="164" fontId="23" fillId="2" borderId="0" xfId="1" applyNumberFormat="1" applyFont="1" applyFill="1" applyBorder="1" applyAlignment="1">
      <alignment horizontal="center" vertical="center"/>
    </xf>
    <xf numFmtId="3" fontId="15" fillId="2" borderId="2" xfId="0" applyNumberFormat="1" applyFont="1" applyFill="1" applyBorder="1" applyAlignment="1">
      <alignment horizontal="center" vertical="center"/>
    </xf>
    <xf numFmtId="3" fontId="15" fillId="0" borderId="2" xfId="0" applyNumberFormat="1" applyFont="1" applyBorder="1" applyAlignment="1">
      <alignment horizontal="center" vertical="center"/>
    </xf>
    <xf numFmtId="3" fontId="15" fillId="0" borderId="7" xfId="0" applyNumberFormat="1" applyFont="1" applyBorder="1" applyAlignment="1">
      <alignment horizontal="center" vertical="center"/>
    </xf>
    <xf numFmtId="0" fontId="17" fillId="2" borderId="5" xfId="0" applyFont="1" applyFill="1" applyBorder="1" applyAlignment="1">
      <alignment horizontal="right" vertical="top" wrapText="1"/>
    </xf>
  </cellXfs>
  <cellStyles count="4">
    <cellStyle name="Comma" xfId="1" builtinId="3"/>
    <cellStyle name="Comma 2" xfId="3"/>
    <cellStyle name="Comma 2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rightToLeft="1" topLeftCell="S19" workbookViewId="0">
      <selection activeCell="A25" sqref="A1:A1048576"/>
    </sheetView>
  </sheetViews>
  <sheetFormatPr defaultRowHeight="14.25"/>
  <cols>
    <col min="1" max="1" width="14.42578125" style="33" bestFit="1" customWidth="1"/>
    <col min="2" max="2" width="21.28515625" style="33" bestFit="1" customWidth="1"/>
    <col min="3" max="3" width="22.5703125" style="33" bestFit="1" customWidth="1"/>
    <col min="4" max="4" width="21.7109375" style="33" bestFit="1" customWidth="1"/>
    <col min="5" max="5" width="15.42578125" style="33" bestFit="1" customWidth="1"/>
    <col min="6" max="7" width="16" style="33" bestFit="1" customWidth="1"/>
    <col min="8" max="8" width="14.5703125" style="33" bestFit="1" customWidth="1"/>
    <col min="9" max="11" width="16" style="33" bestFit="1" customWidth="1"/>
    <col min="12" max="12" width="24.5703125" style="33" bestFit="1" customWidth="1"/>
    <col min="13" max="13" width="16.140625" style="33" bestFit="1" customWidth="1"/>
    <col min="14" max="14" width="17.5703125" style="33" bestFit="1" customWidth="1"/>
    <col min="15" max="15" width="14.5703125" style="33" bestFit="1" customWidth="1"/>
    <col min="16" max="16" width="16" style="33" bestFit="1" customWidth="1"/>
    <col min="17" max="17" width="14.5703125" style="33" bestFit="1" customWidth="1"/>
    <col min="18" max="18" width="37.85546875" style="33" bestFit="1" customWidth="1"/>
    <col min="19" max="19" width="11.28515625" style="33" bestFit="1" customWidth="1"/>
    <col min="20" max="20" width="14.5703125" style="33" bestFit="1" customWidth="1"/>
    <col min="21" max="21" width="18.5703125" style="33" bestFit="1" customWidth="1"/>
    <col min="22" max="22" width="24.140625" style="33" bestFit="1" customWidth="1"/>
    <col min="23" max="23" width="22" style="33" bestFit="1" customWidth="1"/>
    <col min="24" max="24" width="37.28515625" style="33" bestFit="1" customWidth="1"/>
    <col min="25" max="25" width="16" style="33" bestFit="1" customWidth="1"/>
    <col min="26" max="26" width="14.28515625" style="33" bestFit="1" customWidth="1"/>
    <col min="27" max="27" width="18.42578125" style="33" bestFit="1" customWidth="1"/>
    <col min="28" max="28" width="21.140625" style="33" bestFit="1" customWidth="1"/>
    <col min="29" max="29" width="16" style="33" bestFit="1" customWidth="1"/>
    <col min="30" max="30" width="50.28515625" style="33" bestFit="1" customWidth="1"/>
    <col min="31" max="31" width="48" style="33" bestFit="1" customWidth="1"/>
    <col min="32" max="32" width="52.85546875" style="33" bestFit="1" customWidth="1"/>
    <col min="33" max="33" width="43" style="33" bestFit="1" customWidth="1"/>
    <col min="34" max="34" width="52.140625" style="33" bestFit="1" customWidth="1"/>
    <col min="35" max="35" width="32.28515625" style="33" bestFit="1" customWidth="1"/>
    <col min="36" max="16384" width="9.140625" style="33"/>
  </cols>
  <sheetData>
    <row r="1" spans="1:35">
      <c r="A1" s="32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7</v>
      </c>
      <c r="H1" s="32" t="s">
        <v>8</v>
      </c>
      <c r="I1" s="32" t="s">
        <v>9</v>
      </c>
      <c r="J1" s="32" t="s">
        <v>10</v>
      </c>
      <c r="K1" s="32" t="s">
        <v>11</v>
      </c>
      <c r="L1" s="32" t="s">
        <v>67</v>
      </c>
      <c r="M1" s="32" t="s">
        <v>12</v>
      </c>
      <c r="N1" s="32" t="s">
        <v>13</v>
      </c>
      <c r="O1" s="32" t="s">
        <v>14</v>
      </c>
      <c r="P1" s="32" t="s">
        <v>15</v>
      </c>
      <c r="Q1" s="32" t="s">
        <v>16</v>
      </c>
      <c r="R1" s="32" t="s">
        <v>17</v>
      </c>
      <c r="S1" s="32" t="s">
        <v>18</v>
      </c>
      <c r="T1" s="32" t="s">
        <v>19</v>
      </c>
      <c r="U1" s="32" t="s">
        <v>20</v>
      </c>
      <c r="V1" s="32" t="s">
        <v>21</v>
      </c>
      <c r="W1" s="32" t="s">
        <v>68</v>
      </c>
      <c r="X1" s="32" t="s">
        <v>22</v>
      </c>
      <c r="Y1" s="32" t="s">
        <v>23</v>
      </c>
      <c r="Z1" s="32" t="s">
        <v>24</v>
      </c>
      <c r="AA1" s="32" t="s">
        <v>25</v>
      </c>
      <c r="AB1" s="32" t="s">
        <v>26</v>
      </c>
      <c r="AC1" s="32" t="s">
        <v>27</v>
      </c>
      <c r="AD1" s="32" t="s">
        <v>32</v>
      </c>
      <c r="AE1" s="32" t="s">
        <v>33</v>
      </c>
      <c r="AF1" s="32" t="s">
        <v>34</v>
      </c>
      <c r="AG1" s="32" t="s">
        <v>35</v>
      </c>
      <c r="AH1" s="32" t="s">
        <v>36</v>
      </c>
      <c r="AI1" s="32" t="s">
        <v>37</v>
      </c>
    </row>
    <row r="2" spans="1:35">
      <c r="A2" s="33" t="str">
        <f>"9157041"</f>
        <v>9157041</v>
      </c>
      <c r="B2" s="33" t="str">
        <f>"عيد آسماني"</f>
        <v>عيد آسماني</v>
      </c>
      <c r="C2" s="33" t="str">
        <f t="shared" ref="C2:C32" si="0">"توليد توسعه - دارخوين"</f>
        <v>توليد توسعه - دارخوين</v>
      </c>
      <c r="D2" s="33">
        <v>0</v>
      </c>
      <c r="E2" s="33">
        <v>13640</v>
      </c>
      <c r="F2" s="33">
        <v>0</v>
      </c>
      <c r="G2" s="33">
        <v>0</v>
      </c>
      <c r="H2" s="33">
        <v>200000</v>
      </c>
      <c r="I2" s="33">
        <v>1100000</v>
      </c>
      <c r="J2" s="33">
        <v>1012000</v>
      </c>
      <c r="K2" s="33">
        <v>960000</v>
      </c>
      <c r="L2" s="33">
        <v>0</v>
      </c>
      <c r="M2" s="33">
        <v>0</v>
      </c>
      <c r="N2" s="33">
        <v>9882924</v>
      </c>
      <c r="O2" s="33">
        <v>0</v>
      </c>
      <c r="P2" s="33">
        <v>1027407</v>
      </c>
      <c r="Q2" s="33">
        <v>0</v>
      </c>
      <c r="R2" s="33">
        <v>921923</v>
      </c>
      <c r="S2" s="33">
        <v>0</v>
      </c>
      <c r="T2" s="33">
        <v>0</v>
      </c>
      <c r="U2" s="33">
        <v>833333</v>
      </c>
      <c r="V2" s="33">
        <v>750000</v>
      </c>
      <c r="W2" s="33">
        <v>0</v>
      </c>
      <c r="X2" s="33">
        <v>2634066</v>
      </c>
      <c r="Y2" s="33">
        <v>395110</v>
      </c>
      <c r="Z2" s="33">
        <v>13640</v>
      </c>
      <c r="AA2" s="33">
        <v>11677075</v>
      </c>
      <c r="AB2" s="33">
        <v>14182331</v>
      </c>
      <c r="AC2" s="33">
        <v>2505256</v>
      </c>
      <c r="AD2" s="33">
        <v>833333</v>
      </c>
      <c r="AE2" s="33">
        <v>24166657</v>
      </c>
      <c r="AF2" s="33">
        <v>5833343</v>
      </c>
      <c r="AG2" s="33">
        <v>30000000</v>
      </c>
      <c r="AH2" s="33">
        <v>30000000</v>
      </c>
      <c r="AI2" s="33">
        <v>0</v>
      </c>
    </row>
    <row r="3" spans="1:35">
      <c r="A3" s="33" t="str">
        <f>"9157042"</f>
        <v>9157042</v>
      </c>
      <c r="B3" s="33" t="str">
        <f>"کاظم آل بالدي"</f>
        <v>کاظم آل بالدي</v>
      </c>
      <c r="C3" s="33" t="str">
        <f t="shared" si="0"/>
        <v>توليد توسعه - دارخوين</v>
      </c>
      <c r="D3" s="33">
        <v>1800</v>
      </c>
      <c r="E3" s="33">
        <v>13640</v>
      </c>
      <c r="F3" s="33">
        <v>2635114</v>
      </c>
      <c r="G3" s="33">
        <v>3248660</v>
      </c>
      <c r="H3" s="33">
        <v>200000</v>
      </c>
      <c r="I3" s="33">
        <v>1100000</v>
      </c>
      <c r="J3" s="33">
        <v>1012000</v>
      </c>
      <c r="K3" s="33">
        <v>960000</v>
      </c>
      <c r="L3" s="33">
        <v>0</v>
      </c>
      <c r="M3" s="33">
        <v>0</v>
      </c>
      <c r="N3" s="33">
        <v>11373497</v>
      </c>
      <c r="O3" s="33">
        <v>0</v>
      </c>
      <c r="P3" s="33">
        <v>1074279</v>
      </c>
      <c r="Q3" s="33">
        <v>0</v>
      </c>
      <c r="R3" s="33">
        <v>1214002</v>
      </c>
      <c r="S3" s="33">
        <v>0</v>
      </c>
      <c r="T3" s="33">
        <v>334235</v>
      </c>
      <c r="U3" s="33">
        <v>1388888</v>
      </c>
      <c r="V3" s="33">
        <v>750000</v>
      </c>
      <c r="W3" s="33">
        <v>0</v>
      </c>
      <c r="X3" s="33">
        <v>3468578</v>
      </c>
      <c r="Y3" s="33">
        <v>520287</v>
      </c>
      <c r="Z3" s="33">
        <v>13640</v>
      </c>
      <c r="AA3" s="33">
        <v>17916425</v>
      </c>
      <c r="AB3" s="33">
        <v>21603550</v>
      </c>
      <c r="AC3" s="33">
        <v>3687125</v>
      </c>
      <c r="AD3" s="33">
        <v>1388888</v>
      </c>
      <c r="AE3" s="33">
        <v>29166648</v>
      </c>
      <c r="AF3" s="33">
        <v>20833352</v>
      </c>
      <c r="AG3" s="33">
        <v>50000000</v>
      </c>
      <c r="AH3" s="33">
        <v>50000000</v>
      </c>
      <c r="AI3" s="33">
        <v>0</v>
      </c>
    </row>
    <row r="4" spans="1:35">
      <c r="A4" s="33" t="str">
        <f>"9157043"</f>
        <v>9157043</v>
      </c>
      <c r="B4" s="33" t="str">
        <f>"عبداله البوبالد"</f>
        <v>عبداله البوبالد</v>
      </c>
      <c r="C4" s="33" t="str">
        <f t="shared" si="0"/>
        <v>توليد توسعه - دارخوين</v>
      </c>
      <c r="D4" s="33">
        <v>0</v>
      </c>
      <c r="E4" s="33">
        <v>13640</v>
      </c>
      <c r="F4" s="33">
        <v>0</v>
      </c>
      <c r="G4" s="33">
        <v>812165</v>
      </c>
      <c r="H4" s="33">
        <v>200000</v>
      </c>
      <c r="I4" s="33">
        <v>1100000</v>
      </c>
      <c r="J4" s="33">
        <v>1012000</v>
      </c>
      <c r="K4" s="33">
        <v>960000</v>
      </c>
      <c r="L4" s="33">
        <v>0</v>
      </c>
      <c r="M4" s="33">
        <v>0</v>
      </c>
      <c r="N4" s="33">
        <v>12634763</v>
      </c>
      <c r="O4" s="33">
        <v>0</v>
      </c>
      <c r="P4" s="33">
        <v>1093747</v>
      </c>
      <c r="Q4" s="33">
        <v>0</v>
      </c>
      <c r="R4" s="33">
        <v>1119196</v>
      </c>
      <c r="S4" s="33">
        <v>0</v>
      </c>
      <c r="T4" s="33">
        <v>146045</v>
      </c>
      <c r="U4" s="33">
        <v>1388888</v>
      </c>
      <c r="V4" s="33">
        <v>750000</v>
      </c>
      <c r="W4" s="33">
        <v>0</v>
      </c>
      <c r="X4" s="33">
        <v>3197702</v>
      </c>
      <c r="Y4" s="33">
        <v>479655</v>
      </c>
      <c r="Z4" s="33">
        <v>13640</v>
      </c>
      <c r="AA4" s="33">
        <v>14408546</v>
      </c>
      <c r="AB4" s="33">
        <v>17812675</v>
      </c>
      <c r="AC4" s="33">
        <v>3404129</v>
      </c>
      <c r="AD4" s="33">
        <v>1388888</v>
      </c>
      <c r="AE4" s="33">
        <v>31944424</v>
      </c>
      <c r="AF4" s="33">
        <v>18055576</v>
      </c>
      <c r="AG4" s="33">
        <v>50000000</v>
      </c>
      <c r="AH4" s="33">
        <v>50000000</v>
      </c>
      <c r="AI4" s="33">
        <v>0</v>
      </c>
    </row>
    <row r="5" spans="1:35">
      <c r="A5" s="33" t="str">
        <f>"9157044"</f>
        <v>9157044</v>
      </c>
      <c r="B5" s="33" t="str">
        <f>"سعيد ال بوبالدي"</f>
        <v>سعيد ال بوبالدي</v>
      </c>
      <c r="C5" s="33" t="str">
        <f t="shared" si="0"/>
        <v>توليد توسعه - دارخوين</v>
      </c>
      <c r="D5" s="33">
        <v>0</v>
      </c>
      <c r="E5" s="33">
        <v>13640</v>
      </c>
      <c r="F5" s="33">
        <v>0</v>
      </c>
      <c r="G5" s="33">
        <v>2436495</v>
      </c>
      <c r="H5" s="33">
        <v>200000</v>
      </c>
      <c r="I5" s="33">
        <v>1100000</v>
      </c>
      <c r="J5" s="33">
        <v>1012000</v>
      </c>
      <c r="K5" s="33">
        <v>960000</v>
      </c>
      <c r="L5" s="33">
        <v>0</v>
      </c>
      <c r="M5" s="33">
        <v>0</v>
      </c>
      <c r="N5" s="33">
        <v>10800214</v>
      </c>
      <c r="O5" s="33">
        <v>0</v>
      </c>
      <c r="P5" s="33">
        <v>1053943</v>
      </c>
      <c r="Q5" s="33">
        <v>0</v>
      </c>
      <c r="R5" s="33">
        <v>987991</v>
      </c>
      <c r="S5" s="33">
        <v>0</v>
      </c>
      <c r="T5" s="33">
        <v>135418</v>
      </c>
      <c r="U5" s="33">
        <v>0</v>
      </c>
      <c r="V5" s="33">
        <v>0</v>
      </c>
      <c r="W5" s="33">
        <v>0</v>
      </c>
      <c r="X5" s="33">
        <v>2822831</v>
      </c>
      <c r="Y5" s="33">
        <v>423425</v>
      </c>
      <c r="Z5" s="33">
        <v>13640</v>
      </c>
      <c r="AA5" s="33">
        <v>16439243</v>
      </c>
      <c r="AB5" s="33">
        <v>17562652</v>
      </c>
      <c r="AC5" s="33">
        <v>1123409</v>
      </c>
    </row>
    <row r="6" spans="1:35">
      <c r="A6" s="33" t="str">
        <f>"9157045"</f>
        <v>9157045</v>
      </c>
      <c r="B6" s="33" t="str">
        <f>"شريف آلبوبالدي"</f>
        <v>شريف آلبوبالدي</v>
      </c>
      <c r="C6" s="33" t="str">
        <f t="shared" si="0"/>
        <v>توليد توسعه - دارخوين</v>
      </c>
      <c r="D6" s="33">
        <v>0</v>
      </c>
      <c r="E6" s="33">
        <v>13640</v>
      </c>
      <c r="F6" s="33">
        <v>0</v>
      </c>
      <c r="G6" s="33">
        <v>812165</v>
      </c>
      <c r="H6" s="33">
        <v>200000</v>
      </c>
      <c r="I6" s="33">
        <v>1100000</v>
      </c>
      <c r="J6" s="33">
        <v>1012000</v>
      </c>
      <c r="K6" s="33">
        <v>960000</v>
      </c>
      <c r="L6" s="33">
        <v>0</v>
      </c>
      <c r="M6" s="33">
        <v>0</v>
      </c>
      <c r="N6" s="33">
        <v>10800214</v>
      </c>
      <c r="O6" s="33">
        <v>0</v>
      </c>
      <c r="P6" s="33">
        <v>1053943</v>
      </c>
      <c r="Q6" s="33">
        <v>0</v>
      </c>
      <c r="R6" s="33">
        <v>987991</v>
      </c>
      <c r="S6" s="33">
        <v>0</v>
      </c>
      <c r="T6" s="33">
        <v>54202</v>
      </c>
      <c r="U6" s="33">
        <v>1388888</v>
      </c>
      <c r="V6" s="33">
        <v>750000</v>
      </c>
      <c r="W6" s="33">
        <v>0</v>
      </c>
      <c r="X6" s="33">
        <v>2822831</v>
      </c>
      <c r="Y6" s="33">
        <v>423425</v>
      </c>
      <c r="Z6" s="33">
        <v>13640</v>
      </c>
      <c r="AA6" s="33">
        <v>12757241</v>
      </c>
      <c r="AB6" s="33">
        <v>15938322</v>
      </c>
      <c r="AC6" s="33">
        <v>3181081</v>
      </c>
      <c r="AD6" s="33">
        <v>1388888</v>
      </c>
      <c r="AE6" s="33">
        <v>43055528</v>
      </c>
      <c r="AF6" s="33">
        <v>6944472</v>
      </c>
      <c r="AG6" s="33">
        <v>50000000</v>
      </c>
      <c r="AH6" s="33">
        <v>50000000</v>
      </c>
      <c r="AI6" s="33">
        <v>0</v>
      </c>
    </row>
    <row r="7" spans="1:35">
      <c r="A7" s="33" t="str">
        <f>"9157046"</f>
        <v>9157046</v>
      </c>
      <c r="B7" s="33" t="str">
        <f>"يعقوب آلبوبالدي"</f>
        <v>يعقوب آلبوبالدي</v>
      </c>
      <c r="C7" s="33" t="str">
        <f t="shared" si="0"/>
        <v>توليد توسعه - دارخوين</v>
      </c>
      <c r="D7" s="33">
        <v>0</v>
      </c>
      <c r="E7" s="33">
        <v>13640</v>
      </c>
      <c r="F7" s="33">
        <v>0</v>
      </c>
      <c r="G7" s="33">
        <v>2436495</v>
      </c>
      <c r="H7" s="33">
        <v>200000</v>
      </c>
      <c r="I7" s="33">
        <v>1100000</v>
      </c>
      <c r="J7" s="33">
        <v>1012000</v>
      </c>
      <c r="K7" s="33">
        <v>960000</v>
      </c>
      <c r="L7" s="33">
        <v>0</v>
      </c>
      <c r="M7" s="33">
        <v>0</v>
      </c>
      <c r="N7" s="33">
        <v>14010636</v>
      </c>
      <c r="O7" s="33">
        <v>0</v>
      </c>
      <c r="P7" s="33">
        <v>1133551</v>
      </c>
      <c r="Q7" s="33">
        <v>0</v>
      </c>
      <c r="R7" s="33">
        <v>1218293</v>
      </c>
      <c r="S7" s="33">
        <v>0</v>
      </c>
      <c r="T7" s="33">
        <v>296630</v>
      </c>
      <c r="U7" s="33">
        <v>1388888</v>
      </c>
      <c r="V7" s="33">
        <v>750000</v>
      </c>
      <c r="W7" s="33">
        <v>0</v>
      </c>
      <c r="X7" s="33">
        <v>3480837</v>
      </c>
      <c r="Y7" s="33">
        <v>522126</v>
      </c>
      <c r="Z7" s="33">
        <v>13640</v>
      </c>
      <c r="AA7" s="33">
        <v>17198871</v>
      </c>
      <c r="AB7" s="33">
        <v>20852682</v>
      </c>
      <c r="AC7" s="33">
        <v>3653811</v>
      </c>
      <c r="AD7" s="33">
        <v>1388888</v>
      </c>
      <c r="AE7" s="33">
        <v>40277752</v>
      </c>
      <c r="AF7" s="33">
        <v>9722248</v>
      </c>
      <c r="AG7" s="33">
        <v>50000000</v>
      </c>
      <c r="AH7" s="33">
        <v>50000000</v>
      </c>
      <c r="AI7" s="33">
        <v>0</v>
      </c>
    </row>
    <row r="8" spans="1:35">
      <c r="A8" s="33" t="str">
        <f>"9157047"</f>
        <v>9157047</v>
      </c>
      <c r="B8" s="33" t="str">
        <f>"محمد البوغبيش"</f>
        <v>محمد البوغبيش</v>
      </c>
      <c r="C8" s="33" t="str">
        <f t="shared" si="0"/>
        <v>توليد توسعه - دارخوين</v>
      </c>
      <c r="D8" s="33">
        <v>0</v>
      </c>
      <c r="E8" s="33">
        <v>13640</v>
      </c>
      <c r="F8" s="33">
        <v>0</v>
      </c>
      <c r="G8" s="33">
        <v>0</v>
      </c>
      <c r="H8" s="33">
        <v>200000</v>
      </c>
      <c r="I8" s="33">
        <v>1100000</v>
      </c>
      <c r="J8" s="33">
        <v>1012000</v>
      </c>
      <c r="K8" s="33">
        <v>960000</v>
      </c>
      <c r="L8" s="33">
        <v>0</v>
      </c>
      <c r="M8" s="33">
        <v>0</v>
      </c>
      <c r="N8" s="33">
        <v>14010636</v>
      </c>
      <c r="O8" s="33">
        <v>0</v>
      </c>
      <c r="P8" s="33">
        <v>1133551</v>
      </c>
      <c r="Q8" s="33">
        <v>0</v>
      </c>
      <c r="R8" s="33">
        <v>1218293</v>
      </c>
      <c r="S8" s="33">
        <v>0</v>
      </c>
      <c r="T8" s="33">
        <v>174805</v>
      </c>
      <c r="U8" s="33">
        <v>1361111</v>
      </c>
      <c r="V8" s="33">
        <v>750000</v>
      </c>
      <c r="W8" s="33">
        <v>0</v>
      </c>
      <c r="X8" s="33">
        <v>3480837</v>
      </c>
      <c r="Y8" s="33">
        <v>522126</v>
      </c>
      <c r="Z8" s="33">
        <v>13640</v>
      </c>
      <c r="AA8" s="33">
        <v>14911978</v>
      </c>
      <c r="AB8" s="33">
        <v>18416187</v>
      </c>
      <c r="AC8" s="33">
        <v>3504209</v>
      </c>
      <c r="AD8" s="33">
        <v>1361111</v>
      </c>
      <c r="AE8" s="33">
        <v>6805555</v>
      </c>
      <c r="AF8" s="33">
        <v>42194445</v>
      </c>
      <c r="AG8" s="33">
        <v>49000000</v>
      </c>
      <c r="AH8" s="33">
        <v>49000000</v>
      </c>
      <c r="AI8" s="33">
        <v>0</v>
      </c>
    </row>
    <row r="9" spans="1:35">
      <c r="A9" s="33" t="str">
        <f>"9157049"</f>
        <v>9157049</v>
      </c>
      <c r="B9" s="33" t="str">
        <f>"عبدالامام بالدي"</f>
        <v>عبدالامام بالدي</v>
      </c>
      <c r="C9" s="33" t="str">
        <f t="shared" si="0"/>
        <v>توليد توسعه - دارخوين</v>
      </c>
      <c r="D9" s="33">
        <v>0</v>
      </c>
      <c r="E9" s="33">
        <v>13640</v>
      </c>
      <c r="F9" s="33">
        <v>0</v>
      </c>
      <c r="G9" s="33">
        <v>0</v>
      </c>
      <c r="H9" s="33">
        <v>200000</v>
      </c>
      <c r="I9" s="33">
        <v>1100000</v>
      </c>
      <c r="J9" s="33">
        <v>1012000</v>
      </c>
      <c r="K9" s="33">
        <v>960000</v>
      </c>
      <c r="L9" s="33">
        <v>0</v>
      </c>
      <c r="M9" s="33">
        <v>0</v>
      </c>
      <c r="N9" s="33">
        <v>12634763</v>
      </c>
      <c r="O9" s="33">
        <v>0</v>
      </c>
      <c r="P9" s="33">
        <v>1093747</v>
      </c>
      <c r="Q9" s="33">
        <v>1238326</v>
      </c>
      <c r="R9" s="33">
        <v>1205879</v>
      </c>
      <c r="S9" s="33">
        <v>0</v>
      </c>
      <c r="T9" s="33">
        <v>166115</v>
      </c>
      <c r="U9" s="33">
        <v>2258888</v>
      </c>
      <c r="V9" s="33">
        <v>750000</v>
      </c>
      <c r="W9" s="33">
        <v>0</v>
      </c>
      <c r="X9" s="33">
        <v>3445367</v>
      </c>
      <c r="Y9" s="33">
        <v>516805</v>
      </c>
      <c r="Z9" s="33">
        <v>13640</v>
      </c>
      <c r="AA9" s="33">
        <v>13857954</v>
      </c>
      <c r="AB9" s="33">
        <v>18238836</v>
      </c>
      <c r="AC9" s="33">
        <v>4380882</v>
      </c>
      <c r="AD9" s="33">
        <v>1388888</v>
      </c>
      <c r="AE9" s="33">
        <v>6944440</v>
      </c>
      <c r="AF9" s="33">
        <v>43055560</v>
      </c>
      <c r="AG9" s="33">
        <v>50000000</v>
      </c>
      <c r="AH9" s="33">
        <v>50000000</v>
      </c>
      <c r="AI9" s="33">
        <v>870000</v>
      </c>
    </row>
    <row r="10" spans="1:35">
      <c r="A10" s="33" t="str">
        <f>"9157050"</f>
        <v>9157050</v>
      </c>
      <c r="B10" s="33" t="str">
        <f>"حسين باوي"</f>
        <v>حسين باوي</v>
      </c>
      <c r="C10" s="33" t="str">
        <f t="shared" si="0"/>
        <v>توليد توسعه - دارخوين</v>
      </c>
      <c r="D10" s="33">
        <v>300</v>
      </c>
      <c r="E10" s="33">
        <v>13640</v>
      </c>
      <c r="F10" s="33">
        <v>459633</v>
      </c>
      <c r="G10" s="33">
        <v>3248660</v>
      </c>
      <c r="H10" s="33">
        <v>200000</v>
      </c>
      <c r="I10" s="33">
        <v>1100000</v>
      </c>
      <c r="J10" s="33">
        <v>1012000</v>
      </c>
      <c r="K10" s="33">
        <v>960000</v>
      </c>
      <c r="L10" s="33">
        <v>0</v>
      </c>
      <c r="M10" s="33">
        <v>0</v>
      </c>
      <c r="N10" s="33">
        <v>11946842</v>
      </c>
      <c r="O10" s="33">
        <v>0</v>
      </c>
      <c r="P10" s="33">
        <v>1080479</v>
      </c>
      <c r="Q10" s="33">
        <v>0</v>
      </c>
      <c r="R10" s="33">
        <v>1102287</v>
      </c>
      <c r="S10" s="33">
        <v>0</v>
      </c>
      <c r="T10" s="33">
        <v>256034</v>
      </c>
      <c r="U10" s="33">
        <v>0</v>
      </c>
      <c r="V10" s="33">
        <v>750000</v>
      </c>
      <c r="W10" s="33">
        <v>0</v>
      </c>
      <c r="X10" s="33">
        <v>3149391</v>
      </c>
      <c r="Y10" s="33">
        <v>472409</v>
      </c>
      <c r="Z10" s="33">
        <v>13640</v>
      </c>
      <c r="AA10" s="33">
        <v>17899293</v>
      </c>
      <c r="AB10" s="33">
        <v>20007614</v>
      </c>
      <c r="AC10" s="33">
        <v>2108321</v>
      </c>
    </row>
    <row r="11" spans="1:35">
      <c r="A11" s="33" t="str">
        <f>"9157053"</f>
        <v>9157053</v>
      </c>
      <c r="B11" s="33" t="str">
        <f>"عظيم باوي سويره"</f>
        <v>عظيم باوي سويره</v>
      </c>
      <c r="C11" s="33" t="str">
        <f t="shared" si="0"/>
        <v>توليد توسعه - دارخوين</v>
      </c>
      <c r="D11" s="33">
        <v>1140</v>
      </c>
      <c r="E11" s="33">
        <v>13640</v>
      </c>
      <c r="F11" s="33">
        <v>1459808</v>
      </c>
      <c r="G11" s="33">
        <v>812165</v>
      </c>
      <c r="H11" s="33">
        <v>200000</v>
      </c>
      <c r="I11" s="33">
        <v>1100000</v>
      </c>
      <c r="J11" s="33">
        <v>1012000</v>
      </c>
      <c r="K11" s="33">
        <v>960000</v>
      </c>
      <c r="L11" s="33">
        <v>0</v>
      </c>
      <c r="M11" s="33">
        <v>105770</v>
      </c>
      <c r="N11" s="33">
        <v>9424310</v>
      </c>
      <c r="O11" s="33">
        <v>343976</v>
      </c>
      <c r="P11" s="33">
        <v>1014139</v>
      </c>
      <c r="Q11" s="33">
        <v>0</v>
      </c>
      <c r="R11" s="33">
        <v>1022560</v>
      </c>
      <c r="S11" s="33">
        <v>0</v>
      </c>
      <c r="T11" s="33">
        <v>78400</v>
      </c>
      <c r="U11" s="33">
        <v>0</v>
      </c>
      <c r="V11" s="33">
        <v>750000</v>
      </c>
      <c r="W11" s="33">
        <v>0</v>
      </c>
      <c r="X11" s="33">
        <v>2921601</v>
      </c>
      <c r="Y11" s="33">
        <v>438240</v>
      </c>
      <c r="Z11" s="33">
        <v>13640</v>
      </c>
      <c r="AA11" s="33">
        <v>14581208</v>
      </c>
      <c r="AB11" s="33">
        <v>16432168</v>
      </c>
      <c r="AC11" s="33">
        <v>1850960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>
      <c r="A12" s="33" t="str">
        <f>"9157054"</f>
        <v>9157054</v>
      </c>
      <c r="B12" s="33" t="str">
        <f>"عارف باوي فرد"</f>
        <v>عارف باوي فرد</v>
      </c>
      <c r="C12" s="33" t="str">
        <f t="shared" si="0"/>
        <v>توليد توسعه - دارخوين</v>
      </c>
      <c r="D12" s="33">
        <v>0</v>
      </c>
      <c r="E12" s="33">
        <v>13640</v>
      </c>
      <c r="F12" s="33">
        <v>0</v>
      </c>
      <c r="G12" s="33">
        <v>0</v>
      </c>
      <c r="H12" s="33">
        <v>200000</v>
      </c>
      <c r="I12" s="33">
        <v>1100000</v>
      </c>
      <c r="J12" s="33">
        <v>1012000</v>
      </c>
      <c r="K12" s="33">
        <v>960000</v>
      </c>
      <c r="L12" s="33">
        <v>0</v>
      </c>
      <c r="M12" s="33">
        <v>0</v>
      </c>
      <c r="N12" s="33">
        <v>10341569</v>
      </c>
      <c r="O12" s="33">
        <v>458645</v>
      </c>
      <c r="P12" s="33">
        <v>1040675</v>
      </c>
      <c r="Q12" s="33">
        <v>0</v>
      </c>
      <c r="R12" s="33">
        <v>987062</v>
      </c>
      <c r="S12" s="33">
        <v>0</v>
      </c>
      <c r="T12" s="33">
        <v>12944</v>
      </c>
      <c r="U12" s="33">
        <v>1388888</v>
      </c>
      <c r="V12" s="33">
        <v>750000</v>
      </c>
      <c r="W12" s="33">
        <v>0</v>
      </c>
      <c r="X12" s="33">
        <v>2820178</v>
      </c>
      <c r="Y12" s="33">
        <v>423027</v>
      </c>
      <c r="Z12" s="33">
        <v>13640</v>
      </c>
      <c r="AA12" s="33">
        <v>11973995</v>
      </c>
      <c r="AB12" s="33">
        <v>15112889</v>
      </c>
      <c r="AC12" s="33">
        <v>3138894</v>
      </c>
      <c r="AD12" s="33">
        <v>1388888</v>
      </c>
      <c r="AE12" s="33">
        <v>29166648</v>
      </c>
      <c r="AF12" s="33">
        <v>20833352</v>
      </c>
      <c r="AG12" s="33">
        <v>50000000</v>
      </c>
      <c r="AH12" s="33">
        <v>50000000</v>
      </c>
      <c r="AI12" s="33">
        <v>0</v>
      </c>
    </row>
    <row r="13" spans="1:35">
      <c r="A13" s="33" t="str">
        <f>"9157055"</f>
        <v>9157055</v>
      </c>
      <c r="B13" s="33" t="str">
        <f>"نجم باوي فرد"</f>
        <v>نجم باوي فرد</v>
      </c>
      <c r="C13" s="33" t="str">
        <f t="shared" si="0"/>
        <v>توليد توسعه - دارخوين</v>
      </c>
      <c r="D13" s="33">
        <v>0</v>
      </c>
      <c r="E13" s="33">
        <v>13640</v>
      </c>
      <c r="F13" s="33">
        <v>0</v>
      </c>
      <c r="G13" s="33">
        <v>812165</v>
      </c>
      <c r="H13" s="33">
        <v>200000</v>
      </c>
      <c r="I13" s="33">
        <v>1100000</v>
      </c>
      <c r="J13" s="33">
        <v>1012000</v>
      </c>
      <c r="K13" s="33">
        <v>960000</v>
      </c>
      <c r="L13" s="33">
        <v>0</v>
      </c>
      <c r="M13" s="33">
        <v>0</v>
      </c>
      <c r="N13" s="33">
        <v>10800214</v>
      </c>
      <c r="O13" s="33">
        <v>0</v>
      </c>
      <c r="P13" s="33">
        <v>1053943</v>
      </c>
      <c r="Q13" s="33">
        <v>0</v>
      </c>
      <c r="R13" s="33">
        <v>987991</v>
      </c>
      <c r="S13" s="33">
        <v>0</v>
      </c>
      <c r="T13" s="33">
        <v>54202</v>
      </c>
      <c r="U13" s="33">
        <v>1388888</v>
      </c>
      <c r="V13" s="33">
        <v>750000</v>
      </c>
      <c r="W13" s="33">
        <v>0</v>
      </c>
      <c r="X13" s="33">
        <v>2822831</v>
      </c>
      <c r="Y13" s="33">
        <v>423425</v>
      </c>
      <c r="Z13" s="33">
        <v>13640</v>
      </c>
      <c r="AA13" s="33">
        <v>12757241</v>
      </c>
      <c r="AB13" s="33">
        <v>15938322</v>
      </c>
      <c r="AC13" s="33">
        <v>3181081</v>
      </c>
      <c r="AD13" s="33">
        <v>1388888</v>
      </c>
      <c r="AE13" s="33">
        <v>27777760</v>
      </c>
      <c r="AF13" s="33">
        <v>22222240</v>
      </c>
      <c r="AG13" s="33">
        <v>50000000</v>
      </c>
      <c r="AH13" s="33">
        <v>50000000</v>
      </c>
      <c r="AI13" s="33">
        <v>0</v>
      </c>
    </row>
    <row r="14" spans="1:35">
      <c r="A14" s="33" t="str">
        <f>"9157056"</f>
        <v>9157056</v>
      </c>
      <c r="B14" s="33" t="str">
        <f>"سعيد بدوي"</f>
        <v>سعيد بدوي</v>
      </c>
      <c r="C14" s="33" t="str">
        <f t="shared" si="0"/>
        <v>توليد توسعه - دارخوين</v>
      </c>
      <c r="D14" s="33">
        <v>0</v>
      </c>
      <c r="E14" s="33">
        <v>13640</v>
      </c>
      <c r="F14" s="33">
        <v>0</v>
      </c>
      <c r="G14" s="33">
        <v>1624330</v>
      </c>
      <c r="H14" s="33">
        <v>200000</v>
      </c>
      <c r="I14" s="33">
        <v>1100000</v>
      </c>
      <c r="J14" s="33">
        <v>1012000</v>
      </c>
      <c r="K14" s="33">
        <v>960000</v>
      </c>
      <c r="L14" s="33">
        <v>0</v>
      </c>
      <c r="M14" s="33">
        <v>0</v>
      </c>
      <c r="N14" s="33">
        <v>10341569</v>
      </c>
      <c r="O14" s="33">
        <v>0</v>
      </c>
      <c r="P14" s="33">
        <v>1040675</v>
      </c>
      <c r="Q14" s="33">
        <v>0</v>
      </c>
      <c r="R14" s="33">
        <v>954957</v>
      </c>
      <c r="S14" s="33">
        <v>0</v>
      </c>
      <c r="T14" s="33">
        <v>71686</v>
      </c>
      <c r="U14" s="33">
        <v>1388888</v>
      </c>
      <c r="V14" s="33">
        <v>750000</v>
      </c>
      <c r="W14" s="33">
        <v>0</v>
      </c>
      <c r="X14" s="33">
        <v>2728449</v>
      </c>
      <c r="Y14" s="33">
        <v>409267</v>
      </c>
      <c r="Z14" s="33">
        <v>13640</v>
      </c>
      <c r="AA14" s="33">
        <v>13113043</v>
      </c>
      <c r="AB14" s="33">
        <v>16278574</v>
      </c>
      <c r="AC14" s="33">
        <v>3165531</v>
      </c>
      <c r="AD14" s="33">
        <v>1388888</v>
      </c>
      <c r="AE14" s="33">
        <v>43055528</v>
      </c>
      <c r="AF14" s="33">
        <v>6944472</v>
      </c>
      <c r="AG14" s="33">
        <v>50000000</v>
      </c>
      <c r="AH14" s="33">
        <v>50000000</v>
      </c>
      <c r="AI14" s="33">
        <v>0</v>
      </c>
    </row>
    <row r="15" spans="1:35">
      <c r="A15" s="33" t="str">
        <f>"9157057"</f>
        <v>9157057</v>
      </c>
      <c r="B15" s="33" t="str">
        <f>"عباس بدوي"</f>
        <v>عباس بدوي</v>
      </c>
      <c r="C15" s="33" t="str">
        <f t="shared" si="0"/>
        <v>توليد توسعه - دارخوين</v>
      </c>
      <c r="D15" s="33">
        <v>0</v>
      </c>
      <c r="E15" s="33">
        <v>13640</v>
      </c>
      <c r="F15" s="33">
        <v>0</v>
      </c>
      <c r="G15" s="33">
        <v>3248660</v>
      </c>
      <c r="H15" s="33">
        <v>200000</v>
      </c>
      <c r="I15" s="33">
        <v>1100000</v>
      </c>
      <c r="J15" s="33">
        <v>1012000</v>
      </c>
      <c r="K15" s="33">
        <v>960000</v>
      </c>
      <c r="L15" s="33">
        <v>0</v>
      </c>
      <c r="M15" s="33">
        <v>0</v>
      </c>
      <c r="N15" s="33">
        <v>11946842</v>
      </c>
      <c r="O15" s="33">
        <v>0</v>
      </c>
      <c r="P15" s="33">
        <v>1080479</v>
      </c>
      <c r="Q15" s="33">
        <v>0</v>
      </c>
      <c r="R15" s="33">
        <v>1070112</v>
      </c>
      <c r="S15" s="33">
        <v>0</v>
      </c>
      <c r="T15" s="33">
        <v>233512</v>
      </c>
      <c r="U15" s="33">
        <v>0</v>
      </c>
      <c r="V15" s="33">
        <v>750000</v>
      </c>
      <c r="W15" s="33">
        <v>0</v>
      </c>
      <c r="X15" s="33">
        <v>3057464</v>
      </c>
      <c r="Y15" s="33">
        <v>458620</v>
      </c>
      <c r="Z15" s="33">
        <v>13640</v>
      </c>
      <c r="AA15" s="33">
        <v>17494357</v>
      </c>
      <c r="AB15" s="33">
        <v>19547981</v>
      </c>
      <c r="AC15" s="33">
        <v>2053624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>
      <c r="A16" s="33" t="str">
        <f>"9157058"</f>
        <v>9157058</v>
      </c>
      <c r="B16" s="33" t="str">
        <f>"طاهر پورحزبه"</f>
        <v>طاهر پورحزبه</v>
      </c>
      <c r="C16" s="33" t="str">
        <f t="shared" si="0"/>
        <v>توليد توسعه - دارخوين</v>
      </c>
      <c r="D16" s="33">
        <v>0</v>
      </c>
      <c r="E16" s="33">
        <v>13640</v>
      </c>
      <c r="F16" s="33">
        <v>0</v>
      </c>
      <c r="G16" s="33">
        <v>0</v>
      </c>
      <c r="H16" s="33">
        <v>200000</v>
      </c>
      <c r="I16" s="33">
        <v>1100000</v>
      </c>
      <c r="J16" s="33">
        <v>1012000</v>
      </c>
      <c r="K16" s="33">
        <v>960000</v>
      </c>
      <c r="L16" s="33">
        <v>0</v>
      </c>
      <c r="M16" s="33">
        <v>0</v>
      </c>
      <c r="N16" s="33">
        <v>11946842</v>
      </c>
      <c r="O16" s="33">
        <v>0</v>
      </c>
      <c r="P16" s="33">
        <v>1080479</v>
      </c>
      <c r="Q16" s="33">
        <v>0</v>
      </c>
      <c r="R16" s="33">
        <v>1070112</v>
      </c>
      <c r="S16" s="33">
        <v>0</v>
      </c>
      <c r="T16" s="33">
        <v>71079</v>
      </c>
      <c r="U16" s="33">
        <v>0</v>
      </c>
      <c r="V16" s="33">
        <v>0</v>
      </c>
      <c r="W16" s="33">
        <v>0</v>
      </c>
      <c r="X16" s="33">
        <v>3057464</v>
      </c>
      <c r="Y16" s="33">
        <v>458620</v>
      </c>
      <c r="Z16" s="33">
        <v>13640</v>
      </c>
      <c r="AA16" s="33">
        <v>15158130</v>
      </c>
      <c r="AB16" s="33">
        <v>16299321</v>
      </c>
      <c r="AC16" s="33">
        <v>1141191</v>
      </c>
    </row>
    <row r="17" spans="1:35">
      <c r="A17" s="33" t="str">
        <f>"9157059"</f>
        <v>9157059</v>
      </c>
      <c r="B17" s="33" t="str">
        <f>"رحمه سياحي"</f>
        <v>رحمه سياحي</v>
      </c>
      <c r="C17" s="33" t="str">
        <f t="shared" si="0"/>
        <v>توليد توسعه - دارخوين</v>
      </c>
      <c r="D17" s="33">
        <v>180</v>
      </c>
      <c r="E17" s="33">
        <v>13640</v>
      </c>
      <c r="F17" s="33">
        <v>228257</v>
      </c>
      <c r="G17" s="33">
        <v>1624330</v>
      </c>
      <c r="H17" s="33">
        <v>200000</v>
      </c>
      <c r="I17" s="33">
        <v>1100000</v>
      </c>
      <c r="J17" s="33">
        <v>1012000</v>
      </c>
      <c r="K17" s="33">
        <v>960000</v>
      </c>
      <c r="L17" s="33">
        <v>0</v>
      </c>
      <c r="M17" s="33">
        <v>0</v>
      </c>
      <c r="N17" s="33">
        <v>9424310</v>
      </c>
      <c r="O17" s="33">
        <v>343976</v>
      </c>
      <c r="P17" s="33">
        <v>1014139</v>
      </c>
      <c r="Q17" s="33">
        <v>0</v>
      </c>
      <c r="R17" s="33">
        <v>928948</v>
      </c>
      <c r="S17" s="33">
        <v>0</v>
      </c>
      <c r="T17" s="33">
        <v>53480</v>
      </c>
      <c r="U17" s="33">
        <v>1388888</v>
      </c>
      <c r="V17" s="33">
        <v>750000</v>
      </c>
      <c r="W17" s="33">
        <v>0</v>
      </c>
      <c r="X17" s="33">
        <v>2654136</v>
      </c>
      <c r="Y17" s="33">
        <v>398120</v>
      </c>
      <c r="Z17" s="33">
        <v>13640</v>
      </c>
      <c r="AA17" s="33">
        <v>12785696</v>
      </c>
      <c r="AB17" s="33">
        <v>15907012</v>
      </c>
      <c r="AC17" s="33">
        <v>3121316</v>
      </c>
      <c r="AD17" s="33">
        <v>1388888</v>
      </c>
      <c r="AE17" s="33">
        <v>6944440</v>
      </c>
      <c r="AF17" s="33">
        <v>43055560</v>
      </c>
      <c r="AG17" s="33">
        <v>50000000</v>
      </c>
      <c r="AH17" s="33">
        <v>50000000</v>
      </c>
      <c r="AI17" s="33">
        <v>0</v>
      </c>
    </row>
    <row r="18" spans="1:35">
      <c r="A18" s="33" t="str">
        <f>"9157060"</f>
        <v>9157060</v>
      </c>
      <c r="B18" s="33" t="str">
        <f>"مرد سياحي"</f>
        <v>مرد سياحي</v>
      </c>
      <c r="C18" s="33" t="str">
        <f t="shared" si="0"/>
        <v>توليد توسعه - دارخوين</v>
      </c>
      <c r="D18" s="33">
        <v>0</v>
      </c>
      <c r="E18" s="33">
        <v>13640</v>
      </c>
      <c r="F18" s="33">
        <v>0</v>
      </c>
      <c r="G18" s="33">
        <v>1624330</v>
      </c>
      <c r="H18" s="33">
        <v>200000</v>
      </c>
      <c r="I18" s="33">
        <v>1100000</v>
      </c>
      <c r="J18" s="33">
        <v>1012000</v>
      </c>
      <c r="K18" s="33">
        <v>960000</v>
      </c>
      <c r="L18" s="33">
        <v>0</v>
      </c>
      <c r="M18" s="33">
        <v>420373</v>
      </c>
      <c r="N18" s="33">
        <v>9424310</v>
      </c>
      <c r="O18" s="33">
        <v>0</v>
      </c>
      <c r="P18" s="33">
        <v>1014139</v>
      </c>
      <c r="Q18" s="33">
        <v>0</v>
      </c>
      <c r="R18" s="33">
        <v>918318</v>
      </c>
      <c r="S18" s="33">
        <v>0</v>
      </c>
      <c r="T18" s="33">
        <v>46039</v>
      </c>
      <c r="U18" s="33">
        <v>1388888</v>
      </c>
      <c r="V18" s="33">
        <v>750000</v>
      </c>
      <c r="W18" s="33">
        <v>0</v>
      </c>
      <c r="X18" s="33">
        <v>2623764</v>
      </c>
      <c r="Y18" s="33">
        <v>393565</v>
      </c>
      <c r="Z18" s="33">
        <v>13640</v>
      </c>
      <c r="AA18" s="33">
        <v>12651907</v>
      </c>
      <c r="AB18" s="33">
        <v>15755152</v>
      </c>
      <c r="AC18" s="33">
        <v>3103245</v>
      </c>
      <c r="AD18" s="33">
        <v>1388888</v>
      </c>
      <c r="AE18" s="33">
        <v>12500024</v>
      </c>
      <c r="AF18" s="33">
        <v>37499976</v>
      </c>
      <c r="AG18" s="33">
        <v>50000000</v>
      </c>
      <c r="AH18" s="33">
        <v>50000000</v>
      </c>
      <c r="AI18" s="33">
        <v>0</v>
      </c>
    </row>
    <row r="19" spans="1:35">
      <c r="A19" s="33" t="str">
        <f>"9157065"</f>
        <v>9157065</v>
      </c>
      <c r="B19" s="33" t="str">
        <f>"رحيم عقباوي"</f>
        <v>رحيم عقباوي</v>
      </c>
      <c r="C19" s="33" t="str">
        <f t="shared" si="0"/>
        <v>توليد توسعه - دارخوين</v>
      </c>
      <c r="D19" s="33">
        <v>4200</v>
      </c>
      <c r="E19" s="33">
        <v>13640</v>
      </c>
      <c r="F19" s="33">
        <v>5855380</v>
      </c>
      <c r="G19" s="33">
        <v>2436495</v>
      </c>
      <c r="H19" s="33">
        <v>200000</v>
      </c>
      <c r="I19" s="33">
        <v>1100000</v>
      </c>
      <c r="J19" s="33">
        <v>1012000</v>
      </c>
      <c r="K19" s="33">
        <v>960000</v>
      </c>
      <c r="L19" s="33">
        <v>0</v>
      </c>
      <c r="M19" s="33">
        <v>0</v>
      </c>
      <c r="N19" s="33">
        <v>10800214</v>
      </c>
      <c r="O19" s="33">
        <v>0</v>
      </c>
      <c r="P19" s="33">
        <v>1053943</v>
      </c>
      <c r="Q19" s="33">
        <v>0</v>
      </c>
      <c r="R19" s="33">
        <v>1397868</v>
      </c>
      <c r="S19" s="33">
        <v>0</v>
      </c>
      <c r="T19" s="33">
        <v>422332</v>
      </c>
      <c r="U19" s="33">
        <v>0</v>
      </c>
      <c r="V19" s="33">
        <v>750000</v>
      </c>
      <c r="W19" s="33">
        <v>0</v>
      </c>
      <c r="X19" s="33">
        <v>3993907</v>
      </c>
      <c r="Y19" s="33">
        <v>599086</v>
      </c>
      <c r="Z19" s="33">
        <v>13640</v>
      </c>
      <c r="AA19" s="33">
        <v>20847832</v>
      </c>
      <c r="AB19" s="33">
        <v>23418032</v>
      </c>
      <c r="AC19" s="33">
        <v>2570200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>
      <c r="A20" s="33" t="str">
        <f>"9157066"</f>
        <v>9157066</v>
      </c>
      <c r="B20" s="33" t="str">
        <f>"جمشيد فرحانيان"</f>
        <v>جمشيد فرحانيان</v>
      </c>
      <c r="C20" s="33" t="str">
        <f t="shared" si="0"/>
        <v>توليد توسعه - دارخوين</v>
      </c>
      <c r="D20" s="33">
        <v>0</v>
      </c>
      <c r="E20" s="33">
        <v>13640</v>
      </c>
      <c r="F20" s="33">
        <v>0</v>
      </c>
      <c r="G20" s="33">
        <v>3248660</v>
      </c>
      <c r="H20" s="33">
        <v>200000</v>
      </c>
      <c r="I20" s="33">
        <v>1100000</v>
      </c>
      <c r="J20" s="33">
        <v>1012000</v>
      </c>
      <c r="K20" s="33">
        <v>960000</v>
      </c>
      <c r="L20" s="33">
        <v>0</v>
      </c>
      <c r="M20" s="33">
        <v>0</v>
      </c>
      <c r="N20" s="33">
        <v>11373497</v>
      </c>
      <c r="O20" s="33">
        <v>0</v>
      </c>
      <c r="P20" s="33">
        <v>1067211</v>
      </c>
      <c r="Q20" s="33">
        <v>0</v>
      </c>
      <c r="R20" s="33">
        <v>1029050</v>
      </c>
      <c r="S20" s="33">
        <v>0</v>
      </c>
      <c r="T20" s="33">
        <v>204768</v>
      </c>
      <c r="U20" s="33">
        <v>0</v>
      </c>
      <c r="V20" s="33">
        <v>750000</v>
      </c>
      <c r="W20" s="33">
        <v>0</v>
      </c>
      <c r="X20" s="33">
        <v>2940142</v>
      </c>
      <c r="Y20" s="33">
        <v>441021</v>
      </c>
      <c r="Z20" s="33">
        <v>13640</v>
      </c>
      <c r="AA20" s="33">
        <v>16977550</v>
      </c>
      <c r="AB20" s="33">
        <v>18961368</v>
      </c>
      <c r="AC20" s="33">
        <v>1983818</v>
      </c>
    </row>
    <row r="21" spans="1:35">
      <c r="A21" s="33" t="str">
        <f>"9157068"</f>
        <v>9157068</v>
      </c>
      <c r="B21" s="33" t="str">
        <f>"مجتبي قنواتي زاده"</f>
        <v>مجتبي قنواتي زاده</v>
      </c>
      <c r="C21" s="33" t="str">
        <f t="shared" si="0"/>
        <v>توليد توسعه - دارخوين</v>
      </c>
      <c r="D21" s="33">
        <v>0</v>
      </c>
      <c r="E21" s="33">
        <v>13640</v>
      </c>
      <c r="F21" s="33">
        <v>0</v>
      </c>
      <c r="G21" s="33">
        <v>1624330</v>
      </c>
      <c r="H21" s="33">
        <v>200000</v>
      </c>
      <c r="I21" s="33">
        <v>1100000</v>
      </c>
      <c r="J21" s="33">
        <v>1012000</v>
      </c>
      <c r="K21" s="33">
        <v>960000</v>
      </c>
      <c r="L21" s="33">
        <v>0</v>
      </c>
      <c r="M21" s="33">
        <v>0</v>
      </c>
      <c r="N21" s="33">
        <v>10800214</v>
      </c>
      <c r="O21" s="33">
        <v>0</v>
      </c>
      <c r="P21" s="33">
        <v>1053943</v>
      </c>
      <c r="Q21" s="33">
        <v>0</v>
      </c>
      <c r="R21" s="33">
        <v>987991</v>
      </c>
      <c r="S21" s="33">
        <v>0</v>
      </c>
      <c r="T21" s="33">
        <v>94810</v>
      </c>
      <c r="U21" s="33">
        <v>1388888</v>
      </c>
      <c r="V21" s="33">
        <v>750000</v>
      </c>
      <c r="W21" s="33">
        <v>0</v>
      </c>
      <c r="X21" s="33">
        <v>2822831</v>
      </c>
      <c r="Y21" s="33">
        <v>423425</v>
      </c>
      <c r="Z21" s="33">
        <v>13640</v>
      </c>
      <c r="AA21" s="33">
        <v>13528798</v>
      </c>
      <c r="AB21" s="33">
        <v>16750487</v>
      </c>
      <c r="AC21" s="33">
        <v>3221689</v>
      </c>
      <c r="AD21" s="33">
        <v>1388888</v>
      </c>
      <c r="AE21" s="33">
        <v>31944424</v>
      </c>
      <c r="AF21" s="33">
        <v>18055576</v>
      </c>
      <c r="AG21" s="33">
        <v>50000000</v>
      </c>
      <c r="AH21" s="33">
        <v>50000000</v>
      </c>
      <c r="AI21" s="33">
        <v>0</v>
      </c>
    </row>
    <row r="22" spans="1:35">
      <c r="A22" s="33" t="str">
        <f>"9157069"</f>
        <v>9157069</v>
      </c>
      <c r="B22" s="33" t="str">
        <f>"رضا محمدحسيني"</f>
        <v>رضا محمدحسيني</v>
      </c>
      <c r="C22" s="33" t="str">
        <f t="shared" si="0"/>
        <v>توليد توسعه - دارخوين</v>
      </c>
      <c r="D22" s="33">
        <v>0</v>
      </c>
      <c r="E22" s="33">
        <v>13640</v>
      </c>
      <c r="F22" s="33">
        <v>0</v>
      </c>
      <c r="G22" s="33">
        <v>812165</v>
      </c>
      <c r="H22" s="33">
        <v>200000</v>
      </c>
      <c r="I22" s="33">
        <v>1100000</v>
      </c>
      <c r="J22" s="33">
        <v>1012000</v>
      </c>
      <c r="K22" s="33">
        <v>960000</v>
      </c>
      <c r="L22" s="33">
        <v>0</v>
      </c>
      <c r="M22" s="33">
        <v>0</v>
      </c>
      <c r="N22" s="33">
        <v>14010636</v>
      </c>
      <c r="O22" s="33">
        <v>0</v>
      </c>
      <c r="P22" s="33">
        <v>1133551</v>
      </c>
      <c r="Q22" s="33">
        <v>0</v>
      </c>
      <c r="R22" s="33">
        <v>1218293</v>
      </c>
      <c r="S22" s="33">
        <v>0</v>
      </c>
      <c r="T22" s="33">
        <v>215413</v>
      </c>
      <c r="U22" s="33">
        <v>1823888</v>
      </c>
      <c r="V22" s="33">
        <v>750000</v>
      </c>
      <c r="W22" s="33">
        <v>0</v>
      </c>
      <c r="X22" s="33">
        <v>3480837</v>
      </c>
      <c r="Y22" s="33">
        <v>522126</v>
      </c>
      <c r="Z22" s="33">
        <v>13640</v>
      </c>
      <c r="AA22" s="33">
        <v>15220758</v>
      </c>
      <c r="AB22" s="33">
        <v>19228352</v>
      </c>
      <c r="AC22" s="33">
        <v>4007594</v>
      </c>
      <c r="AD22" s="33">
        <v>1388888</v>
      </c>
      <c r="AE22" s="33">
        <v>41666640</v>
      </c>
      <c r="AF22" s="33">
        <v>8333360</v>
      </c>
      <c r="AG22" s="33">
        <v>50000000</v>
      </c>
      <c r="AH22" s="33">
        <v>50000000</v>
      </c>
      <c r="AI22" s="33">
        <v>435000</v>
      </c>
    </row>
    <row r="23" spans="1:35">
      <c r="A23" s="33" t="str">
        <f>"9157070"</f>
        <v>9157070</v>
      </c>
      <c r="B23" s="33" t="str">
        <f>"فاضل مقدم"</f>
        <v>فاضل مقدم</v>
      </c>
      <c r="C23" s="33" t="str">
        <f t="shared" si="0"/>
        <v>توليد توسعه - دارخوين</v>
      </c>
      <c r="D23" s="33">
        <v>0</v>
      </c>
      <c r="E23" s="33">
        <v>13640</v>
      </c>
      <c r="F23" s="33">
        <v>0</v>
      </c>
      <c r="G23" s="33">
        <v>2436495</v>
      </c>
      <c r="H23" s="33">
        <v>200000</v>
      </c>
      <c r="I23" s="33">
        <v>1100000</v>
      </c>
      <c r="J23" s="33">
        <v>1012000</v>
      </c>
      <c r="K23" s="33">
        <v>960000</v>
      </c>
      <c r="L23" s="33">
        <v>0</v>
      </c>
      <c r="M23" s="33">
        <v>0</v>
      </c>
      <c r="N23" s="33">
        <v>11373497</v>
      </c>
      <c r="O23" s="33">
        <v>0</v>
      </c>
      <c r="P23" s="33">
        <v>1067211</v>
      </c>
      <c r="Q23" s="33">
        <v>0</v>
      </c>
      <c r="R23" s="33">
        <v>1029050</v>
      </c>
      <c r="S23" s="33">
        <v>0</v>
      </c>
      <c r="T23" s="33">
        <v>164159</v>
      </c>
      <c r="U23" s="33">
        <v>0</v>
      </c>
      <c r="V23" s="33">
        <v>0</v>
      </c>
      <c r="W23" s="33">
        <v>0</v>
      </c>
      <c r="X23" s="33">
        <v>2940142</v>
      </c>
      <c r="Y23" s="33">
        <v>441021</v>
      </c>
      <c r="Z23" s="33">
        <v>13640</v>
      </c>
      <c r="AA23" s="33">
        <v>16955994</v>
      </c>
      <c r="AB23" s="33">
        <v>18149203</v>
      </c>
      <c r="AC23" s="33">
        <v>1193209</v>
      </c>
    </row>
    <row r="24" spans="1:35">
      <c r="A24" s="33" t="str">
        <f>"9157072"</f>
        <v>9157072</v>
      </c>
      <c r="B24" s="33" t="str">
        <f>"محمدامين نادري"</f>
        <v>محمدامين نادري</v>
      </c>
      <c r="C24" s="33" t="str">
        <f t="shared" si="0"/>
        <v>توليد توسعه - دارخوين</v>
      </c>
      <c r="D24" s="33">
        <v>0</v>
      </c>
      <c r="E24" s="33">
        <v>13640</v>
      </c>
      <c r="F24" s="33">
        <v>0</v>
      </c>
      <c r="G24" s="33">
        <v>812165</v>
      </c>
      <c r="H24" s="33">
        <v>200000</v>
      </c>
      <c r="I24" s="33">
        <v>1100000</v>
      </c>
      <c r="J24" s="33">
        <v>1012000</v>
      </c>
      <c r="K24" s="33">
        <v>960000</v>
      </c>
      <c r="L24" s="33">
        <v>0</v>
      </c>
      <c r="M24" s="33">
        <v>0</v>
      </c>
      <c r="N24" s="33">
        <v>10341569</v>
      </c>
      <c r="O24" s="33">
        <v>0</v>
      </c>
      <c r="P24" s="33">
        <v>1047743</v>
      </c>
      <c r="Q24" s="33">
        <v>0</v>
      </c>
      <c r="R24" s="33">
        <v>955452</v>
      </c>
      <c r="S24" s="33">
        <v>0</v>
      </c>
      <c r="T24" s="33">
        <v>31425</v>
      </c>
      <c r="U24" s="33">
        <v>1388888</v>
      </c>
      <c r="V24" s="33">
        <v>750000</v>
      </c>
      <c r="W24" s="33">
        <v>0</v>
      </c>
      <c r="X24" s="33">
        <v>2729862</v>
      </c>
      <c r="Y24" s="33">
        <v>409479</v>
      </c>
      <c r="Z24" s="33">
        <v>13640</v>
      </c>
      <c r="AA24" s="33">
        <v>12347712</v>
      </c>
      <c r="AB24" s="33">
        <v>15473477</v>
      </c>
      <c r="AC24" s="33">
        <v>3125765</v>
      </c>
      <c r="AD24" s="33">
        <v>1388888</v>
      </c>
      <c r="AE24" s="33">
        <v>13888880</v>
      </c>
      <c r="AF24" s="33">
        <v>36111120</v>
      </c>
      <c r="AG24" s="33">
        <v>50000000</v>
      </c>
      <c r="AH24" s="33">
        <v>50000000</v>
      </c>
      <c r="AI24" s="33">
        <v>0</v>
      </c>
    </row>
    <row r="25" spans="1:35">
      <c r="A25" s="33" t="str">
        <f>"9157075"</f>
        <v>9157075</v>
      </c>
      <c r="B25" s="33" t="str">
        <f>"علي پورحزبه"</f>
        <v>علي پورحزبه</v>
      </c>
      <c r="C25" s="33" t="str">
        <f t="shared" si="0"/>
        <v>توليد توسعه - دارخوين</v>
      </c>
      <c r="D25" s="33">
        <v>0</v>
      </c>
      <c r="E25" s="33">
        <v>13640</v>
      </c>
      <c r="F25" s="33">
        <v>0</v>
      </c>
      <c r="G25" s="33">
        <v>812165</v>
      </c>
      <c r="H25" s="33">
        <v>200000</v>
      </c>
      <c r="I25" s="33">
        <v>1100000</v>
      </c>
      <c r="J25" s="33">
        <v>1012000</v>
      </c>
      <c r="K25" s="33">
        <v>960000</v>
      </c>
      <c r="L25" s="33">
        <v>0</v>
      </c>
      <c r="M25" s="33">
        <v>0</v>
      </c>
      <c r="N25" s="33">
        <v>10800214</v>
      </c>
      <c r="O25" s="33">
        <v>0</v>
      </c>
      <c r="P25" s="33">
        <v>1046875</v>
      </c>
      <c r="Q25" s="33">
        <v>0</v>
      </c>
      <c r="R25" s="33">
        <v>987496</v>
      </c>
      <c r="S25" s="33">
        <v>0</v>
      </c>
      <c r="T25" s="33">
        <v>53856</v>
      </c>
      <c r="U25" s="33">
        <v>1388888</v>
      </c>
      <c r="V25" s="33">
        <v>750000</v>
      </c>
      <c r="W25" s="33">
        <v>0</v>
      </c>
      <c r="X25" s="33">
        <v>2821418</v>
      </c>
      <c r="Y25" s="33">
        <v>423213</v>
      </c>
      <c r="Z25" s="33">
        <v>13640</v>
      </c>
      <c r="AA25" s="33">
        <v>12751014</v>
      </c>
      <c r="AB25" s="33">
        <v>15931254</v>
      </c>
      <c r="AC25" s="33">
        <v>3180240</v>
      </c>
      <c r="AD25" s="33">
        <v>1388888</v>
      </c>
      <c r="AE25" s="33">
        <v>22222208</v>
      </c>
      <c r="AF25" s="33">
        <v>27777792</v>
      </c>
      <c r="AG25" s="33">
        <v>50000000</v>
      </c>
      <c r="AH25" s="33">
        <v>50000000</v>
      </c>
      <c r="AI25" s="33">
        <v>0</v>
      </c>
    </row>
    <row r="26" spans="1:35">
      <c r="A26" s="33" t="str">
        <f>"9157077"</f>
        <v>9157077</v>
      </c>
      <c r="B26" s="33" t="str">
        <f>"جاسم جامدي باوي"</f>
        <v>جاسم جامدي باوي</v>
      </c>
      <c r="C26" s="33" t="str">
        <f t="shared" si="0"/>
        <v>توليد توسعه - دارخوين</v>
      </c>
      <c r="D26" s="33">
        <v>1200</v>
      </c>
      <c r="E26" s="33">
        <v>13640</v>
      </c>
      <c r="F26" s="33">
        <v>1671093</v>
      </c>
      <c r="G26" s="33">
        <v>1624330</v>
      </c>
      <c r="H26" s="33">
        <v>200000</v>
      </c>
      <c r="I26" s="33">
        <v>1100000</v>
      </c>
      <c r="J26" s="33">
        <v>1012000</v>
      </c>
      <c r="K26" s="33">
        <v>960000</v>
      </c>
      <c r="L26" s="33">
        <v>0</v>
      </c>
      <c r="M26" s="33">
        <v>0</v>
      </c>
      <c r="N26" s="33">
        <v>10341569</v>
      </c>
      <c r="O26" s="33">
        <v>458645</v>
      </c>
      <c r="P26" s="33">
        <v>1040675</v>
      </c>
      <c r="Q26" s="33">
        <v>0</v>
      </c>
      <c r="R26" s="33">
        <v>1104039</v>
      </c>
      <c r="S26" s="33">
        <v>0</v>
      </c>
      <c r="T26" s="33">
        <v>176044</v>
      </c>
      <c r="U26" s="33">
        <v>1388888</v>
      </c>
      <c r="V26" s="33">
        <v>750000</v>
      </c>
      <c r="W26" s="33">
        <v>0</v>
      </c>
      <c r="X26" s="33">
        <v>3154396</v>
      </c>
      <c r="Y26" s="33">
        <v>473159</v>
      </c>
      <c r="Z26" s="33">
        <v>13640</v>
      </c>
      <c r="AA26" s="33">
        <v>14989341</v>
      </c>
      <c r="AB26" s="33">
        <v>18408312</v>
      </c>
      <c r="AC26" s="33">
        <v>3418971</v>
      </c>
      <c r="AD26" s="33">
        <v>1388888</v>
      </c>
      <c r="AE26" s="33">
        <v>13888880</v>
      </c>
      <c r="AF26" s="33">
        <v>36111120</v>
      </c>
      <c r="AG26" s="33">
        <v>50000000</v>
      </c>
      <c r="AH26" s="33">
        <v>50000000</v>
      </c>
      <c r="AI26" s="33">
        <v>0</v>
      </c>
    </row>
    <row r="27" spans="1:35">
      <c r="A27" s="33" t="str">
        <f>"9157079"</f>
        <v>9157079</v>
      </c>
      <c r="B27" s="33" t="str">
        <f>"مزعل جليزي"</f>
        <v>مزعل جليزي</v>
      </c>
      <c r="C27" s="33" t="str">
        <f t="shared" si="0"/>
        <v>توليد توسعه - دارخوين</v>
      </c>
      <c r="D27" s="33">
        <v>780</v>
      </c>
      <c r="E27" s="33">
        <v>13640</v>
      </c>
      <c r="F27" s="33">
        <v>1195047</v>
      </c>
      <c r="G27" s="33">
        <v>3248660</v>
      </c>
      <c r="H27" s="33">
        <v>200000</v>
      </c>
      <c r="I27" s="33">
        <v>1100000</v>
      </c>
      <c r="J27" s="33">
        <v>1012000</v>
      </c>
      <c r="K27" s="33">
        <v>960000</v>
      </c>
      <c r="L27" s="33">
        <v>0</v>
      </c>
      <c r="M27" s="33">
        <v>0</v>
      </c>
      <c r="N27" s="33">
        <v>11946842</v>
      </c>
      <c r="O27" s="33">
        <v>0</v>
      </c>
      <c r="P27" s="33">
        <v>1080479</v>
      </c>
      <c r="Q27" s="33">
        <v>0</v>
      </c>
      <c r="R27" s="33">
        <v>1153766</v>
      </c>
      <c r="S27" s="33">
        <v>0</v>
      </c>
      <c r="T27" s="33">
        <v>292069</v>
      </c>
      <c r="U27" s="33">
        <v>1388888</v>
      </c>
      <c r="V27" s="33">
        <v>750000</v>
      </c>
      <c r="W27" s="33">
        <v>0</v>
      </c>
      <c r="X27" s="33">
        <v>3296474</v>
      </c>
      <c r="Y27" s="33">
        <v>494471</v>
      </c>
      <c r="Z27" s="33">
        <v>13640</v>
      </c>
      <c r="AA27" s="33">
        <v>17158305</v>
      </c>
      <c r="AB27" s="33">
        <v>20743028</v>
      </c>
      <c r="AC27" s="33">
        <v>3584723</v>
      </c>
      <c r="AD27" s="33">
        <v>1388888</v>
      </c>
      <c r="AE27" s="33">
        <v>43055528</v>
      </c>
      <c r="AF27" s="33">
        <v>6944472</v>
      </c>
      <c r="AG27" s="33">
        <v>50000000</v>
      </c>
      <c r="AH27" s="33">
        <v>50000000</v>
      </c>
      <c r="AI27" s="33">
        <v>0</v>
      </c>
    </row>
    <row r="28" spans="1:35">
      <c r="A28" s="33" t="str">
        <f>"9157081"</f>
        <v>9157081</v>
      </c>
      <c r="B28" s="33" t="str">
        <f>"فهد چاملي"</f>
        <v>فهد چاملي</v>
      </c>
      <c r="C28" s="33" t="str">
        <f t="shared" si="0"/>
        <v>توليد توسعه - دارخوين</v>
      </c>
      <c r="D28" s="33">
        <v>0</v>
      </c>
      <c r="E28" s="33">
        <v>13640</v>
      </c>
      <c r="F28" s="33">
        <v>0</v>
      </c>
      <c r="G28" s="33">
        <v>1624330</v>
      </c>
      <c r="H28" s="33">
        <v>200000</v>
      </c>
      <c r="I28" s="33">
        <v>1100000</v>
      </c>
      <c r="J28" s="33">
        <v>1012000</v>
      </c>
      <c r="K28" s="33">
        <v>960000</v>
      </c>
      <c r="L28" s="33">
        <v>0</v>
      </c>
      <c r="M28" s="33">
        <v>0</v>
      </c>
      <c r="N28" s="33">
        <v>10341569</v>
      </c>
      <c r="O28" s="33">
        <v>0</v>
      </c>
      <c r="P28" s="33">
        <v>1047743</v>
      </c>
      <c r="Q28" s="33">
        <v>0</v>
      </c>
      <c r="R28" s="33">
        <v>955452</v>
      </c>
      <c r="S28" s="33">
        <v>0</v>
      </c>
      <c r="T28" s="33">
        <v>72033</v>
      </c>
      <c r="U28" s="33">
        <v>435000</v>
      </c>
      <c r="V28" s="33">
        <v>750000</v>
      </c>
      <c r="W28" s="33">
        <v>0</v>
      </c>
      <c r="X28" s="33">
        <v>2729862</v>
      </c>
      <c r="Y28" s="33">
        <v>409479</v>
      </c>
      <c r="Z28" s="33">
        <v>13640</v>
      </c>
      <c r="AA28" s="33">
        <v>14073157</v>
      </c>
      <c r="AB28" s="33">
        <v>16285642</v>
      </c>
      <c r="AC28" s="33">
        <v>2212485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435000</v>
      </c>
    </row>
    <row r="29" spans="1:35">
      <c r="A29" s="33" t="str">
        <f>"9157084"</f>
        <v>9157084</v>
      </c>
      <c r="B29" s="33" t="str">
        <f>"ايوب حويزاوي"</f>
        <v>ايوب حويزاوي</v>
      </c>
      <c r="C29" s="33" t="str">
        <f t="shared" si="0"/>
        <v>توليد توسعه - دارخوين</v>
      </c>
      <c r="D29" s="33">
        <v>0</v>
      </c>
      <c r="E29" s="33">
        <v>13640</v>
      </c>
      <c r="F29" s="33">
        <v>0</v>
      </c>
      <c r="G29" s="33">
        <v>1624330</v>
      </c>
      <c r="H29" s="33">
        <v>200000</v>
      </c>
      <c r="I29" s="33">
        <v>1100000</v>
      </c>
      <c r="J29" s="33">
        <v>1012000</v>
      </c>
      <c r="K29" s="33">
        <v>960000</v>
      </c>
      <c r="L29" s="33">
        <v>0</v>
      </c>
      <c r="M29" s="33">
        <v>0</v>
      </c>
      <c r="N29" s="33">
        <v>10800214</v>
      </c>
      <c r="O29" s="33">
        <v>0</v>
      </c>
      <c r="P29" s="33">
        <v>1036701</v>
      </c>
      <c r="Q29" s="33">
        <v>0</v>
      </c>
      <c r="R29" s="33">
        <v>986784</v>
      </c>
      <c r="S29" s="33">
        <v>0</v>
      </c>
      <c r="T29" s="33">
        <v>93965</v>
      </c>
      <c r="U29" s="33">
        <v>833333</v>
      </c>
      <c r="V29" s="33">
        <v>750000</v>
      </c>
      <c r="W29" s="33">
        <v>0</v>
      </c>
      <c r="X29" s="33">
        <v>2819383</v>
      </c>
      <c r="Y29" s="33">
        <v>422907</v>
      </c>
      <c r="Z29" s="33">
        <v>13640</v>
      </c>
      <c r="AA29" s="33">
        <v>14069163</v>
      </c>
      <c r="AB29" s="33">
        <v>16733245</v>
      </c>
      <c r="AC29" s="33">
        <v>2664082</v>
      </c>
      <c r="AD29" s="33">
        <v>833333</v>
      </c>
      <c r="AE29" s="33">
        <v>24166657</v>
      </c>
      <c r="AF29" s="33">
        <v>5833343</v>
      </c>
      <c r="AG29" s="33">
        <v>30000000</v>
      </c>
      <c r="AH29" s="33">
        <v>30000000</v>
      </c>
      <c r="AI29" s="33">
        <v>0</v>
      </c>
    </row>
    <row r="30" spans="1:35">
      <c r="A30" s="33" t="str">
        <f>"9157089"</f>
        <v>9157089</v>
      </c>
      <c r="B30" s="33" t="str">
        <f>"منصور خنفري راد"</f>
        <v>منصور خنفري راد</v>
      </c>
      <c r="C30" s="33" t="str">
        <f t="shared" si="0"/>
        <v>توليد توسعه - دارخوين</v>
      </c>
      <c r="D30" s="33">
        <v>600</v>
      </c>
      <c r="E30" s="33">
        <v>13640</v>
      </c>
      <c r="F30" s="33">
        <v>968746</v>
      </c>
      <c r="G30" s="33">
        <v>1624330</v>
      </c>
      <c r="H30" s="33">
        <v>200000</v>
      </c>
      <c r="I30" s="33">
        <v>1100000</v>
      </c>
      <c r="J30" s="33">
        <v>1012000</v>
      </c>
      <c r="K30" s="33">
        <v>960000</v>
      </c>
      <c r="L30" s="33">
        <v>0</v>
      </c>
      <c r="M30" s="33">
        <v>0</v>
      </c>
      <c r="N30" s="33">
        <v>12634763</v>
      </c>
      <c r="O30" s="33">
        <v>0</v>
      </c>
      <c r="P30" s="33">
        <v>1093747</v>
      </c>
      <c r="Q30" s="33">
        <v>0</v>
      </c>
      <c r="R30" s="33">
        <v>1187008</v>
      </c>
      <c r="S30" s="33">
        <v>0</v>
      </c>
      <c r="T30" s="33">
        <v>234122</v>
      </c>
      <c r="U30" s="33">
        <v>2693888</v>
      </c>
      <c r="V30" s="33">
        <v>750000</v>
      </c>
      <c r="W30" s="33">
        <v>0</v>
      </c>
      <c r="X30" s="33">
        <v>3391451</v>
      </c>
      <c r="Y30" s="33">
        <v>508718</v>
      </c>
      <c r="Z30" s="33">
        <v>13640</v>
      </c>
      <c r="AA30" s="33">
        <v>14728568</v>
      </c>
      <c r="AB30" s="33">
        <v>19593586</v>
      </c>
      <c r="AC30" s="33">
        <v>4865018</v>
      </c>
      <c r="AD30" s="33">
        <v>1388888</v>
      </c>
      <c r="AE30" s="33">
        <v>6944440</v>
      </c>
      <c r="AF30" s="33">
        <v>43055560</v>
      </c>
      <c r="AG30" s="33">
        <v>50000000</v>
      </c>
      <c r="AH30" s="33">
        <v>50000000</v>
      </c>
      <c r="AI30" s="33">
        <v>1305000</v>
      </c>
    </row>
    <row r="31" spans="1:35">
      <c r="A31" s="33" t="str">
        <f>"9157090"</f>
        <v>9157090</v>
      </c>
      <c r="B31" s="33" t="str">
        <f>"جميل زرگاني"</f>
        <v>جميل زرگاني</v>
      </c>
      <c r="C31" s="33" t="str">
        <f t="shared" si="0"/>
        <v>توليد توسعه - دارخوين</v>
      </c>
      <c r="D31" s="33">
        <v>0</v>
      </c>
      <c r="E31" s="33">
        <v>13640</v>
      </c>
      <c r="F31" s="33">
        <v>0</v>
      </c>
      <c r="G31" s="33">
        <v>1624330</v>
      </c>
      <c r="H31" s="33">
        <v>200000</v>
      </c>
      <c r="I31" s="33">
        <v>1100000</v>
      </c>
      <c r="J31" s="33">
        <v>1012000</v>
      </c>
      <c r="K31" s="33">
        <v>960000</v>
      </c>
      <c r="L31" s="33">
        <v>0</v>
      </c>
      <c r="M31" s="33">
        <v>0</v>
      </c>
      <c r="N31" s="33">
        <v>12634763</v>
      </c>
      <c r="O31" s="33">
        <v>0</v>
      </c>
      <c r="P31" s="33">
        <v>1093747</v>
      </c>
      <c r="Q31" s="33">
        <v>0</v>
      </c>
      <c r="R31" s="33">
        <v>1119196</v>
      </c>
      <c r="S31" s="33">
        <v>0</v>
      </c>
      <c r="T31" s="33">
        <v>186654</v>
      </c>
      <c r="U31" s="33">
        <v>2693888</v>
      </c>
      <c r="V31" s="33">
        <v>750000</v>
      </c>
      <c r="W31" s="33">
        <v>0</v>
      </c>
      <c r="X31" s="33">
        <v>3197702</v>
      </c>
      <c r="Y31" s="33">
        <v>479655</v>
      </c>
      <c r="Z31" s="33">
        <v>13640</v>
      </c>
      <c r="AA31" s="33">
        <v>13875102</v>
      </c>
      <c r="AB31" s="33">
        <v>18624840</v>
      </c>
      <c r="AC31" s="33">
        <v>4749738</v>
      </c>
      <c r="AD31" s="33">
        <v>1388888</v>
      </c>
      <c r="AE31" s="33">
        <v>41666640</v>
      </c>
      <c r="AF31" s="33">
        <v>8333360</v>
      </c>
      <c r="AG31" s="33">
        <v>50000000</v>
      </c>
      <c r="AH31" s="33">
        <v>50000000</v>
      </c>
      <c r="AI31" s="33">
        <v>1305000</v>
      </c>
    </row>
    <row r="32" spans="1:35">
      <c r="A32" s="33" t="str">
        <f>"9157091"</f>
        <v>9157091</v>
      </c>
      <c r="B32" s="33" t="str">
        <f>"علي ساري"</f>
        <v>علي ساري</v>
      </c>
      <c r="C32" s="33" t="str">
        <f t="shared" si="0"/>
        <v>توليد توسعه - دارخوين</v>
      </c>
      <c r="D32" s="33">
        <v>840</v>
      </c>
      <c r="E32" s="33">
        <v>13640</v>
      </c>
      <c r="F32" s="33">
        <v>1124456</v>
      </c>
      <c r="G32" s="33">
        <v>812165</v>
      </c>
      <c r="H32" s="33">
        <v>200000</v>
      </c>
      <c r="I32" s="33">
        <v>1100000</v>
      </c>
      <c r="J32" s="33">
        <v>1012000</v>
      </c>
      <c r="K32" s="33">
        <v>960000</v>
      </c>
      <c r="L32" s="33">
        <v>0</v>
      </c>
      <c r="M32" s="33">
        <v>0</v>
      </c>
      <c r="N32" s="33">
        <v>10341569</v>
      </c>
      <c r="O32" s="33">
        <v>0</v>
      </c>
      <c r="P32" s="33">
        <v>1040675</v>
      </c>
      <c r="Q32" s="33">
        <v>0</v>
      </c>
      <c r="R32" s="33">
        <v>1033669</v>
      </c>
      <c r="S32" s="33">
        <v>0</v>
      </c>
      <c r="T32" s="33">
        <v>86177</v>
      </c>
      <c r="U32" s="33">
        <v>1388888</v>
      </c>
      <c r="V32" s="33">
        <v>750000</v>
      </c>
      <c r="W32" s="33">
        <v>0</v>
      </c>
      <c r="X32" s="33">
        <v>2953340</v>
      </c>
      <c r="Y32" s="33">
        <v>443001</v>
      </c>
      <c r="Z32" s="33">
        <v>13640</v>
      </c>
      <c r="AA32" s="33">
        <v>13332131</v>
      </c>
      <c r="AB32" s="33">
        <v>16590865</v>
      </c>
      <c r="AC32" s="33">
        <v>3258734</v>
      </c>
      <c r="AD32" s="33">
        <v>1388888</v>
      </c>
      <c r="AE32" s="33">
        <v>22222208</v>
      </c>
      <c r="AF32" s="33">
        <v>27777792</v>
      </c>
      <c r="AG32" s="33">
        <v>50000000</v>
      </c>
      <c r="AH32" s="33">
        <v>50000000</v>
      </c>
      <c r="AI32" s="33">
        <v>0</v>
      </c>
    </row>
    <row r="33" spans="4:35">
      <c r="D33" s="34">
        <f>SUM(D2:D32)</f>
        <v>11040</v>
      </c>
      <c r="E33" s="34">
        <f t="shared" ref="E33:AH33" si="1">SUM(E2:E32)</f>
        <v>422840</v>
      </c>
      <c r="F33" s="34">
        <f t="shared" si="1"/>
        <v>15597534</v>
      </c>
      <c r="G33" s="34">
        <f t="shared" si="1"/>
        <v>47105570</v>
      </c>
      <c r="H33" s="34">
        <f t="shared" si="1"/>
        <v>6200000</v>
      </c>
      <c r="I33" s="34">
        <f t="shared" si="1"/>
        <v>34100000</v>
      </c>
      <c r="J33" s="34">
        <f t="shared" si="1"/>
        <v>31372000</v>
      </c>
      <c r="K33" s="34">
        <f t="shared" si="1"/>
        <v>29760000</v>
      </c>
      <c r="L33" s="34">
        <f t="shared" si="1"/>
        <v>0</v>
      </c>
      <c r="M33" s="34">
        <f t="shared" si="1"/>
        <v>526143</v>
      </c>
      <c r="N33" s="34">
        <f t="shared" si="1"/>
        <v>350285585</v>
      </c>
      <c r="O33" s="34">
        <f t="shared" si="1"/>
        <v>1605242</v>
      </c>
      <c r="P33" s="34">
        <f t="shared" si="1"/>
        <v>32987559</v>
      </c>
      <c r="Q33" s="34">
        <f t="shared" si="1"/>
        <v>1238326</v>
      </c>
      <c r="R33" s="34">
        <f t="shared" si="1"/>
        <v>33061029</v>
      </c>
      <c r="S33" s="34">
        <f t="shared" si="1"/>
        <v>0</v>
      </c>
      <c r="T33" s="34">
        <f t="shared" si="1"/>
        <v>4512653</v>
      </c>
      <c r="U33" s="34">
        <f t="shared" si="1"/>
        <v>33766649</v>
      </c>
      <c r="V33" s="34">
        <f t="shared" si="1"/>
        <v>21000000</v>
      </c>
      <c r="W33" s="34">
        <f t="shared" si="1"/>
        <v>0</v>
      </c>
      <c r="X33" s="34">
        <f t="shared" si="1"/>
        <v>94460074</v>
      </c>
      <c r="Y33" s="34">
        <f t="shared" si="1"/>
        <v>14169013</v>
      </c>
      <c r="Z33" s="34">
        <f t="shared" si="1"/>
        <v>422840</v>
      </c>
      <c r="AA33" s="34">
        <f t="shared" si="1"/>
        <v>458437628</v>
      </c>
      <c r="AB33" s="34">
        <f t="shared" si="1"/>
        <v>550777959</v>
      </c>
      <c r="AC33" s="34">
        <f t="shared" si="1"/>
        <v>92340331</v>
      </c>
      <c r="AD33" s="34">
        <f t="shared" si="1"/>
        <v>29416649</v>
      </c>
      <c r="AE33" s="34">
        <f t="shared" si="1"/>
        <v>563471909</v>
      </c>
      <c r="AF33" s="34">
        <f t="shared" si="1"/>
        <v>495528091</v>
      </c>
      <c r="AG33" s="34">
        <f t="shared" si="1"/>
        <v>1059000000</v>
      </c>
      <c r="AH33" s="34">
        <f t="shared" si="1"/>
        <v>1059000000</v>
      </c>
      <c r="AI33" s="34">
        <f>SUM(AI2:AI32)</f>
        <v>4350000</v>
      </c>
    </row>
    <row r="35" spans="4:35" s="34" customFormat="1">
      <c r="D35" s="34">
        <v>11040</v>
      </c>
      <c r="E35" s="34">
        <v>422840</v>
      </c>
      <c r="F35" s="34">
        <v>15597534</v>
      </c>
      <c r="G35" s="34">
        <v>47105570</v>
      </c>
      <c r="H35" s="34">
        <v>6200000</v>
      </c>
      <c r="I35" s="34">
        <v>34100000</v>
      </c>
      <c r="J35" s="34">
        <v>31372000</v>
      </c>
      <c r="K35" s="34">
        <v>29760000</v>
      </c>
      <c r="L35" s="34">
        <v>0</v>
      </c>
      <c r="M35" s="34">
        <v>526143</v>
      </c>
      <c r="N35" s="34">
        <v>350285585</v>
      </c>
      <c r="O35" s="34">
        <v>1605242</v>
      </c>
      <c r="P35" s="34">
        <v>32987559</v>
      </c>
      <c r="Q35" s="34">
        <v>1238326</v>
      </c>
      <c r="R35" s="34">
        <v>33061029</v>
      </c>
      <c r="S35" s="34">
        <v>0</v>
      </c>
      <c r="T35" s="34">
        <v>4512653</v>
      </c>
      <c r="U35" s="34">
        <v>33766649</v>
      </c>
      <c r="V35" s="34">
        <v>21000000</v>
      </c>
      <c r="W35" s="34">
        <v>0</v>
      </c>
      <c r="X35" s="34">
        <v>94460074</v>
      </c>
      <c r="Y35" s="34">
        <v>14169013</v>
      </c>
      <c r="Z35" s="34">
        <v>422840</v>
      </c>
      <c r="AA35" s="34">
        <v>458437628</v>
      </c>
      <c r="AB35" s="34">
        <v>550777959</v>
      </c>
      <c r="AC35" s="34">
        <v>92340331</v>
      </c>
      <c r="AD35" s="34">
        <v>29416649</v>
      </c>
      <c r="AE35" s="34">
        <v>563471909</v>
      </c>
      <c r="AF35" s="34">
        <v>495528091</v>
      </c>
      <c r="AG35" s="34">
        <v>1059000000</v>
      </c>
      <c r="AH35" s="34">
        <v>1059000000</v>
      </c>
      <c r="AI35" s="34">
        <v>4350000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5"/>
  <sheetViews>
    <sheetView rightToLeft="1" topLeftCell="Z1" zoomScale="70" zoomScaleNormal="70" workbookViewId="0">
      <pane ySplit="1" topLeftCell="A20" activePane="bottomLeft" state="frozen"/>
      <selection pane="bottomLeft" sqref="A1:A1048576"/>
    </sheetView>
  </sheetViews>
  <sheetFormatPr defaultRowHeight="18"/>
  <cols>
    <col min="1" max="1" width="16" style="2" bestFit="1" customWidth="1"/>
    <col min="2" max="2" width="25.5703125" style="2" bestFit="1" customWidth="1"/>
    <col min="3" max="3" width="26.85546875" style="2" bestFit="1" customWidth="1"/>
    <col min="4" max="4" width="25.5703125" style="2" bestFit="1" customWidth="1"/>
    <col min="5" max="5" width="19.5703125" style="2" bestFit="1" customWidth="1"/>
    <col min="6" max="6" width="23.85546875" style="2" bestFit="1" customWidth="1"/>
    <col min="7" max="7" width="18" style="2" bestFit="1" customWidth="1"/>
    <col min="8" max="8" width="16" style="2" bestFit="1" customWidth="1"/>
    <col min="9" max="9" width="22" style="2" bestFit="1" customWidth="1"/>
    <col min="10" max="10" width="23.85546875" style="2" bestFit="1" customWidth="1"/>
    <col min="11" max="11" width="22" style="2" bestFit="1" customWidth="1"/>
    <col min="12" max="14" width="23.85546875" style="2" bestFit="1" customWidth="1"/>
    <col min="15" max="15" width="29.28515625" style="2" bestFit="1" customWidth="1"/>
    <col min="16" max="16" width="19.5703125" style="2" bestFit="1" customWidth="1"/>
    <col min="17" max="17" width="25.7109375" style="2" bestFit="1" customWidth="1"/>
    <col min="18" max="18" width="22" style="2" bestFit="1" customWidth="1"/>
    <col min="19" max="19" width="23.85546875" style="2" bestFit="1" customWidth="1"/>
    <col min="20" max="20" width="22" style="2" bestFit="1" customWidth="1"/>
    <col min="21" max="21" width="46.28515625" style="2" bestFit="1" customWidth="1"/>
    <col min="22" max="22" width="12" style="2" bestFit="1" customWidth="1"/>
    <col min="23" max="24" width="23.85546875" style="2" bestFit="1" customWidth="1"/>
    <col min="25" max="25" width="29" style="2" bestFit="1" customWidth="1"/>
    <col min="26" max="26" width="26.42578125" style="2" bestFit="1" customWidth="1"/>
    <col min="27" max="27" width="45.5703125" style="2" bestFit="1" customWidth="1"/>
    <col min="28" max="28" width="23.85546875" style="2" bestFit="1" customWidth="1"/>
    <col min="29" max="29" width="19.5703125" style="2" bestFit="1" customWidth="1"/>
    <col min="30" max="32" width="25.7109375" style="2" bestFit="1" customWidth="1"/>
    <col min="33" max="33" width="28.5703125" style="2" bestFit="1" customWidth="1"/>
    <col min="34" max="34" width="39.28515625" style="2" bestFit="1" customWidth="1"/>
    <col min="35" max="35" width="42.28515625" style="2" bestFit="1" customWidth="1"/>
    <col min="36" max="36" width="49.28515625" style="2" bestFit="1" customWidth="1"/>
    <col min="37" max="37" width="62.5703125" style="2" bestFit="1" customWidth="1"/>
    <col min="38" max="38" width="59.28515625" style="2" bestFit="1" customWidth="1"/>
    <col min="39" max="39" width="66" style="2" bestFit="1" customWidth="1"/>
    <col min="40" max="40" width="52.85546875" style="2" bestFit="1" customWidth="1"/>
    <col min="41" max="41" width="65" style="2" bestFit="1" customWidth="1"/>
    <col min="42" max="42" width="39.5703125" style="2" bestFit="1" customWidth="1"/>
    <col min="43" max="16384" width="9.140625" style="2"/>
  </cols>
  <sheetData>
    <row r="1" spans="1:4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70</v>
      </c>
      <c r="I1" s="1" t="s">
        <v>71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67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68</v>
      </c>
      <c r="AA1" s="1" t="s">
        <v>22</v>
      </c>
      <c r="AB1" s="1" t="s">
        <v>23</v>
      </c>
      <c r="AC1" s="1" t="s">
        <v>24</v>
      </c>
      <c r="AD1" s="1" t="s">
        <v>25</v>
      </c>
      <c r="AE1" s="1" t="s">
        <v>26</v>
      </c>
      <c r="AF1" s="1" t="s">
        <v>27</v>
      </c>
      <c r="AG1" s="1" t="s">
        <v>28</v>
      </c>
      <c r="AH1" s="1" t="s">
        <v>29</v>
      </c>
      <c r="AI1" s="1" t="s">
        <v>30</v>
      </c>
      <c r="AJ1" s="1" t="s">
        <v>31</v>
      </c>
      <c r="AK1" s="1" t="s">
        <v>32</v>
      </c>
      <c r="AL1" s="1" t="s">
        <v>33</v>
      </c>
      <c r="AM1" s="1" t="s">
        <v>34</v>
      </c>
      <c r="AN1" s="1" t="s">
        <v>35</v>
      </c>
      <c r="AO1" s="1" t="s">
        <v>36</v>
      </c>
      <c r="AP1" s="1" t="s">
        <v>37</v>
      </c>
    </row>
    <row r="2" spans="1:42">
      <c r="A2" s="2" t="str">
        <f>"9157041"</f>
        <v>9157041</v>
      </c>
      <c r="B2" s="2" t="str">
        <f>"عيد آسماني"</f>
        <v>عيد آسماني</v>
      </c>
      <c r="C2" s="2" t="str">
        <f t="shared" ref="C2:C32" si="0">"توليد توسعه - دارخوين"</f>
        <v>توليد توسعه - دارخوين</v>
      </c>
      <c r="D2" s="2">
        <v>960</v>
      </c>
      <c r="E2" s="2">
        <v>13640</v>
      </c>
      <c r="F2" s="2">
        <v>1231812</v>
      </c>
      <c r="G2" s="2">
        <v>0</v>
      </c>
      <c r="H2" s="2">
        <v>0</v>
      </c>
      <c r="I2" s="2">
        <v>0</v>
      </c>
      <c r="J2" s="2">
        <v>0</v>
      </c>
      <c r="K2" s="2">
        <v>200000</v>
      </c>
      <c r="L2" s="2">
        <v>1100000</v>
      </c>
      <c r="M2" s="2">
        <v>1012000</v>
      </c>
      <c r="N2" s="2">
        <v>960000</v>
      </c>
      <c r="O2" s="2">
        <v>0</v>
      </c>
      <c r="P2" s="2">
        <v>0</v>
      </c>
      <c r="Q2" s="2">
        <v>9882924</v>
      </c>
      <c r="R2" s="2">
        <v>0</v>
      </c>
      <c r="S2" s="2">
        <v>1027407</v>
      </c>
      <c r="T2" s="2">
        <v>0</v>
      </c>
      <c r="U2" s="2">
        <v>1008150</v>
      </c>
      <c r="V2" s="2">
        <v>0</v>
      </c>
      <c r="W2" s="2">
        <v>1049217</v>
      </c>
      <c r="X2" s="2">
        <v>833333</v>
      </c>
      <c r="Y2" s="2">
        <v>750000</v>
      </c>
      <c r="Z2" s="2">
        <v>0</v>
      </c>
      <c r="AA2" s="2">
        <v>2880429</v>
      </c>
      <c r="AB2" s="2">
        <v>432064</v>
      </c>
      <c r="AC2" s="2">
        <v>13640</v>
      </c>
      <c r="AD2" s="2">
        <v>11773443</v>
      </c>
      <c r="AE2" s="2">
        <v>15414143</v>
      </c>
      <c r="AF2" s="2">
        <v>3640700</v>
      </c>
      <c r="AG2" s="2" t="str">
        <f t="shared" ref="AG2:AG32" si="1">"موديان بزرگ"</f>
        <v>موديان بزرگ</v>
      </c>
      <c r="AH2" s="2" t="str">
        <f t="shared" ref="AH2:AH32" si="2">"گروه مالياتي 50 درصدي خدماتي"</f>
        <v>گروه مالياتي 50 درصدي خدماتي</v>
      </c>
      <c r="AI2" s="2" t="str">
        <f t="shared" ref="AI2:AI32" si="3">"شعبه شادگان"</f>
        <v>شعبه شادگان</v>
      </c>
      <c r="AJ2" s="2" t="str">
        <f>"50575808"</f>
        <v>50575808</v>
      </c>
      <c r="AK2" s="2">
        <v>833333</v>
      </c>
      <c r="AL2" s="2">
        <v>23333324</v>
      </c>
      <c r="AM2" s="2">
        <v>6666676</v>
      </c>
      <c r="AN2" s="2">
        <v>30000000</v>
      </c>
      <c r="AO2" s="2">
        <v>30000000</v>
      </c>
      <c r="AP2" s="2">
        <v>0</v>
      </c>
    </row>
    <row r="3" spans="1:42">
      <c r="A3" s="2" t="str">
        <f>"9157042"</f>
        <v>9157042</v>
      </c>
      <c r="B3" s="2" t="str">
        <f>"کاظم آل بالدي"</f>
        <v>کاظم آل بالدي</v>
      </c>
      <c r="C3" s="2" t="str">
        <f t="shared" si="0"/>
        <v>توليد توسعه - دارخوين</v>
      </c>
      <c r="D3" s="2">
        <v>0</v>
      </c>
      <c r="E3" s="2">
        <v>13640</v>
      </c>
      <c r="F3" s="2">
        <v>0</v>
      </c>
      <c r="G3" s="2">
        <v>0</v>
      </c>
      <c r="H3" s="2">
        <v>0</v>
      </c>
      <c r="I3" s="2">
        <v>0</v>
      </c>
      <c r="J3" s="2">
        <v>3248660</v>
      </c>
      <c r="K3" s="2">
        <v>200000</v>
      </c>
      <c r="L3" s="2">
        <v>1100000</v>
      </c>
      <c r="M3" s="2">
        <v>1012000</v>
      </c>
      <c r="N3" s="2">
        <v>960000</v>
      </c>
      <c r="O3" s="2">
        <v>0</v>
      </c>
      <c r="P3" s="2">
        <v>0</v>
      </c>
      <c r="Q3" s="2">
        <v>11373497</v>
      </c>
      <c r="R3" s="2">
        <v>0</v>
      </c>
      <c r="S3" s="2">
        <v>1074279</v>
      </c>
      <c r="T3" s="2">
        <v>0</v>
      </c>
      <c r="U3" s="2">
        <v>1029544</v>
      </c>
      <c r="V3" s="2">
        <v>0</v>
      </c>
      <c r="W3" s="2">
        <v>1259280</v>
      </c>
      <c r="X3" s="2">
        <v>1388888</v>
      </c>
      <c r="Y3" s="2">
        <v>750000</v>
      </c>
      <c r="Z3" s="2">
        <v>0</v>
      </c>
      <c r="AA3" s="2">
        <v>2941555</v>
      </c>
      <c r="AB3" s="2">
        <v>441233</v>
      </c>
      <c r="AC3" s="2">
        <v>13640</v>
      </c>
      <c r="AD3" s="2">
        <v>14540724</v>
      </c>
      <c r="AE3" s="2">
        <v>18968436</v>
      </c>
      <c r="AF3" s="2">
        <v>4427712</v>
      </c>
      <c r="AG3" s="2" t="str">
        <f t="shared" si="1"/>
        <v>موديان بزرگ</v>
      </c>
      <c r="AH3" s="2" t="str">
        <f t="shared" si="2"/>
        <v>گروه مالياتي 50 درصدي خدماتي</v>
      </c>
      <c r="AI3" s="2" t="str">
        <f t="shared" si="3"/>
        <v>شعبه شادگان</v>
      </c>
      <c r="AJ3" s="2" t="str">
        <f>"57951643"</f>
        <v>57951643</v>
      </c>
      <c r="AK3" s="2">
        <v>1388888</v>
      </c>
      <c r="AL3" s="2">
        <v>27777760</v>
      </c>
      <c r="AM3" s="2">
        <v>22222240</v>
      </c>
      <c r="AN3" s="2">
        <v>50000000</v>
      </c>
      <c r="AO3" s="2">
        <v>50000000</v>
      </c>
      <c r="AP3" s="2">
        <v>0</v>
      </c>
    </row>
    <row r="4" spans="1:42">
      <c r="A4" s="2" t="str">
        <f>"9157043"</f>
        <v>9157043</v>
      </c>
      <c r="B4" s="2" t="str">
        <f>"عبداله البوبالد"</f>
        <v>عبداله البوبالد</v>
      </c>
      <c r="C4" s="2" t="str">
        <f t="shared" si="0"/>
        <v>توليد توسعه - دارخوين</v>
      </c>
      <c r="D4" s="2">
        <v>1500</v>
      </c>
      <c r="E4" s="2">
        <v>13640</v>
      </c>
      <c r="F4" s="2">
        <v>2421864</v>
      </c>
      <c r="G4" s="2">
        <v>0</v>
      </c>
      <c r="H4" s="2">
        <v>0</v>
      </c>
      <c r="I4" s="2">
        <v>0</v>
      </c>
      <c r="J4" s="2">
        <v>812165</v>
      </c>
      <c r="K4" s="2">
        <v>200000</v>
      </c>
      <c r="L4" s="2">
        <v>1100000</v>
      </c>
      <c r="M4" s="2">
        <v>1012000</v>
      </c>
      <c r="N4" s="2">
        <v>960000</v>
      </c>
      <c r="O4" s="2">
        <v>0</v>
      </c>
      <c r="P4" s="2">
        <v>0</v>
      </c>
      <c r="Q4" s="2">
        <v>12634763</v>
      </c>
      <c r="R4" s="2">
        <v>0</v>
      </c>
      <c r="S4" s="2">
        <v>1093747</v>
      </c>
      <c r="T4" s="2">
        <v>0</v>
      </c>
      <c r="U4" s="2">
        <v>1288726</v>
      </c>
      <c r="V4" s="2">
        <v>0</v>
      </c>
      <c r="W4" s="2">
        <v>1318883</v>
      </c>
      <c r="X4" s="2">
        <v>1388888</v>
      </c>
      <c r="Y4" s="2">
        <v>750000</v>
      </c>
      <c r="Z4" s="2">
        <v>0</v>
      </c>
      <c r="AA4" s="2">
        <v>3682075</v>
      </c>
      <c r="AB4" s="2">
        <v>552311</v>
      </c>
      <c r="AC4" s="2">
        <v>13640</v>
      </c>
      <c r="AD4" s="2">
        <v>15488042</v>
      </c>
      <c r="AE4" s="2">
        <v>20234539</v>
      </c>
      <c r="AF4" s="2">
        <v>4746497</v>
      </c>
      <c r="AG4" s="2" t="str">
        <f t="shared" si="1"/>
        <v>موديان بزرگ</v>
      </c>
      <c r="AH4" s="2" t="str">
        <f t="shared" si="2"/>
        <v>گروه مالياتي 50 درصدي خدماتي</v>
      </c>
      <c r="AI4" s="2" t="str">
        <f t="shared" si="3"/>
        <v>شعبه شادگان</v>
      </c>
      <c r="AJ4" s="2" t="str">
        <f>"57951654"</f>
        <v>57951654</v>
      </c>
      <c r="AK4" s="2">
        <v>1388888</v>
      </c>
      <c r="AL4" s="2">
        <v>30555536</v>
      </c>
      <c r="AM4" s="2">
        <v>19444464</v>
      </c>
      <c r="AN4" s="2">
        <v>50000000</v>
      </c>
      <c r="AO4" s="2">
        <v>50000000</v>
      </c>
      <c r="AP4" s="2">
        <v>0</v>
      </c>
    </row>
    <row r="5" spans="1:42">
      <c r="A5" s="2" t="str">
        <f>"9157044"</f>
        <v>9157044</v>
      </c>
      <c r="B5" s="2" t="str">
        <f>"سعيد ال بوبالدي"</f>
        <v>سعيد ال بوبالدي</v>
      </c>
      <c r="C5" s="2" t="str">
        <f t="shared" si="0"/>
        <v>توليد توسعه - دارخوين</v>
      </c>
      <c r="D5" s="2">
        <v>780</v>
      </c>
      <c r="E5" s="2">
        <v>13640</v>
      </c>
      <c r="F5" s="2">
        <v>1087428</v>
      </c>
      <c r="G5" s="2">
        <v>0</v>
      </c>
      <c r="H5" s="2">
        <v>0</v>
      </c>
      <c r="I5" s="2">
        <v>0</v>
      </c>
      <c r="J5" s="2">
        <v>2436495</v>
      </c>
      <c r="K5" s="2">
        <v>200000</v>
      </c>
      <c r="L5" s="2">
        <v>1100000</v>
      </c>
      <c r="M5" s="2">
        <v>1012000</v>
      </c>
      <c r="N5" s="2">
        <v>960000</v>
      </c>
      <c r="O5" s="2">
        <v>0</v>
      </c>
      <c r="P5" s="2">
        <v>0</v>
      </c>
      <c r="Q5" s="2">
        <v>10800214</v>
      </c>
      <c r="R5" s="2">
        <v>0</v>
      </c>
      <c r="S5" s="2">
        <v>1053943</v>
      </c>
      <c r="T5" s="2">
        <v>0</v>
      </c>
      <c r="U5" s="2">
        <v>1064111</v>
      </c>
      <c r="V5" s="2">
        <v>0</v>
      </c>
      <c r="W5" s="2">
        <v>1242869</v>
      </c>
      <c r="X5" s="2">
        <v>0</v>
      </c>
      <c r="Y5" s="2">
        <v>0</v>
      </c>
      <c r="Z5" s="2">
        <v>0</v>
      </c>
      <c r="AA5" s="2">
        <v>3040317</v>
      </c>
      <c r="AB5" s="2">
        <v>456048</v>
      </c>
      <c r="AC5" s="2">
        <v>13640</v>
      </c>
      <c r="AD5" s="2">
        <v>16343100</v>
      </c>
      <c r="AE5" s="2">
        <v>18650080</v>
      </c>
      <c r="AF5" s="2">
        <v>2306980</v>
      </c>
      <c r="AG5" s="2" t="str">
        <f t="shared" si="1"/>
        <v>موديان بزرگ</v>
      </c>
      <c r="AH5" s="2" t="str">
        <f t="shared" si="2"/>
        <v>گروه مالياتي 50 درصدي خدماتي</v>
      </c>
      <c r="AI5" s="2" t="str">
        <f t="shared" si="3"/>
        <v>شعبه شادگان</v>
      </c>
      <c r="AJ5" s="2" t="str">
        <f>"56004180"</f>
        <v>56004180</v>
      </c>
    </row>
    <row r="6" spans="1:42">
      <c r="A6" s="2" t="str">
        <f>"9157045"</f>
        <v>9157045</v>
      </c>
      <c r="B6" s="2" t="str">
        <f>"شريف آلبوبالدي"</f>
        <v>شريف آلبوبالدي</v>
      </c>
      <c r="C6" s="2" t="str">
        <f t="shared" si="0"/>
        <v>توليد توسعه - دارخوين</v>
      </c>
      <c r="D6" s="2">
        <v>240</v>
      </c>
      <c r="E6" s="2">
        <v>13640</v>
      </c>
      <c r="F6" s="2">
        <v>334593</v>
      </c>
      <c r="G6" s="2">
        <v>0</v>
      </c>
      <c r="H6" s="2">
        <v>0</v>
      </c>
      <c r="I6" s="2">
        <v>0</v>
      </c>
      <c r="J6" s="2">
        <v>812165</v>
      </c>
      <c r="K6" s="2">
        <v>200000</v>
      </c>
      <c r="L6" s="2">
        <v>1100000</v>
      </c>
      <c r="M6" s="2">
        <v>1012000</v>
      </c>
      <c r="N6" s="2">
        <v>960000</v>
      </c>
      <c r="O6" s="2">
        <v>0</v>
      </c>
      <c r="P6" s="2">
        <v>0</v>
      </c>
      <c r="Q6" s="2">
        <v>10800214</v>
      </c>
      <c r="R6" s="2">
        <v>0</v>
      </c>
      <c r="S6" s="2">
        <v>1053943</v>
      </c>
      <c r="T6" s="2">
        <v>0</v>
      </c>
      <c r="U6" s="2">
        <v>1011413</v>
      </c>
      <c r="V6" s="2">
        <v>0</v>
      </c>
      <c r="W6" s="2">
        <v>1124763</v>
      </c>
      <c r="X6" s="2">
        <v>1388888</v>
      </c>
      <c r="Y6" s="2">
        <v>750000</v>
      </c>
      <c r="Z6" s="2">
        <v>0</v>
      </c>
      <c r="AA6" s="2">
        <v>2889750</v>
      </c>
      <c r="AB6" s="2">
        <v>433463</v>
      </c>
      <c r="AC6" s="2">
        <v>13640</v>
      </c>
      <c r="AD6" s="2">
        <v>11997851</v>
      </c>
      <c r="AE6" s="2">
        <v>16272915</v>
      </c>
      <c r="AF6" s="2">
        <v>4275064</v>
      </c>
      <c r="AG6" s="2" t="str">
        <f t="shared" si="1"/>
        <v>موديان بزرگ</v>
      </c>
      <c r="AH6" s="2" t="str">
        <f t="shared" si="2"/>
        <v>گروه مالياتي 50 درصدي خدماتي</v>
      </c>
      <c r="AI6" s="2" t="str">
        <f t="shared" si="3"/>
        <v>شعبه شادگان</v>
      </c>
      <c r="AJ6" s="2" t="str">
        <f>"52544320"</f>
        <v>52544320</v>
      </c>
      <c r="AK6" s="2">
        <v>1388888</v>
      </c>
      <c r="AL6" s="2">
        <v>41666640</v>
      </c>
      <c r="AM6" s="2">
        <v>8333360</v>
      </c>
      <c r="AN6" s="2">
        <v>50000000</v>
      </c>
      <c r="AO6" s="2">
        <v>50000000</v>
      </c>
      <c r="AP6" s="2">
        <v>0</v>
      </c>
    </row>
    <row r="7" spans="1:42">
      <c r="A7" s="2" t="str">
        <f>"9157046"</f>
        <v>9157046</v>
      </c>
      <c r="B7" s="2" t="str">
        <f>"يعقوب آلبوبالدي"</f>
        <v>يعقوب آلبوبالدي</v>
      </c>
      <c r="C7" s="2" t="str">
        <f t="shared" si="0"/>
        <v>توليد توسعه - دارخوين</v>
      </c>
      <c r="D7" s="2">
        <v>0</v>
      </c>
      <c r="E7" s="2">
        <v>13640</v>
      </c>
      <c r="F7" s="2">
        <v>0</v>
      </c>
      <c r="G7" s="2">
        <v>0</v>
      </c>
      <c r="H7" s="2">
        <v>0</v>
      </c>
      <c r="I7" s="2">
        <v>0</v>
      </c>
      <c r="J7" s="2">
        <v>2436495</v>
      </c>
      <c r="K7" s="2">
        <v>200000</v>
      </c>
      <c r="L7" s="2">
        <v>1100000</v>
      </c>
      <c r="M7" s="2">
        <v>1012000</v>
      </c>
      <c r="N7" s="2">
        <v>960000</v>
      </c>
      <c r="O7" s="2">
        <v>0</v>
      </c>
      <c r="P7" s="2">
        <v>0</v>
      </c>
      <c r="Q7" s="2">
        <v>14010636</v>
      </c>
      <c r="R7" s="2">
        <v>0</v>
      </c>
      <c r="S7" s="2">
        <v>1133551</v>
      </c>
      <c r="T7" s="2">
        <v>0</v>
      </c>
      <c r="U7" s="2">
        <v>1218293</v>
      </c>
      <c r="V7" s="2">
        <v>0</v>
      </c>
      <c r="W7" s="2">
        <v>1350797</v>
      </c>
      <c r="X7" s="2">
        <v>1388888</v>
      </c>
      <c r="Y7" s="2">
        <v>750000</v>
      </c>
      <c r="Z7" s="2">
        <v>0</v>
      </c>
      <c r="AA7" s="2">
        <v>3480837</v>
      </c>
      <c r="AB7" s="2">
        <v>522126</v>
      </c>
      <c r="AC7" s="2">
        <v>13640</v>
      </c>
      <c r="AD7" s="2">
        <v>16144704</v>
      </c>
      <c r="AE7" s="2">
        <v>20852682</v>
      </c>
      <c r="AF7" s="2">
        <v>4707978</v>
      </c>
      <c r="AG7" s="2" t="str">
        <f t="shared" si="1"/>
        <v>موديان بزرگ</v>
      </c>
      <c r="AH7" s="2" t="str">
        <f t="shared" si="2"/>
        <v>گروه مالياتي 50 درصدي خدماتي</v>
      </c>
      <c r="AI7" s="2" t="str">
        <f t="shared" si="3"/>
        <v>شعبه شادگان</v>
      </c>
      <c r="AJ7" s="2" t="str">
        <f>"52545284"</f>
        <v>52545284</v>
      </c>
      <c r="AK7" s="2">
        <v>1388888</v>
      </c>
      <c r="AL7" s="2">
        <v>38888864</v>
      </c>
      <c r="AM7" s="2">
        <v>11111136</v>
      </c>
      <c r="AN7" s="2">
        <v>50000000</v>
      </c>
      <c r="AO7" s="2">
        <v>50000000</v>
      </c>
      <c r="AP7" s="2">
        <v>0</v>
      </c>
    </row>
    <row r="8" spans="1:42">
      <c r="A8" s="2" t="str">
        <f>"9157047"</f>
        <v>9157047</v>
      </c>
      <c r="B8" s="2" t="str">
        <f>"محمد البوغبيش"</f>
        <v>محمد البوغبيش</v>
      </c>
      <c r="C8" s="2" t="str">
        <f t="shared" si="0"/>
        <v>توليد توسعه - دارخوين</v>
      </c>
      <c r="D8" s="2">
        <v>0</v>
      </c>
      <c r="E8" s="2">
        <v>13640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200000</v>
      </c>
      <c r="L8" s="2">
        <v>1100000</v>
      </c>
      <c r="M8" s="2">
        <v>1012000</v>
      </c>
      <c r="N8" s="2">
        <v>960000</v>
      </c>
      <c r="O8" s="2">
        <v>0</v>
      </c>
      <c r="P8" s="2">
        <v>0</v>
      </c>
      <c r="Q8" s="2">
        <v>14010636</v>
      </c>
      <c r="R8" s="2">
        <v>0</v>
      </c>
      <c r="S8" s="2">
        <v>1133551</v>
      </c>
      <c r="T8" s="2">
        <v>0</v>
      </c>
      <c r="U8" s="2">
        <v>1218293</v>
      </c>
      <c r="V8" s="2">
        <v>0</v>
      </c>
      <c r="W8" s="2">
        <v>1228972</v>
      </c>
      <c r="X8" s="2">
        <v>1361111</v>
      </c>
      <c r="Y8" s="2">
        <v>750000</v>
      </c>
      <c r="Z8" s="2">
        <v>0</v>
      </c>
      <c r="AA8" s="2">
        <v>3480837</v>
      </c>
      <c r="AB8" s="2">
        <v>522126</v>
      </c>
      <c r="AC8" s="2">
        <v>13640</v>
      </c>
      <c r="AD8" s="2">
        <v>13857811</v>
      </c>
      <c r="AE8" s="2">
        <v>18416187</v>
      </c>
      <c r="AF8" s="2">
        <v>4558376</v>
      </c>
      <c r="AG8" s="2" t="str">
        <f t="shared" si="1"/>
        <v>موديان بزرگ</v>
      </c>
      <c r="AH8" s="2" t="str">
        <f t="shared" si="2"/>
        <v>گروه مالياتي 50 درصدي خدماتي</v>
      </c>
      <c r="AI8" s="2" t="str">
        <f t="shared" si="3"/>
        <v>شعبه شادگان</v>
      </c>
      <c r="AJ8" s="2" t="str">
        <f>"57958412"</f>
        <v>57958412</v>
      </c>
      <c r="AK8" s="2">
        <v>1361111</v>
      </c>
      <c r="AL8" s="2">
        <v>5444444</v>
      </c>
      <c r="AM8" s="2">
        <v>43555556</v>
      </c>
      <c r="AN8" s="2">
        <v>49000000</v>
      </c>
      <c r="AO8" s="2">
        <v>49000000</v>
      </c>
      <c r="AP8" s="2">
        <v>0</v>
      </c>
    </row>
    <row r="9" spans="1:42">
      <c r="A9" s="2" t="str">
        <f>"9157049"</f>
        <v>9157049</v>
      </c>
      <c r="B9" s="2" t="str">
        <f>"عبدالامام بالدي"</f>
        <v>عبدالامام بالدي</v>
      </c>
      <c r="C9" s="2" t="str">
        <f t="shared" si="0"/>
        <v>توليد توسعه - دارخوين</v>
      </c>
      <c r="D9" s="2">
        <v>0</v>
      </c>
      <c r="E9" s="2">
        <v>13640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200000</v>
      </c>
      <c r="L9" s="2">
        <v>1100000</v>
      </c>
      <c r="M9" s="2">
        <v>1012000</v>
      </c>
      <c r="N9" s="2">
        <v>960000</v>
      </c>
      <c r="O9" s="2">
        <v>0</v>
      </c>
      <c r="P9" s="2">
        <v>0</v>
      </c>
      <c r="Q9" s="2">
        <v>12634763</v>
      </c>
      <c r="R9" s="2">
        <v>0</v>
      </c>
      <c r="S9" s="2">
        <v>1093747</v>
      </c>
      <c r="T9" s="2">
        <v>1238326</v>
      </c>
      <c r="U9" s="2">
        <v>1205879</v>
      </c>
      <c r="V9" s="2">
        <v>0</v>
      </c>
      <c r="W9" s="2">
        <v>1220282</v>
      </c>
      <c r="X9" s="2">
        <v>2258888</v>
      </c>
      <c r="Y9" s="2">
        <v>750000</v>
      </c>
      <c r="Z9" s="2">
        <v>0</v>
      </c>
      <c r="AA9" s="2">
        <v>3445367</v>
      </c>
      <c r="AB9" s="2">
        <v>516805</v>
      </c>
      <c r="AC9" s="2">
        <v>13640</v>
      </c>
      <c r="AD9" s="2">
        <v>12803787</v>
      </c>
      <c r="AE9" s="2">
        <v>18238836</v>
      </c>
      <c r="AF9" s="2">
        <v>5435049</v>
      </c>
      <c r="AG9" s="2" t="str">
        <f t="shared" si="1"/>
        <v>موديان بزرگ</v>
      </c>
      <c r="AH9" s="2" t="str">
        <f t="shared" si="2"/>
        <v>گروه مالياتي 50 درصدي خدماتي</v>
      </c>
      <c r="AI9" s="2" t="str">
        <f t="shared" si="3"/>
        <v>شعبه شادگان</v>
      </c>
      <c r="AJ9" s="2" t="str">
        <f>"50135194"</f>
        <v>50135194</v>
      </c>
      <c r="AK9" s="2">
        <v>1388888</v>
      </c>
      <c r="AL9" s="2">
        <v>5555552</v>
      </c>
      <c r="AM9" s="2">
        <v>44444448</v>
      </c>
      <c r="AN9" s="2">
        <v>50000000</v>
      </c>
      <c r="AO9" s="2">
        <v>50000000</v>
      </c>
      <c r="AP9" s="2">
        <v>870000</v>
      </c>
    </row>
    <row r="10" spans="1:42">
      <c r="A10" s="2" t="str">
        <f>"9157050"</f>
        <v>9157050</v>
      </c>
      <c r="B10" s="2" t="str">
        <f>"حسين باوي"</f>
        <v>حسين باوي</v>
      </c>
      <c r="C10" s="2" t="str">
        <f t="shared" si="0"/>
        <v>توليد توسعه - دارخوين</v>
      </c>
      <c r="D10" s="2">
        <v>1860</v>
      </c>
      <c r="E10" s="2">
        <v>13640</v>
      </c>
      <c r="F10" s="2">
        <v>2849727</v>
      </c>
      <c r="G10" s="2">
        <v>0</v>
      </c>
      <c r="H10" s="2">
        <v>0</v>
      </c>
      <c r="I10" s="2">
        <v>0</v>
      </c>
      <c r="J10" s="2">
        <v>3248660</v>
      </c>
      <c r="K10" s="2">
        <v>200000</v>
      </c>
      <c r="L10" s="2">
        <v>1100000</v>
      </c>
      <c r="M10" s="2">
        <v>1012000</v>
      </c>
      <c r="N10" s="2">
        <v>960000</v>
      </c>
      <c r="O10" s="2">
        <v>0</v>
      </c>
      <c r="P10" s="2">
        <v>0</v>
      </c>
      <c r="Q10" s="2">
        <v>11946842</v>
      </c>
      <c r="R10" s="2">
        <v>0</v>
      </c>
      <c r="S10" s="2">
        <v>1080479</v>
      </c>
      <c r="T10" s="2">
        <v>0</v>
      </c>
      <c r="U10" s="2">
        <v>1269593</v>
      </c>
      <c r="V10" s="2">
        <v>0</v>
      </c>
      <c r="W10" s="2">
        <v>1427315</v>
      </c>
      <c r="X10" s="2">
        <v>0</v>
      </c>
      <c r="Y10" s="2">
        <v>750000</v>
      </c>
      <c r="Z10" s="2">
        <v>0</v>
      </c>
      <c r="AA10" s="2">
        <v>3627410</v>
      </c>
      <c r="AB10" s="2">
        <v>544111</v>
      </c>
      <c r="AC10" s="2">
        <v>13640</v>
      </c>
      <c r="AD10" s="2">
        <v>18950800</v>
      </c>
      <c r="AE10" s="2">
        <v>22397708</v>
      </c>
      <c r="AF10" s="2">
        <v>3446908</v>
      </c>
      <c r="AG10" s="2" t="str">
        <f t="shared" si="1"/>
        <v>موديان بزرگ</v>
      </c>
      <c r="AH10" s="2" t="str">
        <f t="shared" si="2"/>
        <v>گروه مالياتي 50 درصدي خدماتي</v>
      </c>
      <c r="AI10" s="2" t="str">
        <f t="shared" si="3"/>
        <v>شعبه شادگان</v>
      </c>
      <c r="AJ10" s="2" t="str">
        <f>"57952049"</f>
        <v>57952049</v>
      </c>
    </row>
    <row r="11" spans="1:42">
      <c r="A11" s="2" t="str">
        <f>"9157053"</f>
        <v>9157053</v>
      </c>
      <c r="B11" s="2" t="str">
        <f>"عظيم باوي سويره"</f>
        <v>عظيم باوي سويره</v>
      </c>
      <c r="C11" s="2" t="str">
        <f t="shared" si="0"/>
        <v>توليد توسعه - دارخوين</v>
      </c>
      <c r="D11" s="2">
        <v>1620</v>
      </c>
      <c r="E11" s="2">
        <v>13640</v>
      </c>
      <c r="F11" s="2">
        <v>2074465</v>
      </c>
      <c r="G11" s="2">
        <v>0</v>
      </c>
      <c r="H11" s="2">
        <v>0</v>
      </c>
      <c r="I11" s="2">
        <v>0</v>
      </c>
      <c r="J11" s="2">
        <v>812165</v>
      </c>
      <c r="K11" s="2">
        <v>200000</v>
      </c>
      <c r="L11" s="2">
        <v>1100000</v>
      </c>
      <c r="M11" s="2">
        <v>1012000</v>
      </c>
      <c r="N11" s="2">
        <v>960000</v>
      </c>
      <c r="O11" s="2">
        <v>0</v>
      </c>
      <c r="P11" s="2">
        <v>105770</v>
      </c>
      <c r="Q11" s="2">
        <v>9424310</v>
      </c>
      <c r="R11" s="2">
        <v>343976</v>
      </c>
      <c r="S11" s="2">
        <v>1014139</v>
      </c>
      <c r="T11" s="2">
        <v>0</v>
      </c>
      <c r="U11" s="2">
        <v>1065586</v>
      </c>
      <c r="V11" s="2">
        <v>0</v>
      </c>
      <c r="W11" s="2">
        <v>1162686</v>
      </c>
      <c r="X11" s="2">
        <v>1388888</v>
      </c>
      <c r="Y11" s="2">
        <v>750000</v>
      </c>
      <c r="Z11" s="2">
        <v>0</v>
      </c>
      <c r="AA11" s="2">
        <v>3044532</v>
      </c>
      <c r="AB11" s="2">
        <v>456680</v>
      </c>
      <c r="AC11" s="2">
        <v>13640</v>
      </c>
      <c r="AD11" s="2">
        <v>12679665</v>
      </c>
      <c r="AE11" s="2">
        <v>17046825</v>
      </c>
      <c r="AF11" s="2">
        <v>4367160</v>
      </c>
      <c r="AG11" s="2" t="str">
        <f t="shared" si="1"/>
        <v>موديان بزرگ</v>
      </c>
      <c r="AH11" s="2" t="str">
        <f t="shared" si="2"/>
        <v>گروه مالياتي 50 درصدي خدماتي</v>
      </c>
      <c r="AI11" s="2" t="str">
        <f t="shared" si="3"/>
        <v>شعبه شادگان</v>
      </c>
      <c r="AJ11" s="2" t="str">
        <f>"57962120"</f>
        <v>57962120</v>
      </c>
      <c r="AK11" s="2">
        <v>1388888</v>
      </c>
      <c r="AL11" s="2">
        <v>28611112</v>
      </c>
      <c r="AM11" s="2">
        <v>1388888</v>
      </c>
      <c r="AN11" s="2">
        <v>30000000</v>
      </c>
      <c r="AO11" s="2">
        <v>30000000</v>
      </c>
      <c r="AP11" s="2">
        <v>0</v>
      </c>
    </row>
    <row r="12" spans="1:42">
      <c r="A12" s="2" t="str">
        <f>"9157054"</f>
        <v>9157054</v>
      </c>
      <c r="B12" s="2" t="str">
        <f>"عارف باوي فرد"</f>
        <v>عارف باوي فرد</v>
      </c>
      <c r="C12" s="2" t="str">
        <f t="shared" si="0"/>
        <v>توليد توسعه - دارخوين</v>
      </c>
      <c r="D12" s="2">
        <v>0</v>
      </c>
      <c r="E12" s="2">
        <v>13640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200000</v>
      </c>
      <c r="L12" s="2">
        <v>1100000</v>
      </c>
      <c r="M12" s="2">
        <v>1012000</v>
      </c>
      <c r="N12" s="2">
        <v>960000</v>
      </c>
      <c r="O12" s="2">
        <v>0</v>
      </c>
      <c r="P12" s="2">
        <v>0</v>
      </c>
      <c r="Q12" s="2">
        <v>10341569</v>
      </c>
      <c r="R12" s="2">
        <v>458645</v>
      </c>
      <c r="S12" s="2">
        <v>1040675</v>
      </c>
      <c r="T12" s="2">
        <v>0</v>
      </c>
      <c r="U12" s="2">
        <v>987062</v>
      </c>
      <c r="V12" s="2">
        <v>0</v>
      </c>
      <c r="W12" s="2">
        <v>1067110</v>
      </c>
      <c r="X12" s="2">
        <v>1388888</v>
      </c>
      <c r="Y12" s="2">
        <v>750000</v>
      </c>
      <c r="Z12" s="2">
        <v>0</v>
      </c>
      <c r="AA12" s="2">
        <v>2820178</v>
      </c>
      <c r="AB12" s="2">
        <v>423027</v>
      </c>
      <c r="AC12" s="2">
        <v>13640</v>
      </c>
      <c r="AD12" s="2">
        <v>10919829</v>
      </c>
      <c r="AE12" s="2">
        <v>15112889</v>
      </c>
      <c r="AF12" s="2">
        <v>4193060</v>
      </c>
      <c r="AG12" s="2" t="str">
        <f t="shared" si="1"/>
        <v>موديان بزرگ</v>
      </c>
      <c r="AH12" s="2" t="str">
        <f t="shared" si="2"/>
        <v>گروه مالياتي 50 درصدي خدماتي</v>
      </c>
      <c r="AI12" s="2" t="str">
        <f t="shared" si="3"/>
        <v>شعبه شادگان</v>
      </c>
      <c r="AJ12" s="2" t="str">
        <f>"52703310"</f>
        <v>52703310</v>
      </c>
      <c r="AK12" s="2">
        <v>1388888</v>
      </c>
      <c r="AL12" s="2">
        <v>27777760</v>
      </c>
      <c r="AM12" s="2">
        <v>22222240</v>
      </c>
      <c r="AN12" s="2">
        <v>50000000</v>
      </c>
      <c r="AO12" s="2">
        <v>50000000</v>
      </c>
      <c r="AP12" s="2">
        <v>0</v>
      </c>
    </row>
    <row r="13" spans="1:42">
      <c r="A13" s="2" t="str">
        <f>"9157055"</f>
        <v>9157055</v>
      </c>
      <c r="B13" s="2" t="str">
        <f>"نجم باوي فرد"</f>
        <v>نجم باوي فرد</v>
      </c>
      <c r="C13" s="2" t="str">
        <f t="shared" si="0"/>
        <v>توليد توسعه - دارخوين</v>
      </c>
      <c r="D13" s="2">
        <v>1800</v>
      </c>
      <c r="E13" s="2">
        <v>13640</v>
      </c>
      <c r="F13" s="2">
        <v>2509449</v>
      </c>
      <c r="G13" s="2">
        <v>0</v>
      </c>
      <c r="H13" s="2">
        <v>0</v>
      </c>
      <c r="I13" s="2">
        <v>0</v>
      </c>
      <c r="J13" s="2">
        <v>812165</v>
      </c>
      <c r="K13" s="2">
        <v>200000</v>
      </c>
      <c r="L13" s="2">
        <v>1100000</v>
      </c>
      <c r="M13" s="2">
        <v>1012000</v>
      </c>
      <c r="N13" s="2">
        <v>960000</v>
      </c>
      <c r="O13" s="2">
        <v>0</v>
      </c>
      <c r="P13" s="2">
        <v>0</v>
      </c>
      <c r="Q13" s="2">
        <v>10800214</v>
      </c>
      <c r="R13" s="2">
        <v>0</v>
      </c>
      <c r="S13" s="2">
        <v>1053943</v>
      </c>
      <c r="T13" s="2">
        <v>0</v>
      </c>
      <c r="U13" s="2">
        <v>1163652</v>
      </c>
      <c r="V13" s="2">
        <v>0</v>
      </c>
      <c r="W13" s="2">
        <v>1231331</v>
      </c>
      <c r="X13" s="2">
        <v>1388888</v>
      </c>
      <c r="Y13" s="2">
        <v>750000</v>
      </c>
      <c r="Z13" s="2">
        <v>0</v>
      </c>
      <c r="AA13" s="2">
        <v>3324721</v>
      </c>
      <c r="AB13" s="2">
        <v>498708</v>
      </c>
      <c r="AC13" s="2">
        <v>13640</v>
      </c>
      <c r="AD13" s="2">
        <v>13913900</v>
      </c>
      <c r="AE13" s="2">
        <v>18447771</v>
      </c>
      <c r="AF13" s="2">
        <v>4533871</v>
      </c>
      <c r="AG13" s="2" t="str">
        <f t="shared" si="1"/>
        <v>موديان بزرگ</v>
      </c>
      <c r="AH13" s="2" t="str">
        <f t="shared" si="2"/>
        <v>گروه مالياتي 50 درصدي خدماتي</v>
      </c>
      <c r="AI13" s="2" t="str">
        <f t="shared" si="3"/>
        <v>شعبه شادگان</v>
      </c>
      <c r="AJ13" s="2" t="str">
        <f>"52554911"</f>
        <v>52554911</v>
      </c>
      <c r="AK13" s="2">
        <v>1388888</v>
      </c>
      <c r="AL13" s="2">
        <v>26388872</v>
      </c>
      <c r="AM13" s="2">
        <v>23611128</v>
      </c>
      <c r="AN13" s="2">
        <v>50000000</v>
      </c>
      <c r="AO13" s="2">
        <v>50000000</v>
      </c>
      <c r="AP13" s="2">
        <v>0</v>
      </c>
    </row>
    <row r="14" spans="1:42">
      <c r="A14" s="2" t="str">
        <f>"9157056"</f>
        <v>9157056</v>
      </c>
      <c r="B14" s="2" t="str">
        <f>"سعيد بدوي"</f>
        <v>سعيد بدوي</v>
      </c>
      <c r="C14" s="2" t="str">
        <f t="shared" si="0"/>
        <v>توليد توسعه - دارخوين</v>
      </c>
      <c r="D14" s="2">
        <v>0</v>
      </c>
      <c r="E14" s="2">
        <v>13640</v>
      </c>
      <c r="F14" s="2">
        <v>0</v>
      </c>
      <c r="G14" s="2">
        <v>0</v>
      </c>
      <c r="H14" s="2">
        <v>0</v>
      </c>
      <c r="I14" s="2">
        <v>0</v>
      </c>
      <c r="J14" s="2">
        <v>1624330</v>
      </c>
      <c r="K14" s="2">
        <v>200000</v>
      </c>
      <c r="L14" s="2">
        <v>1100000</v>
      </c>
      <c r="M14" s="2">
        <v>1012000</v>
      </c>
      <c r="N14" s="2">
        <v>960000</v>
      </c>
      <c r="O14" s="2">
        <v>0</v>
      </c>
      <c r="P14" s="2">
        <v>0</v>
      </c>
      <c r="Q14" s="2">
        <v>10341569</v>
      </c>
      <c r="R14" s="2">
        <v>0</v>
      </c>
      <c r="S14" s="2">
        <v>1040675</v>
      </c>
      <c r="T14" s="2">
        <v>0</v>
      </c>
      <c r="U14" s="2">
        <v>954957</v>
      </c>
      <c r="V14" s="2">
        <v>0</v>
      </c>
      <c r="W14" s="2">
        <v>1125854</v>
      </c>
      <c r="X14" s="2">
        <v>1388888</v>
      </c>
      <c r="Y14" s="2">
        <v>750000</v>
      </c>
      <c r="Z14" s="2">
        <v>0</v>
      </c>
      <c r="AA14" s="2">
        <v>2728449</v>
      </c>
      <c r="AB14" s="2">
        <v>409267</v>
      </c>
      <c r="AC14" s="2">
        <v>13640</v>
      </c>
      <c r="AD14" s="2">
        <v>12058875</v>
      </c>
      <c r="AE14" s="2">
        <v>16278574</v>
      </c>
      <c r="AF14" s="2">
        <v>4219699</v>
      </c>
      <c r="AG14" s="2" t="str">
        <f t="shared" si="1"/>
        <v>موديان بزرگ</v>
      </c>
      <c r="AH14" s="2" t="str">
        <f t="shared" si="2"/>
        <v>گروه مالياتي 50 درصدي خدماتي</v>
      </c>
      <c r="AI14" s="2" t="str">
        <f t="shared" si="3"/>
        <v>شعبه شادگان</v>
      </c>
      <c r="AJ14" s="2" t="str">
        <f>"50354983"</f>
        <v>50354983</v>
      </c>
      <c r="AK14" s="2">
        <v>1388888</v>
      </c>
      <c r="AL14" s="2">
        <v>41666640</v>
      </c>
      <c r="AM14" s="2">
        <v>8333360</v>
      </c>
      <c r="AN14" s="2">
        <v>50000000</v>
      </c>
      <c r="AO14" s="2">
        <v>50000000</v>
      </c>
      <c r="AP14" s="2">
        <v>0</v>
      </c>
    </row>
    <row r="15" spans="1:42">
      <c r="A15" s="2" t="str">
        <f>"9157057"</f>
        <v>9157057</v>
      </c>
      <c r="B15" s="2" t="str">
        <f>"عباس بدوي"</f>
        <v>عباس بدوي</v>
      </c>
      <c r="C15" s="2" t="str">
        <f t="shared" si="0"/>
        <v>توليد توسعه - دارخوين</v>
      </c>
      <c r="D15" s="2">
        <v>0</v>
      </c>
      <c r="E15" s="2">
        <v>13640</v>
      </c>
      <c r="F15" s="2">
        <v>0</v>
      </c>
      <c r="G15" s="2">
        <v>0</v>
      </c>
      <c r="H15" s="2">
        <v>0</v>
      </c>
      <c r="I15" s="2">
        <v>0</v>
      </c>
      <c r="J15" s="2">
        <v>3248660</v>
      </c>
      <c r="K15" s="2">
        <v>200000</v>
      </c>
      <c r="L15" s="2">
        <v>1100000</v>
      </c>
      <c r="M15" s="2">
        <v>1012000</v>
      </c>
      <c r="N15" s="2">
        <v>960000</v>
      </c>
      <c r="O15" s="2">
        <v>0</v>
      </c>
      <c r="P15" s="2">
        <v>0</v>
      </c>
      <c r="Q15" s="2">
        <v>11946842</v>
      </c>
      <c r="R15" s="2">
        <v>0</v>
      </c>
      <c r="S15" s="2">
        <v>1080479</v>
      </c>
      <c r="T15" s="2">
        <v>0</v>
      </c>
      <c r="U15" s="2">
        <v>1070112</v>
      </c>
      <c r="V15" s="2">
        <v>0</v>
      </c>
      <c r="W15" s="2">
        <v>1287678</v>
      </c>
      <c r="X15" s="2">
        <v>1388888</v>
      </c>
      <c r="Y15" s="2">
        <v>750000</v>
      </c>
      <c r="Z15" s="2">
        <v>0</v>
      </c>
      <c r="AA15" s="2">
        <v>3057464</v>
      </c>
      <c r="AB15" s="2">
        <v>458620</v>
      </c>
      <c r="AC15" s="2">
        <v>13640</v>
      </c>
      <c r="AD15" s="2">
        <v>15051303</v>
      </c>
      <c r="AE15" s="2">
        <v>19547981</v>
      </c>
      <c r="AF15" s="2">
        <v>4496678</v>
      </c>
      <c r="AG15" s="2" t="str">
        <f t="shared" si="1"/>
        <v>موديان بزرگ</v>
      </c>
      <c r="AH15" s="2" t="str">
        <f t="shared" si="2"/>
        <v>گروه مالياتي 50 درصدي خدماتي</v>
      </c>
      <c r="AI15" s="2" t="str">
        <f t="shared" si="3"/>
        <v>شعبه شادگان</v>
      </c>
      <c r="AJ15" s="2" t="str">
        <f>"50546913"</f>
        <v>50546913</v>
      </c>
      <c r="AK15" s="2">
        <v>1388888</v>
      </c>
      <c r="AL15" s="2">
        <v>28611112</v>
      </c>
      <c r="AM15" s="2">
        <v>1388888</v>
      </c>
      <c r="AN15" s="2">
        <v>30000000</v>
      </c>
      <c r="AO15" s="2">
        <v>30000000</v>
      </c>
      <c r="AP15" s="2">
        <v>0</v>
      </c>
    </row>
    <row r="16" spans="1:42">
      <c r="A16" s="2" t="str">
        <f>"9157058"</f>
        <v>9157058</v>
      </c>
      <c r="B16" s="2" t="str">
        <f>"طاهر پورحزبه"</f>
        <v>طاهر پورحزبه</v>
      </c>
      <c r="C16" s="2" t="str">
        <f t="shared" si="0"/>
        <v>توليد توسعه - دارخوين</v>
      </c>
      <c r="D16" s="2">
        <v>0</v>
      </c>
      <c r="E16" s="2">
        <v>13640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200000</v>
      </c>
      <c r="L16" s="2">
        <v>1100000</v>
      </c>
      <c r="M16" s="2">
        <v>1012000</v>
      </c>
      <c r="N16" s="2">
        <v>960000</v>
      </c>
      <c r="O16" s="2">
        <v>0</v>
      </c>
      <c r="P16" s="2">
        <v>0</v>
      </c>
      <c r="Q16" s="2">
        <v>11946842</v>
      </c>
      <c r="R16" s="2">
        <v>0</v>
      </c>
      <c r="S16" s="2">
        <v>1080479</v>
      </c>
      <c r="T16" s="2">
        <v>0</v>
      </c>
      <c r="U16" s="2">
        <v>1070112</v>
      </c>
      <c r="V16" s="2">
        <v>0</v>
      </c>
      <c r="W16" s="2">
        <v>1125245</v>
      </c>
      <c r="X16" s="2">
        <v>0</v>
      </c>
      <c r="Y16" s="2">
        <v>0</v>
      </c>
      <c r="Z16" s="2">
        <v>0</v>
      </c>
      <c r="AA16" s="2">
        <v>3057464</v>
      </c>
      <c r="AB16" s="2">
        <v>458620</v>
      </c>
      <c r="AC16" s="2">
        <v>13640</v>
      </c>
      <c r="AD16" s="2">
        <v>14103964</v>
      </c>
      <c r="AE16" s="2">
        <v>16299321</v>
      </c>
      <c r="AF16" s="2">
        <v>2195357</v>
      </c>
      <c r="AG16" s="2" t="str">
        <f t="shared" si="1"/>
        <v>موديان بزرگ</v>
      </c>
      <c r="AH16" s="2" t="str">
        <f t="shared" si="2"/>
        <v>گروه مالياتي 50 درصدي خدماتي</v>
      </c>
      <c r="AI16" s="2" t="str">
        <f t="shared" si="3"/>
        <v>شعبه شادگان</v>
      </c>
      <c r="AJ16" s="2" t="str">
        <f>"52537454"</f>
        <v>52537454</v>
      </c>
    </row>
    <row r="17" spans="1:42">
      <c r="A17" s="2" t="str">
        <f>"9157059"</f>
        <v>9157059</v>
      </c>
      <c r="B17" s="2" t="str">
        <f>"رحمه سياحي"</f>
        <v>رحمه سياحي</v>
      </c>
      <c r="C17" s="2" t="str">
        <f t="shared" si="0"/>
        <v>توليد توسعه - دارخوين</v>
      </c>
      <c r="D17" s="2">
        <v>60</v>
      </c>
      <c r="E17" s="2">
        <v>13640</v>
      </c>
      <c r="F17" s="2">
        <v>76086</v>
      </c>
      <c r="G17" s="2">
        <v>0</v>
      </c>
      <c r="H17" s="2">
        <v>0</v>
      </c>
      <c r="I17" s="2">
        <v>0</v>
      </c>
      <c r="J17" s="2">
        <v>1624330</v>
      </c>
      <c r="K17" s="2">
        <v>200000</v>
      </c>
      <c r="L17" s="2">
        <v>1100000</v>
      </c>
      <c r="M17" s="2">
        <v>1012000</v>
      </c>
      <c r="N17" s="2">
        <v>960000</v>
      </c>
      <c r="O17" s="2">
        <v>0</v>
      </c>
      <c r="P17" s="2">
        <v>0</v>
      </c>
      <c r="Q17" s="2">
        <v>9424310</v>
      </c>
      <c r="R17" s="2">
        <v>343976</v>
      </c>
      <c r="S17" s="2">
        <v>1014139</v>
      </c>
      <c r="T17" s="2">
        <v>0</v>
      </c>
      <c r="U17" s="2">
        <v>918296</v>
      </c>
      <c r="V17" s="2">
        <v>0</v>
      </c>
      <c r="W17" s="2">
        <v>1100190</v>
      </c>
      <c r="X17" s="2">
        <v>1388888</v>
      </c>
      <c r="Y17" s="2">
        <v>750000</v>
      </c>
      <c r="Z17" s="2">
        <v>0</v>
      </c>
      <c r="AA17" s="2">
        <v>2623702</v>
      </c>
      <c r="AB17" s="2">
        <v>393555</v>
      </c>
      <c r="AC17" s="2">
        <v>13640</v>
      </c>
      <c r="AD17" s="2">
        <v>11597467</v>
      </c>
      <c r="AE17" s="2">
        <v>15754841</v>
      </c>
      <c r="AF17" s="2">
        <v>4157374</v>
      </c>
      <c r="AG17" s="2" t="str">
        <f t="shared" si="1"/>
        <v>موديان بزرگ</v>
      </c>
      <c r="AH17" s="2" t="str">
        <f t="shared" si="2"/>
        <v>گروه مالياتي 50 درصدي خدماتي</v>
      </c>
      <c r="AI17" s="2" t="str">
        <f t="shared" si="3"/>
        <v>شعبه شادگان</v>
      </c>
      <c r="AJ17" s="2" t="str">
        <f>"57963719"</f>
        <v>57963719</v>
      </c>
      <c r="AK17" s="2">
        <v>1388888</v>
      </c>
      <c r="AL17" s="2">
        <v>5555552</v>
      </c>
      <c r="AM17" s="2">
        <v>44444448</v>
      </c>
      <c r="AN17" s="2">
        <v>50000000</v>
      </c>
      <c r="AO17" s="2">
        <v>50000000</v>
      </c>
      <c r="AP17" s="2">
        <v>0</v>
      </c>
    </row>
    <row r="18" spans="1:42">
      <c r="A18" s="2" t="str">
        <f>"9157060"</f>
        <v>9157060</v>
      </c>
      <c r="B18" s="2" t="str">
        <f>"مرد سياحي"</f>
        <v>مرد سياحي</v>
      </c>
      <c r="C18" s="2" t="str">
        <f t="shared" si="0"/>
        <v>توليد توسعه - دارخوين</v>
      </c>
      <c r="D18" s="2">
        <v>0</v>
      </c>
      <c r="E18" s="2">
        <v>13640</v>
      </c>
      <c r="F18" s="2">
        <v>0</v>
      </c>
      <c r="G18" s="2">
        <v>0</v>
      </c>
      <c r="H18" s="2">
        <v>0</v>
      </c>
      <c r="I18" s="2">
        <v>0</v>
      </c>
      <c r="J18" s="2">
        <v>1624330</v>
      </c>
      <c r="K18" s="2">
        <v>200000</v>
      </c>
      <c r="L18" s="2">
        <v>1100000</v>
      </c>
      <c r="M18" s="2">
        <v>1012000</v>
      </c>
      <c r="N18" s="2">
        <v>960000</v>
      </c>
      <c r="O18" s="2">
        <v>0</v>
      </c>
      <c r="P18" s="2">
        <v>420373</v>
      </c>
      <c r="Q18" s="2">
        <v>9424310</v>
      </c>
      <c r="R18" s="2">
        <v>0</v>
      </c>
      <c r="S18" s="2">
        <v>1014139</v>
      </c>
      <c r="T18" s="2">
        <v>0</v>
      </c>
      <c r="U18" s="2">
        <v>918318</v>
      </c>
      <c r="V18" s="2">
        <v>0</v>
      </c>
      <c r="W18" s="2">
        <v>1100205</v>
      </c>
      <c r="X18" s="2">
        <v>1388888</v>
      </c>
      <c r="Y18" s="2">
        <v>750000</v>
      </c>
      <c r="Z18" s="2">
        <v>0</v>
      </c>
      <c r="AA18" s="2">
        <v>2623764</v>
      </c>
      <c r="AB18" s="2">
        <v>393565</v>
      </c>
      <c r="AC18" s="2">
        <v>13640</v>
      </c>
      <c r="AD18" s="2">
        <v>11597741</v>
      </c>
      <c r="AE18" s="2">
        <v>15755152</v>
      </c>
      <c r="AF18" s="2">
        <v>4157411</v>
      </c>
      <c r="AG18" s="2" t="str">
        <f t="shared" si="1"/>
        <v>موديان بزرگ</v>
      </c>
      <c r="AH18" s="2" t="str">
        <f t="shared" si="2"/>
        <v>گروه مالياتي 50 درصدي خدماتي</v>
      </c>
      <c r="AI18" s="2" t="str">
        <f t="shared" si="3"/>
        <v>شعبه شادگان</v>
      </c>
      <c r="AJ18" s="2" t="str">
        <f>"57787686"</f>
        <v>57787686</v>
      </c>
      <c r="AK18" s="2">
        <v>1388888</v>
      </c>
      <c r="AL18" s="2">
        <v>11111136</v>
      </c>
      <c r="AM18" s="2">
        <v>38888864</v>
      </c>
      <c r="AN18" s="2">
        <v>50000000</v>
      </c>
      <c r="AO18" s="2">
        <v>50000000</v>
      </c>
      <c r="AP18" s="2">
        <v>0</v>
      </c>
    </row>
    <row r="19" spans="1:42">
      <c r="A19" s="2" t="str">
        <f>"9157065"</f>
        <v>9157065</v>
      </c>
      <c r="B19" s="2" t="str">
        <f>"رحيم عقباوي"</f>
        <v>رحيم عقباوي</v>
      </c>
      <c r="C19" s="2" t="str">
        <f t="shared" si="0"/>
        <v>توليد توسعه - دارخوين</v>
      </c>
      <c r="D19" s="2">
        <v>3000</v>
      </c>
      <c r="E19" s="2">
        <v>13640</v>
      </c>
      <c r="F19" s="2">
        <v>4182414</v>
      </c>
      <c r="G19" s="2">
        <v>0</v>
      </c>
      <c r="H19" s="2">
        <v>0</v>
      </c>
      <c r="I19" s="2">
        <v>0</v>
      </c>
      <c r="J19" s="2">
        <v>2436495</v>
      </c>
      <c r="K19" s="2">
        <v>200000</v>
      </c>
      <c r="L19" s="2">
        <v>1100000</v>
      </c>
      <c r="M19" s="2">
        <v>1012000</v>
      </c>
      <c r="N19" s="2">
        <v>960000</v>
      </c>
      <c r="O19" s="2">
        <v>0</v>
      </c>
      <c r="P19" s="2">
        <v>0</v>
      </c>
      <c r="Q19" s="2">
        <v>10800214</v>
      </c>
      <c r="R19" s="2">
        <v>0</v>
      </c>
      <c r="S19" s="2">
        <v>1053943</v>
      </c>
      <c r="T19" s="2">
        <v>0</v>
      </c>
      <c r="U19" s="2">
        <v>1280760</v>
      </c>
      <c r="V19" s="2">
        <v>0</v>
      </c>
      <c r="W19" s="2">
        <v>1394523</v>
      </c>
      <c r="X19" s="2">
        <v>1388888</v>
      </c>
      <c r="Y19" s="2">
        <v>750000</v>
      </c>
      <c r="Z19" s="2">
        <v>0</v>
      </c>
      <c r="AA19" s="2">
        <v>3659314</v>
      </c>
      <c r="AB19" s="2">
        <v>548897</v>
      </c>
      <c r="AC19" s="2">
        <v>13640</v>
      </c>
      <c r="AD19" s="2">
        <v>16930895</v>
      </c>
      <c r="AE19" s="2">
        <v>21745066</v>
      </c>
      <c r="AF19" s="2">
        <v>4814171</v>
      </c>
      <c r="AG19" s="2" t="str">
        <f t="shared" si="1"/>
        <v>موديان بزرگ</v>
      </c>
      <c r="AH19" s="2" t="str">
        <f t="shared" si="2"/>
        <v>گروه مالياتي 50 درصدي خدماتي</v>
      </c>
      <c r="AI19" s="2" t="str">
        <f t="shared" si="3"/>
        <v>شعبه شادگان</v>
      </c>
      <c r="AJ19" s="2" t="str">
        <f>"57950611"</f>
        <v>57950611</v>
      </c>
      <c r="AK19" s="2">
        <v>1388888</v>
      </c>
      <c r="AL19" s="2">
        <v>28611112</v>
      </c>
      <c r="AM19" s="2">
        <v>1388888</v>
      </c>
      <c r="AN19" s="2">
        <v>30000000</v>
      </c>
      <c r="AO19" s="2">
        <v>30000000</v>
      </c>
      <c r="AP19" s="2">
        <v>0</v>
      </c>
    </row>
    <row r="20" spans="1:42">
      <c r="A20" s="2" t="str">
        <f>"9157066"</f>
        <v>9157066</v>
      </c>
      <c r="B20" s="2" t="str">
        <f>"جمشيد فرحانيان"</f>
        <v>جمشيد فرحانيان</v>
      </c>
      <c r="C20" s="2" t="str">
        <f t="shared" si="0"/>
        <v>توليد توسعه - دارخوين</v>
      </c>
      <c r="D20" s="2">
        <v>1680</v>
      </c>
      <c r="E20" s="2">
        <v>13640</v>
      </c>
      <c r="F20" s="2">
        <v>2458043</v>
      </c>
      <c r="G20" s="2">
        <v>0</v>
      </c>
      <c r="H20" s="2">
        <v>0</v>
      </c>
      <c r="I20" s="2">
        <v>0</v>
      </c>
      <c r="J20" s="2">
        <v>3248660</v>
      </c>
      <c r="K20" s="2">
        <v>200000</v>
      </c>
      <c r="L20" s="2">
        <v>1100000</v>
      </c>
      <c r="M20" s="2">
        <v>1012000</v>
      </c>
      <c r="N20" s="2">
        <v>960000</v>
      </c>
      <c r="O20" s="2">
        <v>0</v>
      </c>
      <c r="P20" s="2">
        <v>0</v>
      </c>
      <c r="Q20" s="2">
        <v>11373497</v>
      </c>
      <c r="R20" s="2">
        <v>0</v>
      </c>
      <c r="S20" s="2">
        <v>1067211</v>
      </c>
      <c r="T20" s="2">
        <v>0</v>
      </c>
      <c r="U20" s="2">
        <v>1201113</v>
      </c>
      <c r="V20" s="2">
        <v>0</v>
      </c>
      <c r="W20" s="2">
        <v>1379378</v>
      </c>
      <c r="X20" s="2">
        <v>0</v>
      </c>
      <c r="Y20" s="2">
        <v>750000</v>
      </c>
      <c r="Z20" s="2">
        <v>0</v>
      </c>
      <c r="AA20" s="2">
        <v>3431750</v>
      </c>
      <c r="AB20" s="2">
        <v>514763</v>
      </c>
      <c r="AC20" s="2">
        <v>13640</v>
      </c>
      <c r="AD20" s="2">
        <v>18088920</v>
      </c>
      <c r="AE20" s="2">
        <v>21419411</v>
      </c>
      <c r="AF20" s="2">
        <v>3330491</v>
      </c>
      <c r="AG20" s="2" t="str">
        <f t="shared" si="1"/>
        <v>موديان بزرگ</v>
      </c>
      <c r="AH20" s="2" t="str">
        <f t="shared" si="2"/>
        <v>گروه مالياتي 50 درصدي خدماتي</v>
      </c>
      <c r="AI20" s="2" t="str">
        <f t="shared" si="3"/>
        <v>شعبه شادگان</v>
      </c>
      <c r="AJ20" s="2" t="str">
        <f>"57951656"</f>
        <v>57951656</v>
      </c>
    </row>
    <row r="21" spans="1:42">
      <c r="A21" s="2" t="str">
        <f>"9157068"</f>
        <v>9157068</v>
      </c>
      <c r="B21" s="2" t="str">
        <f>"مجتبي قنواتي زاده"</f>
        <v>مجتبي قنواتي زاده</v>
      </c>
      <c r="C21" s="2" t="str">
        <f t="shared" si="0"/>
        <v>توليد توسعه - دارخوين</v>
      </c>
      <c r="D21" s="2">
        <v>0</v>
      </c>
      <c r="E21" s="2">
        <v>13640</v>
      </c>
      <c r="F21" s="2">
        <v>0</v>
      </c>
      <c r="G21" s="2">
        <v>0</v>
      </c>
      <c r="H21" s="2">
        <v>0</v>
      </c>
      <c r="I21" s="2">
        <v>0</v>
      </c>
      <c r="J21" s="2">
        <v>1624330</v>
      </c>
      <c r="K21" s="2">
        <v>200000</v>
      </c>
      <c r="L21" s="2">
        <v>1100000</v>
      </c>
      <c r="M21" s="2">
        <v>1012000</v>
      </c>
      <c r="N21" s="2">
        <v>960000</v>
      </c>
      <c r="O21" s="2">
        <v>0</v>
      </c>
      <c r="P21" s="2">
        <v>0</v>
      </c>
      <c r="Q21" s="2">
        <v>10800214</v>
      </c>
      <c r="R21" s="2">
        <v>0</v>
      </c>
      <c r="S21" s="2">
        <v>1053943</v>
      </c>
      <c r="T21" s="2">
        <v>0</v>
      </c>
      <c r="U21" s="2">
        <v>987991</v>
      </c>
      <c r="V21" s="2">
        <v>0</v>
      </c>
      <c r="W21" s="2">
        <v>1148977</v>
      </c>
      <c r="X21" s="2">
        <v>1388888</v>
      </c>
      <c r="Y21" s="2">
        <v>750000</v>
      </c>
      <c r="Z21" s="2">
        <v>0</v>
      </c>
      <c r="AA21" s="2">
        <v>2822831</v>
      </c>
      <c r="AB21" s="2">
        <v>423425</v>
      </c>
      <c r="AC21" s="2">
        <v>13640</v>
      </c>
      <c r="AD21" s="2">
        <v>12474631</v>
      </c>
      <c r="AE21" s="2">
        <v>16750487</v>
      </c>
      <c r="AF21" s="2">
        <v>4275856</v>
      </c>
      <c r="AG21" s="2" t="str">
        <f t="shared" si="1"/>
        <v>موديان بزرگ</v>
      </c>
      <c r="AH21" s="2" t="str">
        <f t="shared" si="2"/>
        <v>گروه مالياتي 50 درصدي خدماتي</v>
      </c>
      <c r="AI21" s="2" t="str">
        <f t="shared" si="3"/>
        <v>شعبه شادگان</v>
      </c>
      <c r="AJ21" s="2" t="str">
        <f>"57964338"</f>
        <v>57964338</v>
      </c>
      <c r="AK21" s="2">
        <v>1388888</v>
      </c>
      <c r="AL21" s="2">
        <v>30555536</v>
      </c>
      <c r="AM21" s="2">
        <v>19444464</v>
      </c>
      <c r="AN21" s="2">
        <v>50000000</v>
      </c>
      <c r="AO21" s="2">
        <v>50000000</v>
      </c>
      <c r="AP21" s="2">
        <v>0</v>
      </c>
    </row>
    <row r="22" spans="1:42">
      <c r="A22" s="2" t="str">
        <f>"9157069"</f>
        <v>9157069</v>
      </c>
      <c r="B22" s="2" t="str">
        <f>"رضا محمدحسيني"</f>
        <v>رضا محمدحسيني</v>
      </c>
      <c r="C22" s="2" t="str">
        <f t="shared" si="0"/>
        <v>توليد توسعه - دارخوين</v>
      </c>
      <c r="D22" s="2">
        <v>0</v>
      </c>
      <c r="E22" s="2">
        <v>13640</v>
      </c>
      <c r="F22" s="2">
        <v>0</v>
      </c>
      <c r="G22" s="2">
        <v>0</v>
      </c>
      <c r="H22" s="2">
        <v>0</v>
      </c>
      <c r="I22" s="2">
        <v>0</v>
      </c>
      <c r="J22" s="2">
        <v>812165</v>
      </c>
      <c r="K22" s="2">
        <v>200000</v>
      </c>
      <c r="L22" s="2">
        <v>1100000</v>
      </c>
      <c r="M22" s="2">
        <v>1012000</v>
      </c>
      <c r="N22" s="2">
        <v>960000</v>
      </c>
      <c r="O22" s="2">
        <v>0</v>
      </c>
      <c r="P22" s="2">
        <v>0</v>
      </c>
      <c r="Q22" s="2">
        <v>14010636</v>
      </c>
      <c r="R22" s="2">
        <v>0</v>
      </c>
      <c r="S22" s="2">
        <v>1133551</v>
      </c>
      <c r="T22" s="2">
        <v>0</v>
      </c>
      <c r="U22" s="2">
        <v>1218293</v>
      </c>
      <c r="V22" s="2">
        <v>0</v>
      </c>
      <c r="W22" s="2">
        <v>1269581</v>
      </c>
      <c r="X22" s="2">
        <v>1823888</v>
      </c>
      <c r="Y22" s="2">
        <v>750000</v>
      </c>
      <c r="Z22" s="2">
        <v>0</v>
      </c>
      <c r="AA22" s="2">
        <v>3480837</v>
      </c>
      <c r="AB22" s="2">
        <v>522126</v>
      </c>
      <c r="AC22" s="2">
        <v>13640</v>
      </c>
      <c r="AD22" s="2">
        <v>14166590</v>
      </c>
      <c r="AE22" s="2">
        <v>19228352</v>
      </c>
      <c r="AF22" s="2">
        <v>5061762</v>
      </c>
      <c r="AG22" s="2" t="str">
        <f t="shared" si="1"/>
        <v>موديان بزرگ</v>
      </c>
      <c r="AH22" s="2" t="str">
        <f t="shared" si="2"/>
        <v>گروه مالياتي 50 درصدي خدماتي</v>
      </c>
      <c r="AI22" s="2" t="str">
        <f t="shared" si="3"/>
        <v>شعبه شادگان</v>
      </c>
      <c r="AJ22" s="2" t="str">
        <f>"57964159"</f>
        <v>57964159</v>
      </c>
      <c r="AK22" s="2">
        <v>1388888</v>
      </c>
      <c r="AL22" s="2">
        <v>40277752</v>
      </c>
      <c r="AM22" s="2">
        <v>9722248</v>
      </c>
      <c r="AN22" s="2">
        <v>50000000</v>
      </c>
      <c r="AO22" s="2">
        <v>50000000</v>
      </c>
      <c r="AP22" s="2">
        <v>435000</v>
      </c>
    </row>
    <row r="23" spans="1:42">
      <c r="A23" s="2" t="str">
        <f>"9157070"</f>
        <v>9157070</v>
      </c>
      <c r="B23" s="2" t="str">
        <f>"فاضل مقدم"</f>
        <v>فاضل مقدم</v>
      </c>
      <c r="C23" s="2" t="str">
        <f t="shared" si="0"/>
        <v>توليد توسعه - دارخوين</v>
      </c>
      <c r="D23" s="2">
        <v>60</v>
      </c>
      <c r="E23" s="2">
        <v>13640</v>
      </c>
      <c r="F23" s="2">
        <v>87787</v>
      </c>
      <c r="G23" s="2">
        <v>0</v>
      </c>
      <c r="H23" s="2">
        <v>0</v>
      </c>
      <c r="I23" s="2">
        <v>0</v>
      </c>
      <c r="J23" s="2">
        <v>2436495</v>
      </c>
      <c r="K23" s="2">
        <v>200000</v>
      </c>
      <c r="L23" s="2">
        <v>1100000</v>
      </c>
      <c r="M23" s="2">
        <v>1012000</v>
      </c>
      <c r="N23" s="2">
        <v>960000</v>
      </c>
      <c r="O23" s="2">
        <v>0</v>
      </c>
      <c r="P23" s="2">
        <v>0</v>
      </c>
      <c r="Q23" s="2">
        <v>11373497</v>
      </c>
      <c r="R23" s="2">
        <v>0</v>
      </c>
      <c r="S23" s="2">
        <v>1067211</v>
      </c>
      <c r="T23" s="2">
        <v>0</v>
      </c>
      <c r="U23" s="2">
        <v>1035195</v>
      </c>
      <c r="V23" s="2">
        <v>0</v>
      </c>
      <c r="W23" s="2">
        <v>1222628</v>
      </c>
      <c r="X23" s="2">
        <v>0</v>
      </c>
      <c r="Y23" s="2">
        <v>0</v>
      </c>
      <c r="Z23" s="2">
        <v>0</v>
      </c>
      <c r="AA23" s="2">
        <v>2957699</v>
      </c>
      <c r="AB23" s="2">
        <v>443655</v>
      </c>
      <c r="AC23" s="2">
        <v>13640</v>
      </c>
      <c r="AD23" s="2">
        <v>15979167</v>
      </c>
      <c r="AE23" s="2">
        <v>18236990</v>
      </c>
      <c r="AF23" s="2">
        <v>2257823</v>
      </c>
      <c r="AG23" s="2" t="str">
        <f t="shared" si="1"/>
        <v>موديان بزرگ</v>
      </c>
      <c r="AH23" s="2" t="str">
        <f t="shared" si="2"/>
        <v>گروه مالياتي 50 درصدي خدماتي</v>
      </c>
      <c r="AI23" s="2" t="str">
        <f t="shared" si="3"/>
        <v>شعبه شادگان</v>
      </c>
      <c r="AJ23" s="2" t="str">
        <f>"76306655"</f>
        <v>76306655</v>
      </c>
    </row>
    <row r="24" spans="1:42">
      <c r="A24" s="2" t="str">
        <f>"9157072"</f>
        <v>9157072</v>
      </c>
      <c r="B24" s="2" t="str">
        <f>"محمدامين نادري"</f>
        <v>محمدامين نادري</v>
      </c>
      <c r="C24" s="2" t="str">
        <f t="shared" si="0"/>
        <v>توليد توسعه - دارخوين</v>
      </c>
      <c r="D24" s="2">
        <v>0</v>
      </c>
      <c r="E24" s="2">
        <v>13640</v>
      </c>
      <c r="F24" s="2">
        <v>0</v>
      </c>
      <c r="G24" s="2">
        <v>0</v>
      </c>
      <c r="H24" s="2">
        <v>0</v>
      </c>
      <c r="I24" s="2">
        <v>0</v>
      </c>
      <c r="J24" s="2">
        <v>812165</v>
      </c>
      <c r="K24" s="2">
        <v>200000</v>
      </c>
      <c r="L24" s="2">
        <v>1100000</v>
      </c>
      <c r="M24" s="2">
        <v>1012000</v>
      </c>
      <c r="N24" s="2">
        <v>960000</v>
      </c>
      <c r="O24" s="2">
        <v>0</v>
      </c>
      <c r="P24" s="2">
        <v>0</v>
      </c>
      <c r="Q24" s="2">
        <v>10341569</v>
      </c>
      <c r="R24" s="2">
        <v>0</v>
      </c>
      <c r="S24" s="2">
        <v>1047743</v>
      </c>
      <c r="T24" s="2">
        <v>0</v>
      </c>
      <c r="U24" s="2">
        <v>955452</v>
      </c>
      <c r="V24" s="2">
        <v>0</v>
      </c>
      <c r="W24" s="2">
        <v>1085591</v>
      </c>
      <c r="X24" s="2">
        <v>1388888</v>
      </c>
      <c r="Y24" s="2">
        <v>750000</v>
      </c>
      <c r="Z24" s="2">
        <v>0</v>
      </c>
      <c r="AA24" s="2">
        <v>2729862</v>
      </c>
      <c r="AB24" s="2">
        <v>409479</v>
      </c>
      <c r="AC24" s="2">
        <v>13640</v>
      </c>
      <c r="AD24" s="2">
        <v>11293546</v>
      </c>
      <c r="AE24" s="2">
        <v>15473477</v>
      </c>
      <c r="AF24" s="2">
        <v>4179931</v>
      </c>
      <c r="AG24" s="2" t="str">
        <f t="shared" si="1"/>
        <v>موديان بزرگ</v>
      </c>
      <c r="AH24" s="2" t="str">
        <f t="shared" si="2"/>
        <v>گروه مالياتي 50 درصدي خدماتي</v>
      </c>
      <c r="AI24" s="2" t="str">
        <f t="shared" si="3"/>
        <v>شعبه شادگان</v>
      </c>
      <c r="AJ24" s="2" t="str">
        <f>"57959895"</f>
        <v>57959895</v>
      </c>
      <c r="AK24" s="2">
        <v>1388888</v>
      </c>
      <c r="AL24" s="2">
        <v>12499992</v>
      </c>
      <c r="AM24" s="2">
        <v>37500008</v>
      </c>
      <c r="AN24" s="2">
        <v>50000000</v>
      </c>
      <c r="AO24" s="2">
        <v>50000000</v>
      </c>
      <c r="AP24" s="2">
        <v>0</v>
      </c>
    </row>
    <row r="25" spans="1:42">
      <c r="A25" s="2" t="str">
        <f>"9157075"</f>
        <v>9157075</v>
      </c>
      <c r="B25" s="2" t="str">
        <f>"علي پورحزبه"</f>
        <v>علي پورحزبه</v>
      </c>
      <c r="C25" s="2" t="str">
        <f t="shared" si="0"/>
        <v>توليد توسعه - دارخوين</v>
      </c>
      <c r="D25" s="2">
        <v>0</v>
      </c>
      <c r="E25" s="2">
        <v>13640</v>
      </c>
      <c r="F25" s="2">
        <v>0</v>
      </c>
      <c r="G25" s="2">
        <v>0</v>
      </c>
      <c r="H25" s="2">
        <v>0</v>
      </c>
      <c r="I25" s="2">
        <v>0</v>
      </c>
      <c r="J25" s="2">
        <v>812165</v>
      </c>
      <c r="K25" s="2">
        <v>200000</v>
      </c>
      <c r="L25" s="2">
        <v>1100000</v>
      </c>
      <c r="M25" s="2">
        <v>1012000</v>
      </c>
      <c r="N25" s="2">
        <v>960000</v>
      </c>
      <c r="O25" s="2">
        <v>0</v>
      </c>
      <c r="P25" s="2">
        <v>0</v>
      </c>
      <c r="Q25" s="2">
        <v>10800214</v>
      </c>
      <c r="R25" s="2">
        <v>0</v>
      </c>
      <c r="S25" s="2">
        <v>1046875</v>
      </c>
      <c r="T25" s="2">
        <v>0</v>
      </c>
      <c r="U25" s="2">
        <v>987496</v>
      </c>
      <c r="V25" s="2">
        <v>0</v>
      </c>
      <c r="W25" s="2">
        <v>1108022</v>
      </c>
      <c r="X25" s="2">
        <v>1388888</v>
      </c>
      <c r="Y25" s="2">
        <v>750000</v>
      </c>
      <c r="Z25" s="2">
        <v>0</v>
      </c>
      <c r="AA25" s="2">
        <v>2821418</v>
      </c>
      <c r="AB25" s="2">
        <v>423213</v>
      </c>
      <c r="AC25" s="2">
        <v>13640</v>
      </c>
      <c r="AD25" s="2">
        <v>11696848</v>
      </c>
      <c r="AE25" s="2">
        <v>15931254</v>
      </c>
      <c r="AF25" s="2">
        <v>4234406</v>
      </c>
      <c r="AG25" s="2" t="str">
        <f t="shared" si="1"/>
        <v>موديان بزرگ</v>
      </c>
      <c r="AH25" s="2" t="str">
        <f t="shared" si="2"/>
        <v>گروه مالياتي 50 درصدي خدماتي</v>
      </c>
      <c r="AI25" s="2" t="str">
        <f t="shared" si="3"/>
        <v>شعبه شادگان</v>
      </c>
      <c r="AJ25" s="2" t="str">
        <f>"52551779"</f>
        <v>52551779</v>
      </c>
      <c r="AK25" s="2">
        <v>1388888</v>
      </c>
      <c r="AL25" s="2">
        <v>20833320</v>
      </c>
      <c r="AM25" s="2">
        <v>29166680</v>
      </c>
      <c r="AN25" s="2">
        <v>50000000</v>
      </c>
      <c r="AO25" s="2">
        <v>50000000</v>
      </c>
      <c r="AP25" s="2">
        <v>0</v>
      </c>
    </row>
    <row r="26" spans="1:42">
      <c r="A26" s="2" t="str">
        <f>"9157077"</f>
        <v>9157077</v>
      </c>
      <c r="B26" s="2" t="str">
        <f>"جاسم جامدي باوي"</f>
        <v>جاسم جامدي باوي</v>
      </c>
      <c r="C26" s="2" t="str">
        <f t="shared" si="0"/>
        <v>توليد توسعه - دارخوين</v>
      </c>
      <c r="D26" s="2">
        <v>2400</v>
      </c>
      <c r="E26" s="2">
        <v>13640</v>
      </c>
      <c r="F26" s="2">
        <v>3342186</v>
      </c>
      <c r="G26" s="2">
        <v>0</v>
      </c>
      <c r="H26" s="2">
        <v>0</v>
      </c>
      <c r="I26" s="2">
        <v>0</v>
      </c>
      <c r="J26" s="2">
        <v>1624330</v>
      </c>
      <c r="K26" s="2">
        <v>200000</v>
      </c>
      <c r="L26" s="2">
        <v>1100000</v>
      </c>
      <c r="M26" s="2">
        <v>1012000</v>
      </c>
      <c r="N26" s="2">
        <v>960000</v>
      </c>
      <c r="O26" s="2">
        <v>0</v>
      </c>
      <c r="P26" s="2">
        <v>0</v>
      </c>
      <c r="Q26" s="2">
        <v>10341569</v>
      </c>
      <c r="R26" s="2">
        <v>458645</v>
      </c>
      <c r="S26" s="2">
        <v>1040675</v>
      </c>
      <c r="T26" s="2">
        <v>0</v>
      </c>
      <c r="U26" s="2">
        <v>1221015</v>
      </c>
      <c r="V26" s="2">
        <v>0</v>
      </c>
      <c r="W26" s="2">
        <v>1312093</v>
      </c>
      <c r="X26" s="2">
        <v>1388888</v>
      </c>
      <c r="Y26" s="2">
        <v>750000</v>
      </c>
      <c r="Z26" s="2">
        <v>0</v>
      </c>
      <c r="AA26" s="2">
        <v>3488615</v>
      </c>
      <c r="AB26" s="2">
        <v>523292</v>
      </c>
      <c r="AC26" s="2">
        <v>13640</v>
      </c>
      <c r="AD26" s="2">
        <v>15407409</v>
      </c>
      <c r="AE26" s="2">
        <v>20079405</v>
      </c>
      <c r="AF26" s="2">
        <v>4671996</v>
      </c>
      <c r="AG26" s="2" t="str">
        <f t="shared" si="1"/>
        <v>موديان بزرگ</v>
      </c>
      <c r="AH26" s="2" t="str">
        <f t="shared" si="2"/>
        <v>گروه مالياتي 50 درصدي خدماتي</v>
      </c>
      <c r="AI26" s="2" t="str">
        <f t="shared" si="3"/>
        <v>شعبه شادگان</v>
      </c>
      <c r="AJ26" s="2" t="str">
        <f>"57963718"</f>
        <v>57963718</v>
      </c>
      <c r="AK26" s="2">
        <v>1388888</v>
      </c>
      <c r="AL26" s="2">
        <v>12499992</v>
      </c>
      <c r="AM26" s="2">
        <v>37500008</v>
      </c>
      <c r="AN26" s="2">
        <v>50000000</v>
      </c>
      <c r="AO26" s="2">
        <v>50000000</v>
      </c>
      <c r="AP26" s="2">
        <v>0</v>
      </c>
    </row>
    <row r="27" spans="1:42">
      <c r="A27" s="2" t="str">
        <f>"9157079"</f>
        <v>9157079</v>
      </c>
      <c r="B27" s="2" t="str">
        <f>"مزعل جليزي"</f>
        <v>مزعل جليزي</v>
      </c>
      <c r="C27" s="2" t="str">
        <f t="shared" si="0"/>
        <v>توليد توسعه - دارخوين</v>
      </c>
      <c r="D27" s="2">
        <v>0</v>
      </c>
      <c r="E27" s="2">
        <v>13640</v>
      </c>
      <c r="F27" s="2">
        <v>0</v>
      </c>
      <c r="G27" s="2">
        <v>0</v>
      </c>
      <c r="H27" s="2">
        <v>0</v>
      </c>
      <c r="I27" s="2">
        <v>0</v>
      </c>
      <c r="J27" s="2">
        <v>3248660</v>
      </c>
      <c r="K27" s="2">
        <v>200000</v>
      </c>
      <c r="L27" s="2">
        <v>1100000</v>
      </c>
      <c r="M27" s="2">
        <v>1012000</v>
      </c>
      <c r="N27" s="2">
        <v>960000</v>
      </c>
      <c r="O27" s="2">
        <v>0</v>
      </c>
      <c r="P27" s="2">
        <v>0</v>
      </c>
      <c r="Q27" s="2">
        <v>11946842</v>
      </c>
      <c r="R27" s="2">
        <v>0</v>
      </c>
      <c r="S27" s="2">
        <v>1080479</v>
      </c>
      <c r="T27" s="2">
        <v>0</v>
      </c>
      <c r="U27" s="2">
        <v>1070112</v>
      </c>
      <c r="V27" s="2">
        <v>0</v>
      </c>
      <c r="W27" s="2">
        <v>1287679</v>
      </c>
      <c r="X27" s="2">
        <v>1388888</v>
      </c>
      <c r="Y27" s="2">
        <v>750000</v>
      </c>
      <c r="Z27" s="2">
        <v>0</v>
      </c>
      <c r="AA27" s="2">
        <v>3057464</v>
      </c>
      <c r="AB27" s="2">
        <v>458620</v>
      </c>
      <c r="AC27" s="2">
        <v>13640</v>
      </c>
      <c r="AD27" s="2">
        <v>15051302</v>
      </c>
      <c r="AE27" s="2">
        <v>19547981</v>
      </c>
      <c r="AF27" s="2">
        <v>4496679</v>
      </c>
      <c r="AG27" s="2" t="str">
        <f t="shared" si="1"/>
        <v>موديان بزرگ</v>
      </c>
      <c r="AH27" s="2" t="str">
        <f t="shared" si="2"/>
        <v>گروه مالياتي 50 درصدي خدماتي</v>
      </c>
      <c r="AI27" s="2" t="str">
        <f t="shared" si="3"/>
        <v>شعبه شادگان</v>
      </c>
      <c r="AJ27" s="2" t="str">
        <f>"50090371"</f>
        <v>50090371</v>
      </c>
      <c r="AK27" s="2">
        <v>1388888</v>
      </c>
      <c r="AL27" s="2">
        <v>41666640</v>
      </c>
      <c r="AM27" s="2">
        <v>8333360</v>
      </c>
      <c r="AN27" s="2">
        <v>50000000</v>
      </c>
      <c r="AO27" s="2">
        <v>50000000</v>
      </c>
      <c r="AP27" s="2">
        <v>0</v>
      </c>
    </row>
    <row r="28" spans="1:42">
      <c r="A28" s="2" t="str">
        <f>"9157081"</f>
        <v>9157081</v>
      </c>
      <c r="B28" s="2" t="str">
        <f>"فهد چاملي"</f>
        <v>فهد چاملي</v>
      </c>
      <c r="C28" s="2" t="str">
        <f t="shared" si="0"/>
        <v>توليد توسعه - دارخوين</v>
      </c>
      <c r="D28" s="2">
        <v>0</v>
      </c>
      <c r="E28" s="2">
        <v>5720</v>
      </c>
      <c r="F28" s="2">
        <v>0</v>
      </c>
      <c r="G28" s="2">
        <v>0</v>
      </c>
      <c r="H28" s="2">
        <v>0</v>
      </c>
      <c r="I28" s="2">
        <v>0</v>
      </c>
      <c r="J28" s="2">
        <v>681171</v>
      </c>
      <c r="K28" s="2">
        <v>83871</v>
      </c>
      <c r="L28" s="2">
        <v>461290</v>
      </c>
      <c r="M28" s="2">
        <v>438533</v>
      </c>
      <c r="N28" s="2">
        <v>416000</v>
      </c>
      <c r="O28" s="2">
        <v>0</v>
      </c>
      <c r="P28" s="2">
        <v>0</v>
      </c>
      <c r="Q28" s="2">
        <v>4336787</v>
      </c>
      <c r="R28" s="2">
        <v>0</v>
      </c>
      <c r="S28" s="2">
        <v>439376</v>
      </c>
      <c r="T28" s="2">
        <v>0</v>
      </c>
      <c r="U28" s="2">
        <v>401613</v>
      </c>
      <c r="V28" s="2">
        <v>0</v>
      </c>
      <c r="W28" s="2">
        <v>0</v>
      </c>
      <c r="X28" s="2">
        <v>435000</v>
      </c>
      <c r="Y28" s="2">
        <v>750000</v>
      </c>
      <c r="Z28" s="2">
        <v>0</v>
      </c>
      <c r="AA28" s="2">
        <v>1147465</v>
      </c>
      <c r="AB28" s="2">
        <v>172120</v>
      </c>
      <c r="AC28" s="2">
        <v>5720</v>
      </c>
      <c r="AD28" s="2">
        <v>5270415</v>
      </c>
      <c r="AE28" s="2">
        <v>6857028</v>
      </c>
      <c r="AF28" s="2">
        <v>1586613</v>
      </c>
      <c r="AG28" s="2" t="str">
        <f t="shared" si="1"/>
        <v>موديان بزرگ</v>
      </c>
      <c r="AH28" s="2" t="str">
        <f t="shared" si="2"/>
        <v>گروه مالياتي 50 درصدي خدماتي</v>
      </c>
      <c r="AI28" s="2" t="str">
        <f t="shared" si="3"/>
        <v>شعبه شادگان</v>
      </c>
      <c r="AJ28" s="2" t="str">
        <f>"57961939"</f>
        <v>57961939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435000</v>
      </c>
    </row>
    <row r="29" spans="1:42">
      <c r="A29" s="2" t="str">
        <f>"9157084"</f>
        <v>9157084</v>
      </c>
      <c r="B29" s="2" t="str">
        <f>"ايوب حويزاوي"</f>
        <v>ايوب حويزاوي</v>
      </c>
      <c r="C29" s="2" t="str">
        <f t="shared" si="0"/>
        <v>توليد توسعه - دارخوين</v>
      </c>
      <c r="D29" s="2">
        <v>1680</v>
      </c>
      <c r="E29" s="2">
        <v>13640</v>
      </c>
      <c r="F29" s="2">
        <v>2338745</v>
      </c>
      <c r="G29" s="2">
        <v>0</v>
      </c>
      <c r="H29" s="2">
        <v>0</v>
      </c>
      <c r="I29" s="2">
        <v>0</v>
      </c>
      <c r="J29" s="2">
        <v>1624330</v>
      </c>
      <c r="K29" s="2">
        <v>200000</v>
      </c>
      <c r="L29" s="2">
        <v>1100000</v>
      </c>
      <c r="M29" s="2">
        <v>1012000</v>
      </c>
      <c r="N29" s="2">
        <v>960000</v>
      </c>
      <c r="O29" s="2">
        <v>0</v>
      </c>
      <c r="P29" s="2">
        <v>0</v>
      </c>
      <c r="Q29" s="2">
        <v>10800214</v>
      </c>
      <c r="R29" s="2">
        <v>0</v>
      </c>
      <c r="S29" s="2">
        <v>1036701</v>
      </c>
      <c r="T29" s="2">
        <v>0</v>
      </c>
      <c r="U29" s="2">
        <v>1150496</v>
      </c>
      <c r="V29" s="2">
        <v>0</v>
      </c>
      <c r="W29" s="2">
        <v>208564</v>
      </c>
      <c r="X29" s="2">
        <v>833333</v>
      </c>
      <c r="Y29" s="2">
        <v>750000</v>
      </c>
      <c r="Z29" s="2">
        <v>0</v>
      </c>
      <c r="AA29" s="2">
        <v>3287132</v>
      </c>
      <c r="AB29" s="2">
        <v>493070</v>
      </c>
      <c r="AC29" s="2">
        <v>13640</v>
      </c>
      <c r="AD29" s="2">
        <v>16129597</v>
      </c>
      <c r="AE29" s="2">
        <v>19071990</v>
      </c>
      <c r="AF29" s="2">
        <v>2942393</v>
      </c>
      <c r="AG29" s="2" t="str">
        <f t="shared" si="1"/>
        <v>موديان بزرگ</v>
      </c>
      <c r="AH29" s="2" t="str">
        <f t="shared" si="2"/>
        <v>گروه مالياتي 50 درصدي خدماتي</v>
      </c>
      <c r="AI29" s="2" t="str">
        <f t="shared" si="3"/>
        <v>شعبه شادگان</v>
      </c>
      <c r="AJ29" s="2" t="str">
        <f>"57955080"</f>
        <v>57955080</v>
      </c>
      <c r="AK29" s="2">
        <v>833333</v>
      </c>
      <c r="AL29" s="2">
        <v>23333324</v>
      </c>
      <c r="AM29" s="2">
        <v>6666676</v>
      </c>
      <c r="AN29" s="2">
        <v>30000000</v>
      </c>
      <c r="AO29" s="2">
        <v>30000000</v>
      </c>
      <c r="AP29" s="2">
        <v>0</v>
      </c>
    </row>
    <row r="30" spans="1:42">
      <c r="A30" s="2" t="str">
        <f>"9157089"</f>
        <v>9157089</v>
      </c>
      <c r="B30" s="2" t="str">
        <f>"منصور خنفري راد"</f>
        <v>منصور خنفري راد</v>
      </c>
      <c r="C30" s="2" t="str">
        <f t="shared" si="0"/>
        <v>توليد توسعه - دارخوين</v>
      </c>
      <c r="D30" s="2">
        <v>0</v>
      </c>
      <c r="E30" s="2">
        <v>13640</v>
      </c>
      <c r="F30" s="2">
        <v>0</v>
      </c>
      <c r="G30" s="2">
        <v>0</v>
      </c>
      <c r="H30" s="2">
        <v>0</v>
      </c>
      <c r="I30" s="2">
        <v>0</v>
      </c>
      <c r="J30" s="2">
        <v>1624330</v>
      </c>
      <c r="K30" s="2">
        <v>200000</v>
      </c>
      <c r="L30" s="2">
        <v>1100000</v>
      </c>
      <c r="M30" s="2">
        <v>1012000</v>
      </c>
      <c r="N30" s="2">
        <v>960000</v>
      </c>
      <c r="O30" s="2">
        <v>0</v>
      </c>
      <c r="P30" s="2">
        <v>0</v>
      </c>
      <c r="Q30" s="2">
        <v>12634763</v>
      </c>
      <c r="R30" s="2">
        <v>0</v>
      </c>
      <c r="S30" s="2">
        <v>1093747</v>
      </c>
      <c r="T30" s="2">
        <v>0</v>
      </c>
      <c r="U30" s="2">
        <v>1119196</v>
      </c>
      <c r="V30" s="2">
        <v>0</v>
      </c>
      <c r="W30" s="2">
        <v>1240820</v>
      </c>
      <c r="X30" s="2">
        <v>2693888</v>
      </c>
      <c r="Y30" s="2">
        <v>750000</v>
      </c>
      <c r="Z30" s="2">
        <v>0</v>
      </c>
      <c r="AA30" s="2">
        <v>3197702</v>
      </c>
      <c r="AB30" s="2">
        <v>479655</v>
      </c>
      <c r="AC30" s="2">
        <v>13640</v>
      </c>
      <c r="AD30" s="2">
        <v>12820936</v>
      </c>
      <c r="AE30" s="2">
        <v>18624840</v>
      </c>
      <c r="AF30" s="2">
        <v>5803904</v>
      </c>
      <c r="AG30" s="2" t="str">
        <f t="shared" si="1"/>
        <v>موديان بزرگ</v>
      </c>
      <c r="AH30" s="2" t="str">
        <f t="shared" si="2"/>
        <v>گروه مالياتي 50 درصدي خدماتي</v>
      </c>
      <c r="AI30" s="2" t="str">
        <f t="shared" si="3"/>
        <v>شعبه شادگان</v>
      </c>
      <c r="AJ30" s="2" t="str">
        <f>"57962868"</f>
        <v>57962868</v>
      </c>
      <c r="AK30" s="2">
        <v>1388888</v>
      </c>
      <c r="AL30" s="2">
        <v>5555552</v>
      </c>
      <c r="AM30" s="2">
        <v>44444448</v>
      </c>
      <c r="AN30" s="2">
        <v>50000000</v>
      </c>
      <c r="AO30" s="2">
        <v>50000000</v>
      </c>
      <c r="AP30" s="2">
        <v>1305000</v>
      </c>
    </row>
    <row r="31" spans="1:42">
      <c r="A31" s="2" t="str">
        <f>"9157090"</f>
        <v>9157090</v>
      </c>
      <c r="B31" s="2" t="str">
        <f>"جميل زرگاني"</f>
        <v>جميل زرگاني</v>
      </c>
      <c r="C31" s="2" t="str">
        <f t="shared" si="0"/>
        <v>توليد توسعه - دارخوين</v>
      </c>
      <c r="D31" s="2">
        <v>0</v>
      </c>
      <c r="E31" s="2">
        <v>13640</v>
      </c>
      <c r="F31" s="2">
        <v>0</v>
      </c>
      <c r="G31" s="2">
        <v>0</v>
      </c>
      <c r="H31" s="2">
        <v>0</v>
      </c>
      <c r="I31" s="2">
        <v>0</v>
      </c>
      <c r="J31" s="2">
        <v>1624330</v>
      </c>
      <c r="K31" s="2">
        <v>200000</v>
      </c>
      <c r="L31" s="2">
        <v>1100000</v>
      </c>
      <c r="M31" s="2">
        <v>1012000</v>
      </c>
      <c r="N31" s="2">
        <v>960000</v>
      </c>
      <c r="O31" s="2">
        <v>0</v>
      </c>
      <c r="P31" s="2">
        <v>0</v>
      </c>
      <c r="Q31" s="2">
        <v>12634763</v>
      </c>
      <c r="R31" s="2">
        <v>0</v>
      </c>
      <c r="S31" s="2">
        <v>1093747</v>
      </c>
      <c r="T31" s="2">
        <v>0</v>
      </c>
      <c r="U31" s="2">
        <v>1119196</v>
      </c>
      <c r="V31" s="2">
        <v>0</v>
      </c>
      <c r="W31" s="2">
        <v>1240820</v>
      </c>
      <c r="X31" s="2">
        <v>2693888</v>
      </c>
      <c r="Y31" s="2">
        <v>750000</v>
      </c>
      <c r="Z31" s="2">
        <v>0</v>
      </c>
      <c r="AA31" s="2">
        <v>3197702</v>
      </c>
      <c r="AB31" s="2">
        <v>479655</v>
      </c>
      <c r="AC31" s="2">
        <v>13640</v>
      </c>
      <c r="AD31" s="2">
        <v>12820936</v>
      </c>
      <c r="AE31" s="2">
        <v>18624840</v>
      </c>
      <c r="AF31" s="2">
        <v>5803904</v>
      </c>
      <c r="AG31" s="2" t="str">
        <f t="shared" si="1"/>
        <v>موديان بزرگ</v>
      </c>
      <c r="AH31" s="2" t="str">
        <f t="shared" si="2"/>
        <v>گروه مالياتي 50 درصدي خدماتي</v>
      </c>
      <c r="AI31" s="2" t="str">
        <f t="shared" si="3"/>
        <v>شعبه شادگان</v>
      </c>
      <c r="AJ31" s="2" t="str">
        <f>"57959541"</f>
        <v>57959541</v>
      </c>
      <c r="AK31" s="2">
        <v>1388888</v>
      </c>
      <c r="AL31" s="2">
        <v>40277752</v>
      </c>
      <c r="AM31" s="2">
        <v>9722248</v>
      </c>
      <c r="AN31" s="2">
        <v>50000000</v>
      </c>
      <c r="AO31" s="2">
        <v>50000000</v>
      </c>
      <c r="AP31" s="2">
        <v>1305000</v>
      </c>
    </row>
    <row r="32" spans="1:42">
      <c r="A32" s="2" t="str">
        <f>"9157091"</f>
        <v>9157091</v>
      </c>
      <c r="B32" s="2" t="str">
        <f>"علي ساري"</f>
        <v>علي ساري</v>
      </c>
      <c r="C32" s="2" t="str">
        <f t="shared" si="0"/>
        <v>توليد توسعه - دارخوين</v>
      </c>
      <c r="D32" s="2">
        <v>2580</v>
      </c>
      <c r="E32" s="2">
        <v>13640</v>
      </c>
      <c r="F32" s="2">
        <v>3453685</v>
      </c>
      <c r="G32" s="2">
        <v>0</v>
      </c>
      <c r="H32" s="2">
        <v>0</v>
      </c>
      <c r="I32" s="2">
        <v>0</v>
      </c>
      <c r="J32" s="2">
        <v>812165</v>
      </c>
      <c r="K32" s="2">
        <v>200000</v>
      </c>
      <c r="L32" s="2">
        <v>1100000</v>
      </c>
      <c r="M32" s="2">
        <v>1012000</v>
      </c>
      <c r="N32" s="2">
        <v>960000</v>
      </c>
      <c r="O32" s="2">
        <v>0</v>
      </c>
      <c r="P32" s="2">
        <v>0</v>
      </c>
      <c r="Q32" s="2">
        <v>10341569</v>
      </c>
      <c r="R32" s="2">
        <v>0</v>
      </c>
      <c r="S32" s="2">
        <v>1040675</v>
      </c>
      <c r="T32" s="2">
        <v>0</v>
      </c>
      <c r="U32" s="2">
        <v>1196715</v>
      </c>
      <c r="V32" s="2">
        <v>0</v>
      </c>
      <c r="W32" s="2">
        <v>1254476</v>
      </c>
      <c r="X32" s="2">
        <v>1388888</v>
      </c>
      <c r="Y32" s="2">
        <v>750000</v>
      </c>
      <c r="Z32" s="2">
        <v>0</v>
      </c>
      <c r="AA32" s="2">
        <v>3419186</v>
      </c>
      <c r="AB32" s="2">
        <v>512878</v>
      </c>
      <c r="AC32" s="2">
        <v>13640</v>
      </c>
      <c r="AD32" s="2">
        <v>14330015</v>
      </c>
      <c r="AE32" s="2">
        <v>18920094</v>
      </c>
      <c r="AF32" s="2">
        <v>4590079</v>
      </c>
      <c r="AG32" s="2" t="str">
        <f t="shared" si="1"/>
        <v>موديان بزرگ</v>
      </c>
      <c r="AH32" s="2" t="str">
        <f t="shared" si="2"/>
        <v>گروه مالياتي 50 درصدي خدماتي</v>
      </c>
      <c r="AI32" s="2" t="str">
        <f t="shared" si="3"/>
        <v>شعبه شادگان</v>
      </c>
      <c r="AJ32" s="2" t="str">
        <f>"52564961"</f>
        <v>52564961</v>
      </c>
      <c r="AK32" s="2">
        <v>1388888</v>
      </c>
      <c r="AL32" s="2">
        <v>20833320</v>
      </c>
      <c r="AM32" s="2">
        <v>29166680</v>
      </c>
      <c r="AN32" s="2">
        <v>50000000</v>
      </c>
      <c r="AO32" s="2">
        <v>50000000</v>
      </c>
      <c r="AP32" s="2">
        <v>0</v>
      </c>
    </row>
    <row r="33" spans="4:42" s="3" customFormat="1">
      <c r="D33" s="3">
        <f>SUM(D2:D32)</f>
        <v>20220</v>
      </c>
      <c r="E33" s="3">
        <f t="shared" ref="E33:AP33" si="4">SUM(E2:E32)</f>
        <v>414920</v>
      </c>
      <c r="F33" s="3">
        <f t="shared" si="4"/>
        <v>28448284</v>
      </c>
      <c r="G33" s="3">
        <f t="shared" si="4"/>
        <v>0</v>
      </c>
      <c r="H33" s="3">
        <f t="shared" si="4"/>
        <v>0</v>
      </c>
      <c r="I33" s="3">
        <f t="shared" si="4"/>
        <v>0</v>
      </c>
      <c r="J33" s="3">
        <f t="shared" si="4"/>
        <v>46162411</v>
      </c>
      <c r="K33" s="3">
        <f t="shared" si="4"/>
        <v>6083871</v>
      </c>
      <c r="L33" s="3">
        <f t="shared" si="4"/>
        <v>33461290</v>
      </c>
      <c r="M33" s="3">
        <f t="shared" si="4"/>
        <v>30798533</v>
      </c>
      <c r="N33" s="3">
        <f t="shared" si="4"/>
        <v>29216000</v>
      </c>
      <c r="O33" s="3">
        <f t="shared" si="4"/>
        <v>0</v>
      </c>
      <c r="P33" s="3">
        <f t="shared" si="4"/>
        <v>526143</v>
      </c>
      <c r="Q33" s="3">
        <f t="shared" si="4"/>
        <v>344280803</v>
      </c>
      <c r="R33" s="3">
        <f t="shared" si="4"/>
        <v>1605242</v>
      </c>
      <c r="S33" s="3">
        <f t="shared" si="4"/>
        <v>32379192</v>
      </c>
      <c r="T33" s="3">
        <f t="shared" si="4"/>
        <v>1238326</v>
      </c>
      <c r="U33" s="3">
        <f t="shared" si="4"/>
        <v>33406740</v>
      </c>
      <c r="V33" s="3">
        <f t="shared" si="4"/>
        <v>0</v>
      </c>
      <c r="W33" s="3">
        <f t="shared" si="4"/>
        <v>35575829</v>
      </c>
      <c r="X33" s="3">
        <f t="shared" si="4"/>
        <v>37933313</v>
      </c>
      <c r="Y33" s="3">
        <f t="shared" si="4"/>
        <v>21000000</v>
      </c>
      <c r="Z33" s="3">
        <f t="shared" si="4"/>
        <v>0</v>
      </c>
      <c r="AA33" s="3">
        <f t="shared" si="4"/>
        <v>95447828</v>
      </c>
      <c r="AB33" s="3">
        <f t="shared" si="4"/>
        <v>14317177</v>
      </c>
      <c r="AC33" s="3">
        <f t="shared" si="4"/>
        <v>414920</v>
      </c>
      <c r="AD33" s="3">
        <f t="shared" si="4"/>
        <v>426284213</v>
      </c>
      <c r="AE33" s="3">
        <f t="shared" si="4"/>
        <v>554200095</v>
      </c>
      <c r="AF33" s="3">
        <f t="shared" si="4"/>
        <v>127915882</v>
      </c>
      <c r="AG33" s="3">
        <f t="shared" si="4"/>
        <v>0</v>
      </c>
      <c r="AH33" s="3">
        <f t="shared" si="4"/>
        <v>0</v>
      </c>
      <c r="AI33" s="3">
        <f t="shared" si="4"/>
        <v>0</v>
      </c>
      <c r="AJ33" s="3">
        <f t="shared" si="4"/>
        <v>0</v>
      </c>
      <c r="AK33" s="3">
        <f t="shared" si="4"/>
        <v>33583313</v>
      </c>
      <c r="AL33" s="3">
        <f t="shared" si="4"/>
        <v>619888596</v>
      </c>
      <c r="AM33" s="3">
        <f t="shared" si="4"/>
        <v>529111404</v>
      </c>
      <c r="AN33" s="3">
        <f t="shared" si="4"/>
        <v>1149000000</v>
      </c>
      <c r="AO33" s="3">
        <f t="shared" si="4"/>
        <v>1149000000</v>
      </c>
      <c r="AP33" s="3">
        <f t="shared" si="4"/>
        <v>4350000</v>
      </c>
    </row>
    <row r="35" spans="4:42" s="3" customFormat="1">
      <c r="D35" s="3">
        <v>20220</v>
      </c>
      <c r="E35" s="3">
        <v>414920</v>
      </c>
      <c r="F35" s="3">
        <v>28448284</v>
      </c>
      <c r="G35" s="3">
        <v>0</v>
      </c>
      <c r="H35" s="3">
        <v>0</v>
      </c>
      <c r="I35" s="3">
        <v>0</v>
      </c>
      <c r="J35" s="3">
        <v>46162411</v>
      </c>
      <c r="K35" s="3">
        <v>6083871</v>
      </c>
      <c r="L35" s="3">
        <v>33461290</v>
      </c>
      <c r="M35" s="3">
        <v>30798533</v>
      </c>
      <c r="N35" s="3">
        <v>29216000</v>
      </c>
      <c r="O35" s="3">
        <v>0</v>
      </c>
      <c r="P35" s="3">
        <v>526143</v>
      </c>
      <c r="Q35" s="3">
        <v>344280803</v>
      </c>
      <c r="R35" s="3">
        <v>1605242</v>
      </c>
      <c r="S35" s="3">
        <v>32379192</v>
      </c>
      <c r="T35" s="3">
        <v>1238326</v>
      </c>
      <c r="U35" s="3">
        <v>33406740</v>
      </c>
      <c r="V35" s="3">
        <v>0</v>
      </c>
      <c r="W35" s="3">
        <v>35575829</v>
      </c>
      <c r="X35" s="3">
        <v>37933313</v>
      </c>
      <c r="Y35" s="3">
        <v>21000000</v>
      </c>
      <c r="Z35" s="3">
        <v>0</v>
      </c>
      <c r="AA35" s="3">
        <v>95447828</v>
      </c>
      <c r="AB35" s="3">
        <v>14317177</v>
      </c>
      <c r="AC35" s="3">
        <v>414920</v>
      </c>
      <c r="AD35" s="3">
        <v>426284213</v>
      </c>
      <c r="AE35" s="3">
        <v>554200095</v>
      </c>
      <c r="AF35" s="3">
        <v>127915882</v>
      </c>
      <c r="AG35" s="3">
        <v>0</v>
      </c>
      <c r="AH35" s="3">
        <v>0</v>
      </c>
      <c r="AI35" s="3">
        <v>0</v>
      </c>
      <c r="AJ35" s="3">
        <v>0</v>
      </c>
      <c r="AK35" s="3">
        <v>33583313</v>
      </c>
      <c r="AL35" s="3">
        <v>619888596</v>
      </c>
      <c r="AM35" s="3">
        <v>529111404</v>
      </c>
      <c r="AN35" s="3">
        <v>1149000000</v>
      </c>
      <c r="AO35" s="3">
        <v>1149000000</v>
      </c>
      <c r="AP35" s="3">
        <v>4350000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3"/>
  <sheetViews>
    <sheetView rightToLeft="1" topLeftCell="U18" workbookViewId="0">
      <selection activeCell="A22" sqref="A1:A1048576"/>
    </sheetView>
  </sheetViews>
  <sheetFormatPr defaultRowHeight="15"/>
  <cols>
    <col min="1" max="1" width="12.5703125" bestFit="1" customWidth="1"/>
    <col min="2" max="2" width="19.5703125" bestFit="1" customWidth="1"/>
    <col min="3" max="3" width="21" bestFit="1" customWidth="1"/>
    <col min="4" max="4" width="19.85546875" bestFit="1" customWidth="1"/>
    <col min="5" max="5" width="13.7109375" bestFit="1" customWidth="1"/>
    <col min="6" max="6" width="15.140625" bestFit="1" customWidth="1"/>
    <col min="7" max="7" width="14.5703125" bestFit="1" customWidth="1"/>
    <col min="8" max="8" width="14.140625" bestFit="1" customWidth="1"/>
    <col min="9" max="9" width="12.28515625" bestFit="1" customWidth="1"/>
    <col min="10" max="10" width="17.28515625" bestFit="1" customWidth="1"/>
    <col min="11" max="11" width="16" bestFit="1" customWidth="1"/>
    <col min="12" max="12" width="14.5703125" bestFit="1" customWidth="1"/>
    <col min="13" max="13" width="16" bestFit="1" customWidth="1"/>
    <col min="14" max="14" width="7.42578125" bestFit="1" customWidth="1"/>
    <col min="15" max="15" width="16" bestFit="1" customWidth="1"/>
    <col min="16" max="16" width="30.28515625" bestFit="1" customWidth="1"/>
    <col min="17" max="17" width="16" bestFit="1" customWidth="1"/>
    <col min="18" max="18" width="22.85546875" bestFit="1" customWidth="1"/>
    <col min="19" max="19" width="14.42578125" bestFit="1" customWidth="1"/>
    <col min="20" max="20" width="17.5703125" bestFit="1" customWidth="1"/>
    <col min="21" max="21" width="14.5703125" bestFit="1" customWidth="1"/>
    <col min="22" max="22" width="16" bestFit="1" customWidth="1"/>
    <col min="23" max="23" width="14.5703125" bestFit="1" customWidth="1"/>
    <col min="24" max="24" width="36.140625" bestFit="1" customWidth="1"/>
    <col min="25" max="25" width="9.5703125" bestFit="1" customWidth="1"/>
    <col min="26" max="26" width="14.5703125" bestFit="1" customWidth="1"/>
    <col min="27" max="27" width="16.7109375" bestFit="1" customWidth="1"/>
    <col min="28" max="28" width="22.42578125" bestFit="1" customWidth="1"/>
    <col min="29" max="29" width="20.140625" bestFit="1" customWidth="1"/>
    <col min="30" max="30" width="35.5703125" bestFit="1" customWidth="1"/>
    <col min="31" max="31" width="16" bestFit="1" customWidth="1"/>
    <col min="32" max="32" width="12.42578125" bestFit="1" customWidth="1"/>
    <col min="33" max="33" width="17.5703125" bestFit="1" customWidth="1"/>
    <col min="34" max="34" width="19.42578125" bestFit="1" customWidth="1"/>
    <col min="35" max="35" width="17.5703125" bestFit="1" customWidth="1"/>
    <col min="36" max="36" width="38.5703125" bestFit="1" customWidth="1"/>
    <col min="37" max="37" width="48.5703125" bestFit="1" customWidth="1"/>
    <col min="38" max="38" width="46.140625" bestFit="1" customWidth="1"/>
    <col min="39" max="39" width="51.140625" bestFit="1" customWidth="1"/>
    <col min="40" max="40" width="41.140625" bestFit="1" customWidth="1"/>
    <col min="41" max="41" width="50.28515625" bestFit="1" customWidth="1"/>
    <col min="42" max="42" width="34.85546875" bestFit="1" customWidth="1"/>
  </cols>
  <sheetData>
    <row r="1" spans="1:42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69</v>
      </c>
      <c r="G1" s="28" t="s">
        <v>5</v>
      </c>
      <c r="H1" s="28" t="s">
        <v>6</v>
      </c>
      <c r="I1" s="28" t="s">
        <v>70</v>
      </c>
      <c r="J1" s="28" t="s">
        <v>71</v>
      </c>
      <c r="K1" s="28" t="s">
        <v>7</v>
      </c>
      <c r="L1" s="28" t="s">
        <v>8</v>
      </c>
      <c r="M1" s="28" t="s">
        <v>9</v>
      </c>
      <c r="N1" s="28" t="s">
        <v>72</v>
      </c>
      <c r="O1" s="28" t="s">
        <v>10</v>
      </c>
      <c r="P1" s="28" t="s">
        <v>66</v>
      </c>
      <c r="Q1" s="28" t="s">
        <v>11</v>
      </c>
      <c r="R1" s="28" t="s">
        <v>67</v>
      </c>
      <c r="S1" s="28" t="s">
        <v>12</v>
      </c>
      <c r="T1" s="28" t="s">
        <v>13</v>
      </c>
      <c r="U1" s="28" t="s">
        <v>14</v>
      </c>
      <c r="V1" s="28" t="s">
        <v>15</v>
      </c>
      <c r="W1" s="28" t="s">
        <v>16</v>
      </c>
      <c r="X1" s="28" t="s">
        <v>17</v>
      </c>
      <c r="Y1" s="28" t="s">
        <v>18</v>
      </c>
      <c r="Z1" s="28" t="s">
        <v>19</v>
      </c>
      <c r="AA1" s="28" t="s">
        <v>20</v>
      </c>
      <c r="AB1" s="28" t="s">
        <v>21</v>
      </c>
      <c r="AC1" s="28" t="s">
        <v>68</v>
      </c>
      <c r="AD1" s="28" t="s">
        <v>22</v>
      </c>
      <c r="AE1" s="28" t="s">
        <v>23</v>
      </c>
      <c r="AF1" s="28" t="s">
        <v>24</v>
      </c>
      <c r="AG1" s="28" t="s">
        <v>25</v>
      </c>
      <c r="AH1" s="28" t="s">
        <v>26</v>
      </c>
      <c r="AI1" s="28" t="s">
        <v>27</v>
      </c>
      <c r="AJ1" s="28" t="s">
        <v>31</v>
      </c>
      <c r="AK1" s="28" t="s">
        <v>32</v>
      </c>
      <c r="AL1" s="28" t="s">
        <v>33</v>
      </c>
      <c r="AM1" s="28" t="s">
        <v>34</v>
      </c>
      <c r="AN1" s="28" t="s">
        <v>35</v>
      </c>
      <c r="AO1" s="28" t="s">
        <v>36</v>
      </c>
      <c r="AP1" s="28" t="s">
        <v>73</v>
      </c>
    </row>
    <row r="2" spans="1:42">
      <c r="A2" s="29" t="s">
        <v>74</v>
      </c>
      <c r="B2" s="29" t="s">
        <v>75</v>
      </c>
      <c r="C2" s="29" t="s">
        <v>76</v>
      </c>
      <c r="D2" s="29">
        <v>60</v>
      </c>
      <c r="E2" s="29">
        <v>13640</v>
      </c>
      <c r="F2" s="29">
        <v>0</v>
      </c>
      <c r="G2" s="29">
        <v>76988</v>
      </c>
      <c r="H2" s="29">
        <v>0</v>
      </c>
      <c r="I2" s="29">
        <v>0</v>
      </c>
      <c r="J2" s="29">
        <v>0</v>
      </c>
      <c r="K2" s="29">
        <v>0</v>
      </c>
      <c r="L2" s="29">
        <v>200000</v>
      </c>
      <c r="M2" s="29">
        <v>1100000</v>
      </c>
      <c r="N2" s="29">
        <v>0</v>
      </c>
      <c r="O2" s="29">
        <v>1012000</v>
      </c>
      <c r="P2" s="29">
        <v>0</v>
      </c>
      <c r="Q2" s="29">
        <v>960000</v>
      </c>
      <c r="R2" s="29">
        <v>0</v>
      </c>
      <c r="S2" s="29">
        <v>0</v>
      </c>
      <c r="T2" s="29">
        <v>9882924</v>
      </c>
      <c r="U2" s="29">
        <v>0</v>
      </c>
      <c r="V2" s="29">
        <v>1027407</v>
      </c>
      <c r="W2" s="29">
        <v>0</v>
      </c>
      <c r="X2" s="29">
        <v>927312</v>
      </c>
      <c r="Y2" s="29">
        <v>0</v>
      </c>
      <c r="Z2" s="29">
        <v>0</v>
      </c>
      <c r="AA2" s="29">
        <v>1520033</v>
      </c>
      <c r="AB2" s="29">
        <v>750000</v>
      </c>
      <c r="AC2" s="29">
        <v>0</v>
      </c>
      <c r="AD2" s="29">
        <v>2649464</v>
      </c>
      <c r="AE2" s="29">
        <v>397420</v>
      </c>
      <c r="AF2" s="29">
        <v>13640</v>
      </c>
      <c r="AG2" s="29">
        <v>11061974</v>
      </c>
      <c r="AH2" s="29">
        <v>14259319</v>
      </c>
      <c r="AI2" s="29">
        <v>3197345</v>
      </c>
      <c r="AJ2" s="29" t="s">
        <v>77</v>
      </c>
      <c r="AK2" s="29">
        <v>833333</v>
      </c>
      <c r="AL2" s="29">
        <v>22499991</v>
      </c>
      <c r="AM2" s="29">
        <v>7500009</v>
      </c>
      <c r="AN2" s="29">
        <v>30000000</v>
      </c>
      <c r="AO2" s="29">
        <v>30000000</v>
      </c>
      <c r="AP2" s="29">
        <v>686700</v>
      </c>
    </row>
    <row r="3" spans="1:42">
      <c r="A3" s="29" t="s">
        <v>78</v>
      </c>
      <c r="B3" s="29" t="s">
        <v>79</v>
      </c>
      <c r="C3" s="29" t="s">
        <v>76</v>
      </c>
      <c r="D3" s="29">
        <v>0</v>
      </c>
      <c r="E3" s="29">
        <v>13640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v>3248660</v>
      </c>
      <c r="L3" s="29">
        <v>200000</v>
      </c>
      <c r="M3" s="29">
        <v>1100000</v>
      </c>
      <c r="N3" s="29">
        <v>0</v>
      </c>
      <c r="O3" s="29">
        <v>1012000</v>
      </c>
      <c r="P3" s="29">
        <v>0</v>
      </c>
      <c r="Q3" s="29">
        <v>960000</v>
      </c>
      <c r="R3" s="29">
        <v>0</v>
      </c>
      <c r="S3" s="29">
        <v>0</v>
      </c>
      <c r="T3" s="29">
        <v>11373497</v>
      </c>
      <c r="U3" s="29">
        <v>0</v>
      </c>
      <c r="V3" s="29">
        <v>1074279</v>
      </c>
      <c r="W3" s="29">
        <v>0</v>
      </c>
      <c r="X3" s="29">
        <v>1029544</v>
      </c>
      <c r="Y3" s="29">
        <v>0</v>
      </c>
      <c r="Z3" s="29">
        <v>0</v>
      </c>
      <c r="AA3" s="29">
        <v>2075588</v>
      </c>
      <c r="AB3" s="29">
        <v>750000</v>
      </c>
      <c r="AC3" s="29">
        <v>0</v>
      </c>
      <c r="AD3" s="29">
        <v>2941555</v>
      </c>
      <c r="AE3" s="29">
        <v>441233</v>
      </c>
      <c r="AF3" s="29">
        <v>13640</v>
      </c>
      <c r="AG3" s="29">
        <v>15113304</v>
      </c>
      <c r="AH3" s="29">
        <v>18968436</v>
      </c>
      <c r="AI3" s="29">
        <v>3855132</v>
      </c>
      <c r="AJ3" s="29" t="s">
        <v>80</v>
      </c>
      <c r="AK3" s="29">
        <v>1388888</v>
      </c>
      <c r="AL3" s="29">
        <v>26388872</v>
      </c>
      <c r="AM3" s="29">
        <v>23611128</v>
      </c>
      <c r="AN3" s="29">
        <v>50000000</v>
      </c>
      <c r="AO3" s="29">
        <v>50000000</v>
      </c>
      <c r="AP3" s="29">
        <v>686700</v>
      </c>
    </row>
    <row r="4" spans="1:42">
      <c r="A4" s="29" t="s">
        <v>81</v>
      </c>
      <c r="B4" s="29" t="s">
        <v>82</v>
      </c>
      <c r="C4" s="29" t="s">
        <v>76</v>
      </c>
      <c r="D4" s="29">
        <v>180</v>
      </c>
      <c r="E4" s="29">
        <v>13640</v>
      </c>
      <c r="F4" s="29">
        <v>0</v>
      </c>
      <c r="G4" s="29">
        <v>290624</v>
      </c>
      <c r="H4" s="29">
        <v>0</v>
      </c>
      <c r="I4" s="29">
        <v>0</v>
      </c>
      <c r="J4" s="29">
        <v>0</v>
      </c>
      <c r="K4" s="29">
        <v>812165</v>
      </c>
      <c r="L4" s="29">
        <v>200000</v>
      </c>
      <c r="M4" s="29">
        <v>1100000</v>
      </c>
      <c r="N4" s="29">
        <v>0</v>
      </c>
      <c r="O4" s="29">
        <v>1012000</v>
      </c>
      <c r="P4" s="29">
        <v>0</v>
      </c>
      <c r="Q4" s="29">
        <v>960000</v>
      </c>
      <c r="R4" s="29">
        <v>0</v>
      </c>
      <c r="S4" s="29">
        <v>0</v>
      </c>
      <c r="T4" s="29">
        <v>12634763</v>
      </c>
      <c r="U4" s="29">
        <v>0</v>
      </c>
      <c r="V4" s="29">
        <v>1093747</v>
      </c>
      <c r="W4" s="29">
        <v>0</v>
      </c>
      <c r="X4" s="29">
        <v>1139539</v>
      </c>
      <c r="Y4" s="29">
        <v>0</v>
      </c>
      <c r="Z4" s="29">
        <v>0</v>
      </c>
      <c r="AA4" s="29">
        <v>2075588</v>
      </c>
      <c r="AB4" s="29">
        <v>750000</v>
      </c>
      <c r="AC4" s="29">
        <v>0</v>
      </c>
      <c r="AD4" s="29">
        <v>3255827</v>
      </c>
      <c r="AE4" s="29">
        <v>488374</v>
      </c>
      <c r="AF4" s="29">
        <v>13640</v>
      </c>
      <c r="AG4" s="29">
        <v>14138172</v>
      </c>
      <c r="AH4" s="29">
        <v>18103299</v>
      </c>
      <c r="AI4" s="29">
        <v>3965127</v>
      </c>
      <c r="AJ4" s="29" t="s">
        <v>83</v>
      </c>
      <c r="AK4" s="29">
        <v>1388888</v>
      </c>
      <c r="AL4" s="29">
        <v>29166648</v>
      </c>
      <c r="AM4" s="29">
        <v>20833352</v>
      </c>
      <c r="AN4" s="29">
        <v>50000000</v>
      </c>
      <c r="AO4" s="29">
        <v>50000000</v>
      </c>
      <c r="AP4" s="29">
        <v>686700</v>
      </c>
    </row>
    <row r="5" spans="1:42">
      <c r="A5" s="29" t="s">
        <v>84</v>
      </c>
      <c r="B5" s="29" t="s">
        <v>85</v>
      </c>
      <c r="C5" s="29" t="s">
        <v>76</v>
      </c>
      <c r="D5" s="29">
        <v>0</v>
      </c>
      <c r="E5" s="29">
        <v>13640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v>2436495</v>
      </c>
      <c r="L5" s="29">
        <v>200000</v>
      </c>
      <c r="M5" s="29">
        <v>1100000</v>
      </c>
      <c r="N5" s="29">
        <v>0</v>
      </c>
      <c r="O5" s="29">
        <v>1012000</v>
      </c>
      <c r="P5" s="29">
        <v>0</v>
      </c>
      <c r="Q5" s="29">
        <v>960000</v>
      </c>
      <c r="R5" s="29">
        <v>0</v>
      </c>
      <c r="S5" s="29">
        <v>0</v>
      </c>
      <c r="T5" s="29">
        <v>10800214</v>
      </c>
      <c r="U5" s="29">
        <v>0</v>
      </c>
      <c r="V5" s="29">
        <v>1053943</v>
      </c>
      <c r="W5" s="29">
        <v>0</v>
      </c>
      <c r="X5" s="29">
        <v>987991</v>
      </c>
      <c r="Y5" s="29">
        <v>0</v>
      </c>
      <c r="Z5" s="29">
        <v>0</v>
      </c>
      <c r="AA5" s="29">
        <v>686700</v>
      </c>
      <c r="AB5" s="29">
        <v>0</v>
      </c>
      <c r="AC5" s="29">
        <v>0</v>
      </c>
      <c r="AD5" s="29">
        <v>2822831</v>
      </c>
      <c r="AE5" s="29">
        <v>423425</v>
      </c>
      <c r="AF5" s="29">
        <v>13640</v>
      </c>
      <c r="AG5" s="29">
        <v>15887961</v>
      </c>
      <c r="AH5" s="29">
        <v>17562652</v>
      </c>
      <c r="AI5" s="29">
        <v>1674691</v>
      </c>
      <c r="AJ5" s="29" t="s">
        <v>86</v>
      </c>
      <c r="AK5" s="29">
        <v>0</v>
      </c>
      <c r="AL5" s="29">
        <v>0</v>
      </c>
      <c r="AM5" s="29">
        <v>0</v>
      </c>
      <c r="AN5" s="29">
        <v>0</v>
      </c>
      <c r="AO5" s="29">
        <v>0</v>
      </c>
      <c r="AP5" s="29">
        <v>686700</v>
      </c>
    </row>
    <row r="6" spans="1:42">
      <c r="A6" s="29" t="s">
        <v>87</v>
      </c>
      <c r="B6" s="29" t="s">
        <v>88</v>
      </c>
      <c r="C6" s="29" t="s">
        <v>76</v>
      </c>
      <c r="D6" s="29">
        <v>0</v>
      </c>
      <c r="E6" s="29">
        <v>13640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812165</v>
      </c>
      <c r="L6" s="29">
        <v>200000</v>
      </c>
      <c r="M6" s="29">
        <v>1100000</v>
      </c>
      <c r="N6" s="29">
        <v>0</v>
      </c>
      <c r="O6" s="29">
        <v>1012000</v>
      </c>
      <c r="P6" s="29">
        <v>0</v>
      </c>
      <c r="Q6" s="29">
        <v>960000</v>
      </c>
      <c r="R6" s="29">
        <v>0</v>
      </c>
      <c r="S6" s="29">
        <v>0</v>
      </c>
      <c r="T6" s="29">
        <v>10800214</v>
      </c>
      <c r="U6" s="29">
        <v>0</v>
      </c>
      <c r="V6" s="29">
        <v>1053943</v>
      </c>
      <c r="W6" s="29">
        <v>0</v>
      </c>
      <c r="X6" s="29">
        <v>987991</v>
      </c>
      <c r="Y6" s="29">
        <v>0</v>
      </c>
      <c r="Z6" s="29">
        <v>0</v>
      </c>
      <c r="AA6" s="29">
        <v>2075588</v>
      </c>
      <c r="AB6" s="29">
        <v>750000</v>
      </c>
      <c r="AC6" s="29">
        <v>0</v>
      </c>
      <c r="AD6" s="29">
        <v>2822831</v>
      </c>
      <c r="AE6" s="29">
        <v>423425</v>
      </c>
      <c r="AF6" s="29">
        <v>13640</v>
      </c>
      <c r="AG6" s="29">
        <v>12124743</v>
      </c>
      <c r="AH6" s="29">
        <v>15938322</v>
      </c>
      <c r="AI6" s="29">
        <v>3813579</v>
      </c>
      <c r="AJ6" s="29" t="s">
        <v>89</v>
      </c>
      <c r="AK6" s="29">
        <v>1388888</v>
      </c>
      <c r="AL6" s="29">
        <v>40277752</v>
      </c>
      <c r="AM6" s="29">
        <v>9722248</v>
      </c>
      <c r="AN6" s="29">
        <v>50000000</v>
      </c>
      <c r="AO6" s="29">
        <v>50000000</v>
      </c>
      <c r="AP6" s="29">
        <v>686700</v>
      </c>
    </row>
    <row r="7" spans="1:42">
      <c r="A7" s="29" t="s">
        <v>90</v>
      </c>
      <c r="B7" s="29" t="s">
        <v>91</v>
      </c>
      <c r="C7" s="29" t="s">
        <v>76</v>
      </c>
      <c r="D7" s="29">
        <v>0</v>
      </c>
      <c r="E7" s="29">
        <v>13640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2436495</v>
      </c>
      <c r="L7" s="29">
        <v>200000</v>
      </c>
      <c r="M7" s="29">
        <v>1100000</v>
      </c>
      <c r="N7" s="29">
        <v>0</v>
      </c>
      <c r="O7" s="29">
        <v>1012000</v>
      </c>
      <c r="P7" s="29">
        <v>0</v>
      </c>
      <c r="Q7" s="29">
        <v>960000</v>
      </c>
      <c r="R7" s="29">
        <v>0</v>
      </c>
      <c r="S7" s="29">
        <v>0</v>
      </c>
      <c r="T7" s="29">
        <v>14010636</v>
      </c>
      <c r="U7" s="29">
        <v>0</v>
      </c>
      <c r="V7" s="29">
        <v>1133551</v>
      </c>
      <c r="W7" s="29">
        <v>0</v>
      </c>
      <c r="X7" s="29">
        <v>1218293</v>
      </c>
      <c r="Y7" s="29">
        <v>0</v>
      </c>
      <c r="Z7" s="29">
        <v>0</v>
      </c>
      <c r="AA7" s="29">
        <v>2075588</v>
      </c>
      <c r="AB7" s="29">
        <v>750000</v>
      </c>
      <c r="AC7" s="29">
        <v>0</v>
      </c>
      <c r="AD7" s="29">
        <v>3480837</v>
      </c>
      <c r="AE7" s="29">
        <v>522126</v>
      </c>
      <c r="AF7" s="29">
        <v>13640</v>
      </c>
      <c r="AG7" s="29">
        <v>16808801</v>
      </c>
      <c r="AH7" s="29">
        <v>20852682</v>
      </c>
      <c r="AI7" s="29">
        <v>4043881</v>
      </c>
      <c r="AJ7" s="29" t="s">
        <v>92</v>
      </c>
      <c r="AK7" s="29">
        <v>1388888</v>
      </c>
      <c r="AL7" s="29">
        <v>37499976</v>
      </c>
      <c r="AM7" s="29">
        <v>12500024</v>
      </c>
      <c r="AN7" s="29">
        <v>50000000</v>
      </c>
      <c r="AO7" s="29">
        <v>50000000</v>
      </c>
      <c r="AP7" s="29">
        <v>686700</v>
      </c>
    </row>
    <row r="8" spans="1:42">
      <c r="A8" s="29" t="s">
        <v>93</v>
      </c>
      <c r="B8" s="29" t="s">
        <v>94</v>
      </c>
      <c r="C8" s="29" t="s">
        <v>76</v>
      </c>
      <c r="D8" s="29">
        <v>0</v>
      </c>
      <c r="E8" s="29">
        <v>13640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2436495</v>
      </c>
      <c r="L8" s="29">
        <v>200000</v>
      </c>
      <c r="M8" s="29">
        <v>1100000</v>
      </c>
      <c r="N8" s="29">
        <v>0</v>
      </c>
      <c r="O8" s="29">
        <v>1012000</v>
      </c>
      <c r="P8" s="29">
        <v>3134670</v>
      </c>
      <c r="Q8" s="29">
        <v>960000</v>
      </c>
      <c r="R8" s="29">
        <v>0</v>
      </c>
      <c r="S8" s="29">
        <v>0</v>
      </c>
      <c r="T8" s="29">
        <v>14010636</v>
      </c>
      <c r="U8" s="29">
        <v>0</v>
      </c>
      <c r="V8" s="29">
        <v>1133551</v>
      </c>
      <c r="W8" s="29">
        <v>0</v>
      </c>
      <c r="X8" s="29">
        <v>1218293</v>
      </c>
      <c r="Y8" s="29">
        <v>0</v>
      </c>
      <c r="Z8" s="29">
        <v>-757537</v>
      </c>
      <c r="AA8" s="29">
        <v>686700</v>
      </c>
      <c r="AB8" s="29">
        <v>0</v>
      </c>
      <c r="AC8" s="29">
        <v>0</v>
      </c>
      <c r="AD8" s="29">
        <v>3480837</v>
      </c>
      <c r="AE8" s="29">
        <v>522126</v>
      </c>
      <c r="AF8" s="29">
        <v>13640</v>
      </c>
      <c r="AG8" s="29">
        <v>22839896</v>
      </c>
      <c r="AH8" s="29">
        <v>23987352</v>
      </c>
      <c r="AI8" s="29">
        <v>1147456</v>
      </c>
      <c r="AJ8" s="29" t="s">
        <v>95</v>
      </c>
      <c r="AK8" s="29">
        <v>0</v>
      </c>
      <c r="AL8" s="29">
        <v>0</v>
      </c>
      <c r="AM8" s="29">
        <v>0</v>
      </c>
      <c r="AN8" s="29">
        <v>0</v>
      </c>
      <c r="AO8" s="29">
        <v>0</v>
      </c>
      <c r="AP8" s="29">
        <v>686700</v>
      </c>
    </row>
    <row r="9" spans="1:42">
      <c r="A9" s="29" t="s">
        <v>96</v>
      </c>
      <c r="B9" s="29" t="s">
        <v>97</v>
      </c>
      <c r="C9" s="29" t="s">
        <v>76</v>
      </c>
      <c r="D9" s="29">
        <v>0</v>
      </c>
      <c r="E9" s="29">
        <v>13640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200000</v>
      </c>
      <c r="M9" s="29">
        <v>1100000</v>
      </c>
      <c r="N9" s="29">
        <v>0</v>
      </c>
      <c r="O9" s="29">
        <v>1012000</v>
      </c>
      <c r="P9" s="29">
        <v>0</v>
      </c>
      <c r="Q9" s="29">
        <v>960000</v>
      </c>
      <c r="R9" s="29">
        <v>0</v>
      </c>
      <c r="S9" s="29">
        <v>0</v>
      </c>
      <c r="T9" s="29">
        <v>12634763</v>
      </c>
      <c r="U9" s="29">
        <v>0</v>
      </c>
      <c r="V9" s="29">
        <v>1093747</v>
      </c>
      <c r="W9" s="29">
        <v>1238326</v>
      </c>
      <c r="X9" s="29">
        <v>1205879</v>
      </c>
      <c r="Y9" s="29">
        <v>0</v>
      </c>
      <c r="Z9" s="29">
        <v>0</v>
      </c>
      <c r="AA9" s="29">
        <v>2075588</v>
      </c>
      <c r="AB9" s="29">
        <v>750000</v>
      </c>
      <c r="AC9" s="29">
        <v>0</v>
      </c>
      <c r="AD9" s="29">
        <v>3445367</v>
      </c>
      <c r="AE9" s="29">
        <v>516805</v>
      </c>
      <c r="AF9" s="29">
        <v>13640</v>
      </c>
      <c r="AG9" s="29">
        <v>14207369</v>
      </c>
      <c r="AH9" s="29">
        <v>18238836</v>
      </c>
      <c r="AI9" s="29">
        <v>4031467</v>
      </c>
      <c r="AJ9" s="29" t="s">
        <v>98</v>
      </c>
      <c r="AK9" s="29">
        <v>1388888</v>
      </c>
      <c r="AL9" s="29">
        <v>0</v>
      </c>
      <c r="AM9" s="29">
        <v>45833336</v>
      </c>
      <c r="AN9" s="29">
        <v>45833336</v>
      </c>
      <c r="AO9" s="29">
        <v>45833336</v>
      </c>
      <c r="AP9" s="29">
        <v>686700</v>
      </c>
    </row>
    <row r="10" spans="1:42">
      <c r="A10" s="29" t="s">
        <v>99</v>
      </c>
      <c r="B10" s="29" t="s">
        <v>100</v>
      </c>
      <c r="C10" s="29" t="s">
        <v>76</v>
      </c>
      <c r="D10" s="29">
        <v>240</v>
      </c>
      <c r="E10" s="29">
        <v>13640</v>
      </c>
      <c r="F10" s="29">
        <v>0</v>
      </c>
      <c r="G10" s="29">
        <v>367707</v>
      </c>
      <c r="H10" s="29">
        <v>0</v>
      </c>
      <c r="I10" s="29">
        <v>0</v>
      </c>
      <c r="J10" s="29">
        <v>0</v>
      </c>
      <c r="K10" s="29">
        <v>3248660</v>
      </c>
      <c r="L10" s="29">
        <v>200000</v>
      </c>
      <c r="M10" s="29">
        <v>1100000</v>
      </c>
      <c r="N10" s="29">
        <v>0</v>
      </c>
      <c r="O10" s="29">
        <v>1012000</v>
      </c>
      <c r="P10" s="29">
        <v>0</v>
      </c>
      <c r="Q10" s="29">
        <v>960000</v>
      </c>
      <c r="R10" s="29">
        <v>0</v>
      </c>
      <c r="S10" s="29">
        <v>0</v>
      </c>
      <c r="T10" s="29">
        <v>11946842</v>
      </c>
      <c r="U10" s="29">
        <v>0</v>
      </c>
      <c r="V10" s="29">
        <v>1080479</v>
      </c>
      <c r="W10" s="29">
        <v>0</v>
      </c>
      <c r="X10" s="29">
        <v>1095852</v>
      </c>
      <c r="Y10" s="29">
        <v>0</v>
      </c>
      <c r="Z10" s="29">
        <v>0</v>
      </c>
      <c r="AA10" s="29">
        <v>686700</v>
      </c>
      <c r="AB10" s="29">
        <v>750000</v>
      </c>
      <c r="AC10" s="29">
        <v>0</v>
      </c>
      <c r="AD10" s="29">
        <v>3131006</v>
      </c>
      <c r="AE10" s="29">
        <v>469651</v>
      </c>
      <c r="AF10" s="29">
        <v>13640</v>
      </c>
      <c r="AG10" s="29">
        <v>17383136</v>
      </c>
      <c r="AH10" s="29">
        <v>19915688</v>
      </c>
      <c r="AI10" s="29">
        <v>2532552</v>
      </c>
      <c r="AJ10" s="29" t="s">
        <v>101</v>
      </c>
      <c r="AK10" s="29">
        <v>0</v>
      </c>
      <c r="AL10" s="29">
        <v>0</v>
      </c>
      <c r="AM10" s="29">
        <v>0</v>
      </c>
      <c r="AN10" s="29">
        <v>0</v>
      </c>
      <c r="AO10" s="29">
        <v>0</v>
      </c>
      <c r="AP10" s="29">
        <v>686700</v>
      </c>
    </row>
    <row r="11" spans="1:42">
      <c r="A11" s="29" t="s">
        <v>102</v>
      </c>
      <c r="B11" s="29" t="s">
        <v>103</v>
      </c>
      <c r="C11" s="29" t="s">
        <v>76</v>
      </c>
      <c r="D11" s="29">
        <v>0</v>
      </c>
      <c r="E11" s="29">
        <v>13640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812165</v>
      </c>
      <c r="L11" s="29">
        <v>200000</v>
      </c>
      <c r="M11" s="29">
        <v>1100000</v>
      </c>
      <c r="N11" s="29">
        <v>0</v>
      </c>
      <c r="O11" s="29">
        <v>1012000</v>
      </c>
      <c r="P11" s="29">
        <v>0</v>
      </c>
      <c r="Q11" s="29">
        <v>960000</v>
      </c>
      <c r="R11" s="29">
        <v>0</v>
      </c>
      <c r="S11" s="29">
        <v>105770</v>
      </c>
      <c r="T11" s="29">
        <v>9424310</v>
      </c>
      <c r="U11" s="29">
        <v>343976</v>
      </c>
      <c r="V11" s="29">
        <v>1014139</v>
      </c>
      <c r="W11" s="29">
        <v>0</v>
      </c>
      <c r="X11" s="29">
        <v>920374</v>
      </c>
      <c r="Y11" s="29">
        <v>0</v>
      </c>
      <c r="Z11" s="29">
        <v>0</v>
      </c>
      <c r="AA11" s="29">
        <v>2075588</v>
      </c>
      <c r="AB11" s="29">
        <v>750000</v>
      </c>
      <c r="AC11" s="29">
        <v>0</v>
      </c>
      <c r="AD11" s="29">
        <v>2629639</v>
      </c>
      <c r="AE11" s="29">
        <v>394446</v>
      </c>
      <c r="AF11" s="29">
        <v>13640</v>
      </c>
      <c r="AG11" s="29">
        <v>11226398</v>
      </c>
      <c r="AH11" s="29">
        <v>14972360</v>
      </c>
      <c r="AI11" s="29">
        <v>3745962</v>
      </c>
      <c r="AJ11" s="29" t="s">
        <v>104</v>
      </c>
      <c r="AK11" s="29">
        <v>1388888</v>
      </c>
      <c r="AL11" s="29">
        <v>27222224</v>
      </c>
      <c r="AM11" s="29">
        <v>2777776</v>
      </c>
      <c r="AN11" s="29">
        <v>30000000</v>
      </c>
      <c r="AO11" s="29">
        <v>30000000</v>
      </c>
      <c r="AP11" s="29">
        <v>686700</v>
      </c>
    </row>
    <row r="12" spans="1:42">
      <c r="A12" s="29" t="s">
        <v>105</v>
      </c>
      <c r="B12" s="29" t="s">
        <v>106</v>
      </c>
      <c r="C12" s="29" t="s">
        <v>76</v>
      </c>
      <c r="D12" s="29">
        <v>0</v>
      </c>
      <c r="E12" s="29">
        <v>13640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200000</v>
      </c>
      <c r="M12" s="29">
        <v>1100000</v>
      </c>
      <c r="N12" s="29">
        <v>0</v>
      </c>
      <c r="O12" s="29">
        <v>1012000</v>
      </c>
      <c r="P12" s="29">
        <v>0</v>
      </c>
      <c r="Q12" s="29">
        <v>960000</v>
      </c>
      <c r="R12" s="29">
        <v>0</v>
      </c>
      <c r="S12" s="29">
        <v>0</v>
      </c>
      <c r="T12" s="29">
        <v>10341569</v>
      </c>
      <c r="U12" s="29">
        <v>458645</v>
      </c>
      <c r="V12" s="29">
        <v>1040675</v>
      </c>
      <c r="W12" s="29">
        <v>0</v>
      </c>
      <c r="X12" s="29">
        <v>987062</v>
      </c>
      <c r="Y12" s="29">
        <v>0</v>
      </c>
      <c r="Z12" s="29">
        <v>0</v>
      </c>
      <c r="AA12" s="29">
        <v>2075588</v>
      </c>
      <c r="AB12" s="29">
        <v>750000</v>
      </c>
      <c r="AC12" s="29">
        <v>0</v>
      </c>
      <c r="AD12" s="29">
        <v>2820178</v>
      </c>
      <c r="AE12" s="29">
        <v>423027</v>
      </c>
      <c r="AF12" s="29">
        <v>13640</v>
      </c>
      <c r="AG12" s="29">
        <v>11300239</v>
      </c>
      <c r="AH12" s="29">
        <v>15112889</v>
      </c>
      <c r="AI12" s="29">
        <v>3812650</v>
      </c>
      <c r="AJ12" s="29" t="s">
        <v>107</v>
      </c>
      <c r="AK12" s="29">
        <v>1388888</v>
      </c>
      <c r="AL12" s="29">
        <v>26388872</v>
      </c>
      <c r="AM12" s="29">
        <v>23611128</v>
      </c>
      <c r="AN12" s="29">
        <v>50000000</v>
      </c>
      <c r="AO12" s="29">
        <v>50000000</v>
      </c>
      <c r="AP12" s="29">
        <v>686700</v>
      </c>
    </row>
    <row r="13" spans="1:42">
      <c r="A13" s="29" t="s">
        <v>108</v>
      </c>
      <c r="B13" s="29" t="s">
        <v>109</v>
      </c>
      <c r="C13" s="29" t="s">
        <v>76</v>
      </c>
      <c r="D13" s="29">
        <v>600</v>
      </c>
      <c r="E13" s="29">
        <v>13640</v>
      </c>
      <c r="F13" s="29">
        <v>0</v>
      </c>
      <c r="G13" s="29">
        <v>836483</v>
      </c>
      <c r="H13" s="29">
        <v>0</v>
      </c>
      <c r="I13" s="29">
        <v>0</v>
      </c>
      <c r="J13" s="29">
        <v>0</v>
      </c>
      <c r="K13" s="29">
        <v>3248660</v>
      </c>
      <c r="L13" s="29">
        <v>200000</v>
      </c>
      <c r="M13" s="29">
        <v>1100000</v>
      </c>
      <c r="N13" s="29">
        <v>0</v>
      </c>
      <c r="O13" s="29">
        <v>1012000</v>
      </c>
      <c r="P13" s="29">
        <v>3467135</v>
      </c>
      <c r="Q13" s="29">
        <v>960000</v>
      </c>
      <c r="R13" s="29">
        <v>0</v>
      </c>
      <c r="S13" s="29">
        <v>0</v>
      </c>
      <c r="T13" s="29">
        <v>10800214</v>
      </c>
      <c r="U13" s="29">
        <v>0</v>
      </c>
      <c r="V13" s="29">
        <v>1053943</v>
      </c>
      <c r="W13" s="29">
        <v>0</v>
      </c>
      <c r="X13" s="29">
        <v>1046545</v>
      </c>
      <c r="Y13" s="29">
        <v>0</v>
      </c>
      <c r="Z13" s="29">
        <v>-837152</v>
      </c>
      <c r="AA13" s="29">
        <v>2075588</v>
      </c>
      <c r="AB13" s="29">
        <v>750000</v>
      </c>
      <c r="AC13" s="29">
        <v>0</v>
      </c>
      <c r="AD13" s="29">
        <v>2990128</v>
      </c>
      <c r="AE13" s="29">
        <v>448519</v>
      </c>
      <c r="AF13" s="29">
        <v>13640</v>
      </c>
      <c r="AG13" s="29">
        <v>19643454</v>
      </c>
      <c r="AH13" s="29">
        <v>22678435</v>
      </c>
      <c r="AI13" s="29">
        <v>3034981</v>
      </c>
      <c r="AJ13" s="29" t="s">
        <v>110</v>
      </c>
      <c r="AK13" s="29">
        <v>1388888</v>
      </c>
      <c r="AL13" s="29">
        <v>24999984</v>
      </c>
      <c r="AM13" s="29">
        <v>25000016</v>
      </c>
      <c r="AN13" s="29">
        <v>50000000</v>
      </c>
      <c r="AO13" s="29">
        <v>50000000</v>
      </c>
      <c r="AP13" s="29">
        <v>686700</v>
      </c>
    </row>
    <row r="14" spans="1:42">
      <c r="A14" s="29" t="s">
        <v>111</v>
      </c>
      <c r="B14" s="29" t="s">
        <v>112</v>
      </c>
      <c r="C14" s="29" t="s">
        <v>76</v>
      </c>
      <c r="D14" s="29">
        <v>0</v>
      </c>
      <c r="E14" s="29">
        <v>13640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1624330</v>
      </c>
      <c r="L14" s="29">
        <v>200000</v>
      </c>
      <c r="M14" s="29">
        <v>1100000</v>
      </c>
      <c r="N14" s="29">
        <v>0</v>
      </c>
      <c r="O14" s="29">
        <v>1012000</v>
      </c>
      <c r="P14" s="29">
        <v>0</v>
      </c>
      <c r="Q14" s="29">
        <v>960000</v>
      </c>
      <c r="R14" s="29">
        <v>0</v>
      </c>
      <c r="S14" s="29">
        <v>0</v>
      </c>
      <c r="T14" s="29">
        <v>10341569</v>
      </c>
      <c r="U14" s="29">
        <v>0</v>
      </c>
      <c r="V14" s="29">
        <v>1040675</v>
      </c>
      <c r="W14" s="29">
        <v>0</v>
      </c>
      <c r="X14" s="29">
        <v>954957</v>
      </c>
      <c r="Y14" s="29">
        <v>0</v>
      </c>
      <c r="Z14" s="29">
        <v>0</v>
      </c>
      <c r="AA14" s="29">
        <v>2075588</v>
      </c>
      <c r="AB14" s="29">
        <v>750000</v>
      </c>
      <c r="AC14" s="29">
        <v>0</v>
      </c>
      <c r="AD14" s="29">
        <v>2728449</v>
      </c>
      <c r="AE14" s="29">
        <v>409267</v>
      </c>
      <c r="AF14" s="29">
        <v>13640</v>
      </c>
      <c r="AG14" s="29">
        <v>12498029</v>
      </c>
      <c r="AH14" s="29">
        <v>16278574</v>
      </c>
      <c r="AI14" s="29">
        <v>3780545</v>
      </c>
      <c r="AJ14" s="29" t="s">
        <v>113</v>
      </c>
      <c r="AK14" s="29">
        <v>1388888</v>
      </c>
      <c r="AL14" s="29">
        <v>40277752</v>
      </c>
      <c r="AM14" s="29">
        <v>9722248</v>
      </c>
      <c r="AN14" s="29">
        <v>50000000</v>
      </c>
      <c r="AO14" s="29">
        <v>50000000</v>
      </c>
      <c r="AP14" s="29">
        <v>686700</v>
      </c>
    </row>
    <row r="15" spans="1:42">
      <c r="A15" s="29" t="s">
        <v>114</v>
      </c>
      <c r="B15" s="29" t="s">
        <v>115</v>
      </c>
      <c r="C15" s="29" t="s">
        <v>76</v>
      </c>
      <c r="D15" s="29">
        <v>0</v>
      </c>
      <c r="E15" s="29">
        <v>13640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3248660</v>
      </c>
      <c r="L15" s="29">
        <v>200000</v>
      </c>
      <c r="M15" s="29">
        <v>1100000</v>
      </c>
      <c r="N15" s="29">
        <v>0</v>
      </c>
      <c r="O15" s="29">
        <v>1012000</v>
      </c>
      <c r="P15" s="29">
        <v>0</v>
      </c>
      <c r="Q15" s="29">
        <v>960000</v>
      </c>
      <c r="R15" s="29">
        <v>0</v>
      </c>
      <c r="S15" s="29">
        <v>0</v>
      </c>
      <c r="T15" s="29">
        <v>11946842</v>
      </c>
      <c r="U15" s="29">
        <v>0</v>
      </c>
      <c r="V15" s="29">
        <v>1080479</v>
      </c>
      <c r="W15" s="29">
        <v>0</v>
      </c>
      <c r="X15" s="29">
        <v>1070112</v>
      </c>
      <c r="Y15" s="29">
        <v>0</v>
      </c>
      <c r="Z15" s="29">
        <v>0</v>
      </c>
      <c r="AA15" s="29">
        <v>2075588</v>
      </c>
      <c r="AB15" s="29">
        <v>750000</v>
      </c>
      <c r="AC15" s="29">
        <v>0</v>
      </c>
      <c r="AD15" s="29">
        <v>3057464</v>
      </c>
      <c r="AE15" s="29">
        <v>458620</v>
      </c>
      <c r="AF15" s="29">
        <v>13640</v>
      </c>
      <c r="AG15" s="29">
        <v>15652281</v>
      </c>
      <c r="AH15" s="29">
        <v>19547981</v>
      </c>
      <c r="AI15" s="29">
        <v>3895700</v>
      </c>
      <c r="AJ15" s="29" t="s">
        <v>116</v>
      </c>
      <c r="AK15" s="29">
        <v>1388888</v>
      </c>
      <c r="AL15" s="29">
        <v>27222224</v>
      </c>
      <c r="AM15" s="29">
        <v>2777776</v>
      </c>
      <c r="AN15" s="29">
        <v>30000000</v>
      </c>
      <c r="AO15" s="29">
        <v>30000000</v>
      </c>
      <c r="AP15" s="29">
        <v>686700</v>
      </c>
    </row>
    <row r="16" spans="1:42">
      <c r="A16" s="29" t="s">
        <v>117</v>
      </c>
      <c r="B16" s="29" t="s">
        <v>118</v>
      </c>
      <c r="C16" s="29" t="s">
        <v>76</v>
      </c>
      <c r="D16" s="29">
        <v>0</v>
      </c>
      <c r="E16" s="29">
        <v>13640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200000</v>
      </c>
      <c r="M16" s="29">
        <v>1100000</v>
      </c>
      <c r="N16" s="29">
        <v>0</v>
      </c>
      <c r="O16" s="29">
        <v>1012000</v>
      </c>
      <c r="P16" s="29">
        <v>0</v>
      </c>
      <c r="Q16" s="29">
        <v>960000</v>
      </c>
      <c r="R16" s="29">
        <v>0</v>
      </c>
      <c r="S16" s="29">
        <v>0</v>
      </c>
      <c r="T16" s="29">
        <v>11946842</v>
      </c>
      <c r="U16" s="29">
        <v>0</v>
      </c>
      <c r="V16" s="29">
        <v>1080479</v>
      </c>
      <c r="W16" s="29">
        <v>0</v>
      </c>
      <c r="X16" s="29">
        <v>1070112</v>
      </c>
      <c r="Y16" s="29">
        <v>0</v>
      </c>
      <c r="Z16" s="29">
        <v>0</v>
      </c>
      <c r="AA16" s="29">
        <v>686700</v>
      </c>
      <c r="AB16" s="29">
        <v>0</v>
      </c>
      <c r="AC16" s="29">
        <v>0</v>
      </c>
      <c r="AD16" s="29">
        <v>3057464</v>
      </c>
      <c r="AE16" s="29">
        <v>458620</v>
      </c>
      <c r="AF16" s="29">
        <v>13640</v>
      </c>
      <c r="AG16" s="29">
        <v>14542509</v>
      </c>
      <c r="AH16" s="29">
        <v>16299321</v>
      </c>
      <c r="AI16" s="29">
        <v>1756812</v>
      </c>
      <c r="AJ16" s="29" t="s">
        <v>119</v>
      </c>
      <c r="AK16" s="29">
        <v>0</v>
      </c>
      <c r="AL16" s="29">
        <v>0</v>
      </c>
      <c r="AM16" s="29">
        <v>0</v>
      </c>
      <c r="AN16" s="29">
        <v>0</v>
      </c>
      <c r="AO16" s="29">
        <v>0</v>
      </c>
      <c r="AP16" s="29">
        <v>686700</v>
      </c>
    </row>
    <row r="17" spans="1:42">
      <c r="A17" s="29" t="s">
        <v>120</v>
      </c>
      <c r="B17" s="29" t="s">
        <v>121</v>
      </c>
      <c r="C17" s="29" t="s">
        <v>76</v>
      </c>
      <c r="D17" s="29">
        <v>60</v>
      </c>
      <c r="E17" s="29">
        <v>13640</v>
      </c>
      <c r="F17" s="29">
        <v>0</v>
      </c>
      <c r="G17" s="29">
        <v>76086</v>
      </c>
      <c r="H17" s="29">
        <v>0</v>
      </c>
      <c r="I17" s="29">
        <v>0</v>
      </c>
      <c r="J17" s="29">
        <v>0</v>
      </c>
      <c r="K17" s="29">
        <v>1624330</v>
      </c>
      <c r="L17" s="29">
        <v>200000</v>
      </c>
      <c r="M17" s="29">
        <v>1100000</v>
      </c>
      <c r="N17" s="29">
        <v>0</v>
      </c>
      <c r="O17" s="29">
        <v>1012000</v>
      </c>
      <c r="P17" s="29">
        <v>0</v>
      </c>
      <c r="Q17" s="29">
        <v>960000</v>
      </c>
      <c r="R17" s="29">
        <v>0</v>
      </c>
      <c r="S17" s="29">
        <v>0</v>
      </c>
      <c r="T17" s="29">
        <v>9424310</v>
      </c>
      <c r="U17" s="29">
        <v>343976</v>
      </c>
      <c r="V17" s="29">
        <v>1014139</v>
      </c>
      <c r="W17" s="29">
        <v>0</v>
      </c>
      <c r="X17" s="29">
        <v>918296</v>
      </c>
      <c r="Y17" s="29">
        <v>0</v>
      </c>
      <c r="Z17" s="29">
        <v>0</v>
      </c>
      <c r="AA17" s="29">
        <v>686700</v>
      </c>
      <c r="AB17" s="29">
        <v>0</v>
      </c>
      <c r="AC17" s="29">
        <v>0</v>
      </c>
      <c r="AD17" s="29">
        <v>2623702</v>
      </c>
      <c r="AE17" s="29">
        <v>393555</v>
      </c>
      <c r="AF17" s="29">
        <v>13640</v>
      </c>
      <c r="AG17" s="29">
        <v>14149845</v>
      </c>
      <c r="AH17" s="29">
        <v>15754841</v>
      </c>
      <c r="AI17" s="29">
        <v>1604996</v>
      </c>
      <c r="AJ17" s="29" t="s">
        <v>122</v>
      </c>
      <c r="AK17" s="29">
        <v>0</v>
      </c>
      <c r="AL17" s="29">
        <v>0</v>
      </c>
      <c r="AM17" s="29">
        <v>0</v>
      </c>
      <c r="AN17" s="29">
        <v>0</v>
      </c>
      <c r="AO17" s="29">
        <v>0</v>
      </c>
      <c r="AP17" s="29">
        <v>686700</v>
      </c>
    </row>
    <row r="18" spans="1:42">
      <c r="A18" s="29" t="s">
        <v>123</v>
      </c>
      <c r="B18" s="29" t="s">
        <v>124</v>
      </c>
      <c r="C18" s="29" t="s">
        <v>76</v>
      </c>
      <c r="D18" s="29">
        <v>0</v>
      </c>
      <c r="E18" s="29">
        <v>13640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1624330</v>
      </c>
      <c r="L18" s="29">
        <v>200000</v>
      </c>
      <c r="M18" s="29">
        <v>1100000</v>
      </c>
      <c r="N18" s="29">
        <v>0</v>
      </c>
      <c r="O18" s="29">
        <v>1012000</v>
      </c>
      <c r="P18" s="29">
        <v>0</v>
      </c>
      <c r="Q18" s="29">
        <v>960000</v>
      </c>
      <c r="R18" s="29">
        <v>0</v>
      </c>
      <c r="S18" s="29">
        <v>420373</v>
      </c>
      <c r="T18" s="29">
        <v>9424310</v>
      </c>
      <c r="U18" s="29">
        <v>0</v>
      </c>
      <c r="V18" s="29">
        <v>1014139</v>
      </c>
      <c r="W18" s="29">
        <v>0</v>
      </c>
      <c r="X18" s="29">
        <v>918318</v>
      </c>
      <c r="Y18" s="29">
        <v>0</v>
      </c>
      <c r="Z18" s="29">
        <v>0</v>
      </c>
      <c r="AA18" s="29">
        <v>2075588</v>
      </c>
      <c r="AB18" s="29">
        <v>750000</v>
      </c>
      <c r="AC18" s="29">
        <v>0</v>
      </c>
      <c r="AD18" s="29">
        <v>2623764</v>
      </c>
      <c r="AE18" s="29">
        <v>393565</v>
      </c>
      <c r="AF18" s="29">
        <v>13640</v>
      </c>
      <c r="AG18" s="29">
        <v>12011246</v>
      </c>
      <c r="AH18" s="29">
        <v>15755152</v>
      </c>
      <c r="AI18" s="29">
        <v>3743906</v>
      </c>
      <c r="AJ18" s="29" t="s">
        <v>125</v>
      </c>
      <c r="AK18" s="29">
        <v>1388888</v>
      </c>
      <c r="AL18" s="29">
        <v>0</v>
      </c>
      <c r="AM18" s="29">
        <v>40277752</v>
      </c>
      <c r="AN18" s="29">
        <v>40277752</v>
      </c>
      <c r="AO18" s="29">
        <v>40277752</v>
      </c>
      <c r="AP18" s="29">
        <v>686700</v>
      </c>
    </row>
    <row r="19" spans="1:42">
      <c r="A19" s="29" t="s">
        <v>126</v>
      </c>
      <c r="B19" s="29" t="s">
        <v>127</v>
      </c>
      <c r="C19" s="29" t="s">
        <v>76</v>
      </c>
      <c r="D19" s="29">
        <v>1800</v>
      </c>
      <c r="E19" s="29">
        <v>13640</v>
      </c>
      <c r="F19" s="29">
        <v>0</v>
      </c>
      <c r="G19" s="29">
        <v>2509449</v>
      </c>
      <c r="H19" s="29">
        <v>0</v>
      </c>
      <c r="I19" s="29">
        <v>0</v>
      </c>
      <c r="J19" s="29">
        <v>0</v>
      </c>
      <c r="K19" s="29">
        <v>2436495</v>
      </c>
      <c r="L19" s="29">
        <v>200000</v>
      </c>
      <c r="M19" s="29">
        <v>1100000</v>
      </c>
      <c r="N19" s="29">
        <v>0</v>
      </c>
      <c r="O19" s="29">
        <v>1012000</v>
      </c>
      <c r="P19" s="29">
        <v>0</v>
      </c>
      <c r="Q19" s="29">
        <v>960000</v>
      </c>
      <c r="R19" s="29">
        <v>0</v>
      </c>
      <c r="S19" s="29">
        <v>0</v>
      </c>
      <c r="T19" s="29">
        <v>10800214</v>
      </c>
      <c r="U19" s="29">
        <v>0</v>
      </c>
      <c r="V19" s="29">
        <v>1053943</v>
      </c>
      <c r="W19" s="29">
        <v>0</v>
      </c>
      <c r="X19" s="29">
        <v>1163652</v>
      </c>
      <c r="Y19" s="29">
        <v>0</v>
      </c>
      <c r="Z19" s="29">
        <v>0</v>
      </c>
      <c r="AA19" s="29">
        <v>2075588</v>
      </c>
      <c r="AB19" s="29">
        <v>750000</v>
      </c>
      <c r="AC19" s="29">
        <v>0</v>
      </c>
      <c r="AD19" s="29">
        <v>3324721</v>
      </c>
      <c r="AE19" s="29">
        <v>498708</v>
      </c>
      <c r="AF19" s="29">
        <v>13640</v>
      </c>
      <c r="AG19" s="29">
        <v>16082861</v>
      </c>
      <c r="AH19" s="29">
        <v>20072101</v>
      </c>
      <c r="AI19" s="29">
        <v>3989240</v>
      </c>
      <c r="AJ19" s="29" t="s">
        <v>128</v>
      </c>
      <c r="AK19" s="29">
        <v>1388888</v>
      </c>
      <c r="AL19" s="29">
        <v>27222224</v>
      </c>
      <c r="AM19" s="29">
        <v>2777776</v>
      </c>
      <c r="AN19" s="29">
        <v>30000000</v>
      </c>
      <c r="AO19" s="29">
        <v>30000000</v>
      </c>
      <c r="AP19" s="29">
        <v>686700</v>
      </c>
    </row>
    <row r="20" spans="1:42">
      <c r="A20" s="29" t="s">
        <v>129</v>
      </c>
      <c r="B20" s="29" t="s">
        <v>130</v>
      </c>
      <c r="C20" s="29" t="s">
        <v>76</v>
      </c>
      <c r="D20" s="29">
        <v>360</v>
      </c>
      <c r="E20" s="29">
        <v>13640</v>
      </c>
      <c r="F20" s="29">
        <v>0</v>
      </c>
      <c r="G20" s="29">
        <v>526724</v>
      </c>
      <c r="H20" s="29">
        <v>0</v>
      </c>
      <c r="I20" s="29">
        <v>0</v>
      </c>
      <c r="J20" s="29">
        <v>0</v>
      </c>
      <c r="K20" s="29">
        <v>3248660</v>
      </c>
      <c r="L20" s="29">
        <v>200000</v>
      </c>
      <c r="M20" s="29">
        <v>1100000</v>
      </c>
      <c r="N20" s="29">
        <v>0</v>
      </c>
      <c r="O20" s="29">
        <v>1012000</v>
      </c>
      <c r="P20" s="29">
        <v>0</v>
      </c>
      <c r="Q20" s="29">
        <v>960000</v>
      </c>
      <c r="R20" s="29">
        <v>0</v>
      </c>
      <c r="S20" s="29">
        <v>0</v>
      </c>
      <c r="T20" s="29">
        <v>11373497</v>
      </c>
      <c r="U20" s="29">
        <v>0</v>
      </c>
      <c r="V20" s="29">
        <v>1067211</v>
      </c>
      <c r="W20" s="29">
        <v>0</v>
      </c>
      <c r="X20" s="29">
        <v>1065920</v>
      </c>
      <c r="Y20" s="29">
        <v>0</v>
      </c>
      <c r="Z20" s="29">
        <v>0</v>
      </c>
      <c r="AA20" s="29">
        <v>686700</v>
      </c>
      <c r="AB20" s="29">
        <v>750000</v>
      </c>
      <c r="AC20" s="29">
        <v>0</v>
      </c>
      <c r="AD20" s="29">
        <v>3045486</v>
      </c>
      <c r="AE20" s="29">
        <v>456823</v>
      </c>
      <c r="AF20" s="29">
        <v>13640</v>
      </c>
      <c r="AG20" s="29">
        <v>16985472</v>
      </c>
      <c r="AH20" s="29">
        <v>19488092</v>
      </c>
      <c r="AI20" s="29">
        <v>2502620</v>
      </c>
      <c r="AJ20" s="29" t="s">
        <v>131</v>
      </c>
      <c r="AK20" s="29">
        <v>0</v>
      </c>
      <c r="AL20" s="29">
        <v>0</v>
      </c>
      <c r="AM20" s="29">
        <v>0</v>
      </c>
      <c r="AN20" s="29">
        <v>0</v>
      </c>
      <c r="AO20" s="29">
        <v>0</v>
      </c>
      <c r="AP20" s="29">
        <v>686700</v>
      </c>
    </row>
    <row r="21" spans="1:42">
      <c r="A21" s="29" t="s">
        <v>132</v>
      </c>
      <c r="B21" s="29" t="s">
        <v>133</v>
      </c>
      <c r="C21" s="29" t="s">
        <v>76</v>
      </c>
      <c r="D21" s="29">
        <v>0</v>
      </c>
      <c r="E21" s="29">
        <v>13640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1624330</v>
      </c>
      <c r="L21" s="29">
        <v>200000</v>
      </c>
      <c r="M21" s="29">
        <v>1100000</v>
      </c>
      <c r="N21" s="29">
        <v>0</v>
      </c>
      <c r="O21" s="29">
        <v>1012000</v>
      </c>
      <c r="P21" s="29">
        <v>0</v>
      </c>
      <c r="Q21" s="29">
        <v>960000</v>
      </c>
      <c r="R21" s="29">
        <v>0</v>
      </c>
      <c r="S21" s="29">
        <v>0</v>
      </c>
      <c r="T21" s="29">
        <v>10800214</v>
      </c>
      <c r="U21" s="29">
        <v>0</v>
      </c>
      <c r="V21" s="29">
        <v>1053943</v>
      </c>
      <c r="W21" s="29">
        <v>0</v>
      </c>
      <c r="X21" s="29">
        <v>987991</v>
      </c>
      <c r="Y21" s="29">
        <v>0</v>
      </c>
      <c r="Z21" s="29">
        <v>0</v>
      </c>
      <c r="AA21" s="29">
        <v>2075588</v>
      </c>
      <c r="AB21" s="29">
        <v>750000</v>
      </c>
      <c r="AC21" s="29">
        <v>0</v>
      </c>
      <c r="AD21" s="29">
        <v>2822831</v>
      </c>
      <c r="AE21" s="29">
        <v>423425</v>
      </c>
      <c r="AF21" s="29">
        <v>13640</v>
      </c>
      <c r="AG21" s="29">
        <v>12936908</v>
      </c>
      <c r="AH21" s="29">
        <v>16750487</v>
      </c>
      <c r="AI21" s="29">
        <v>3813579</v>
      </c>
      <c r="AJ21" s="29" t="s">
        <v>134</v>
      </c>
      <c r="AK21" s="29">
        <v>1388888</v>
      </c>
      <c r="AL21" s="29">
        <v>29166648</v>
      </c>
      <c r="AM21" s="29">
        <v>20833352</v>
      </c>
      <c r="AN21" s="29">
        <v>50000000</v>
      </c>
      <c r="AO21" s="29">
        <v>50000000</v>
      </c>
      <c r="AP21" s="29">
        <v>686700</v>
      </c>
    </row>
    <row r="22" spans="1:42">
      <c r="A22" s="29" t="s">
        <v>135</v>
      </c>
      <c r="B22" s="29" t="s">
        <v>136</v>
      </c>
      <c r="C22" s="29" t="s">
        <v>76</v>
      </c>
      <c r="D22" s="29">
        <v>0</v>
      </c>
      <c r="E22" s="29">
        <v>13640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812165</v>
      </c>
      <c r="L22" s="29">
        <v>200000</v>
      </c>
      <c r="M22" s="29">
        <v>1100000</v>
      </c>
      <c r="N22" s="29">
        <v>0</v>
      </c>
      <c r="O22" s="29">
        <v>1012000</v>
      </c>
      <c r="P22" s="29">
        <v>0</v>
      </c>
      <c r="Q22" s="29">
        <v>960000</v>
      </c>
      <c r="R22" s="29">
        <v>0</v>
      </c>
      <c r="S22" s="29">
        <v>0</v>
      </c>
      <c r="T22" s="29">
        <v>14010636</v>
      </c>
      <c r="U22" s="29">
        <v>0</v>
      </c>
      <c r="V22" s="29">
        <v>1133551</v>
      </c>
      <c r="W22" s="29">
        <v>0</v>
      </c>
      <c r="X22" s="29">
        <v>1218293</v>
      </c>
      <c r="Y22" s="29">
        <v>0</v>
      </c>
      <c r="Z22" s="29">
        <v>0</v>
      </c>
      <c r="AA22" s="29">
        <v>2075588</v>
      </c>
      <c r="AB22" s="29">
        <v>750000</v>
      </c>
      <c r="AC22" s="29">
        <v>0</v>
      </c>
      <c r="AD22" s="29">
        <v>3480837</v>
      </c>
      <c r="AE22" s="29">
        <v>522126</v>
      </c>
      <c r="AF22" s="29">
        <v>13640</v>
      </c>
      <c r="AG22" s="29">
        <v>15184471</v>
      </c>
      <c r="AH22" s="29">
        <v>19228352</v>
      </c>
      <c r="AI22" s="29">
        <v>4043881</v>
      </c>
      <c r="AJ22" s="29" t="s">
        <v>137</v>
      </c>
      <c r="AK22" s="29">
        <v>1388888</v>
      </c>
      <c r="AL22" s="29">
        <v>38888864</v>
      </c>
      <c r="AM22" s="29">
        <v>11111136</v>
      </c>
      <c r="AN22" s="29">
        <v>50000000</v>
      </c>
      <c r="AO22" s="29">
        <v>50000000</v>
      </c>
      <c r="AP22" s="29">
        <v>686700</v>
      </c>
    </row>
    <row r="23" spans="1:42">
      <c r="A23" s="29" t="s">
        <v>138</v>
      </c>
      <c r="B23" s="29" t="s">
        <v>139</v>
      </c>
      <c r="C23" s="29" t="s">
        <v>76</v>
      </c>
      <c r="D23" s="29">
        <v>240</v>
      </c>
      <c r="E23" s="29">
        <v>13640</v>
      </c>
      <c r="F23" s="29">
        <v>0</v>
      </c>
      <c r="G23" s="29">
        <v>351149</v>
      </c>
      <c r="H23" s="29">
        <v>0</v>
      </c>
      <c r="I23" s="29">
        <v>0</v>
      </c>
      <c r="J23" s="29">
        <v>0</v>
      </c>
      <c r="K23" s="29">
        <v>2436495</v>
      </c>
      <c r="L23" s="29">
        <v>200000</v>
      </c>
      <c r="M23" s="29">
        <v>1100000</v>
      </c>
      <c r="N23" s="29">
        <v>0</v>
      </c>
      <c r="O23" s="29">
        <v>1012000</v>
      </c>
      <c r="P23" s="29">
        <v>0</v>
      </c>
      <c r="Q23" s="29">
        <v>960000</v>
      </c>
      <c r="R23" s="29">
        <v>0</v>
      </c>
      <c r="S23" s="29">
        <v>0</v>
      </c>
      <c r="T23" s="29">
        <v>11373497</v>
      </c>
      <c r="U23" s="29">
        <v>0</v>
      </c>
      <c r="V23" s="29">
        <v>1067211</v>
      </c>
      <c r="W23" s="29">
        <v>0</v>
      </c>
      <c r="X23" s="29">
        <v>1053630</v>
      </c>
      <c r="Y23" s="29">
        <v>0</v>
      </c>
      <c r="Z23" s="29">
        <v>0</v>
      </c>
      <c r="AA23" s="29">
        <v>686700</v>
      </c>
      <c r="AB23" s="29">
        <v>0</v>
      </c>
      <c r="AC23" s="29">
        <v>0</v>
      </c>
      <c r="AD23" s="29">
        <v>3010371</v>
      </c>
      <c r="AE23" s="29">
        <v>451556</v>
      </c>
      <c r="AF23" s="29">
        <v>13640</v>
      </c>
      <c r="AG23" s="29">
        <v>16760022</v>
      </c>
      <c r="AH23" s="29">
        <v>18500352</v>
      </c>
      <c r="AI23" s="29">
        <v>1740330</v>
      </c>
      <c r="AJ23" s="29" t="s">
        <v>140</v>
      </c>
      <c r="AK23" s="29">
        <v>0</v>
      </c>
      <c r="AL23" s="29">
        <v>0</v>
      </c>
      <c r="AM23" s="29">
        <v>0</v>
      </c>
      <c r="AN23" s="29">
        <v>0</v>
      </c>
      <c r="AO23" s="29">
        <v>0</v>
      </c>
      <c r="AP23" s="29">
        <v>686700</v>
      </c>
    </row>
    <row r="24" spans="1:42">
      <c r="A24" s="29" t="s">
        <v>141</v>
      </c>
      <c r="B24" s="29" t="s">
        <v>142</v>
      </c>
      <c r="C24" s="29" t="s">
        <v>76</v>
      </c>
      <c r="D24" s="29">
        <v>0</v>
      </c>
      <c r="E24" s="29">
        <v>13640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812165</v>
      </c>
      <c r="L24" s="29">
        <v>200000</v>
      </c>
      <c r="M24" s="29">
        <v>1100000</v>
      </c>
      <c r="N24" s="29">
        <v>0</v>
      </c>
      <c r="O24" s="29">
        <v>1012000</v>
      </c>
      <c r="P24" s="29">
        <v>0</v>
      </c>
      <c r="Q24" s="29">
        <v>960000</v>
      </c>
      <c r="R24" s="29">
        <v>0</v>
      </c>
      <c r="S24" s="29">
        <v>0</v>
      </c>
      <c r="T24" s="29">
        <v>10341569</v>
      </c>
      <c r="U24" s="29">
        <v>0</v>
      </c>
      <c r="V24" s="29">
        <v>1047743</v>
      </c>
      <c r="W24" s="29">
        <v>0</v>
      </c>
      <c r="X24" s="29">
        <v>955452</v>
      </c>
      <c r="Y24" s="29">
        <v>0</v>
      </c>
      <c r="Z24" s="29">
        <v>0</v>
      </c>
      <c r="AA24" s="29">
        <v>686700</v>
      </c>
      <c r="AB24" s="29">
        <v>0</v>
      </c>
      <c r="AC24" s="29">
        <v>0</v>
      </c>
      <c r="AD24" s="29">
        <v>2729862</v>
      </c>
      <c r="AE24" s="29">
        <v>409479</v>
      </c>
      <c r="AF24" s="29">
        <v>13640</v>
      </c>
      <c r="AG24" s="29">
        <v>13831325</v>
      </c>
      <c r="AH24" s="29">
        <v>15473477</v>
      </c>
      <c r="AI24" s="29">
        <v>1642152</v>
      </c>
      <c r="AJ24" s="29" t="s">
        <v>143</v>
      </c>
      <c r="AK24" s="29">
        <v>0</v>
      </c>
      <c r="AL24" s="29">
        <v>0</v>
      </c>
      <c r="AM24" s="29">
        <v>0</v>
      </c>
      <c r="AN24" s="29">
        <v>0</v>
      </c>
      <c r="AO24" s="29">
        <v>0</v>
      </c>
      <c r="AP24" s="29">
        <v>686700</v>
      </c>
    </row>
    <row r="25" spans="1:42">
      <c r="A25" s="29" t="s">
        <v>144</v>
      </c>
      <c r="B25" s="29" t="s">
        <v>145</v>
      </c>
      <c r="C25" s="29" t="s">
        <v>76</v>
      </c>
      <c r="D25" s="29">
        <v>0</v>
      </c>
      <c r="E25" s="29">
        <v>13640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812165</v>
      </c>
      <c r="L25" s="29">
        <v>200000</v>
      </c>
      <c r="M25" s="29">
        <v>1100000</v>
      </c>
      <c r="N25" s="29">
        <v>0</v>
      </c>
      <c r="O25" s="29">
        <v>1012000</v>
      </c>
      <c r="P25" s="29">
        <v>0</v>
      </c>
      <c r="Q25" s="29">
        <v>960000</v>
      </c>
      <c r="R25" s="29">
        <v>0</v>
      </c>
      <c r="S25" s="29">
        <v>0</v>
      </c>
      <c r="T25" s="29">
        <v>10800214</v>
      </c>
      <c r="U25" s="29">
        <v>0</v>
      </c>
      <c r="V25" s="29">
        <v>1046875</v>
      </c>
      <c r="W25" s="29">
        <v>0</v>
      </c>
      <c r="X25" s="29">
        <v>987496</v>
      </c>
      <c r="Y25" s="29">
        <v>0</v>
      </c>
      <c r="Z25" s="29">
        <v>0</v>
      </c>
      <c r="AA25" s="29">
        <v>2075588</v>
      </c>
      <c r="AB25" s="29">
        <v>750000</v>
      </c>
      <c r="AC25" s="29">
        <v>0</v>
      </c>
      <c r="AD25" s="29">
        <v>2821418</v>
      </c>
      <c r="AE25" s="29">
        <v>423213</v>
      </c>
      <c r="AF25" s="29">
        <v>13640</v>
      </c>
      <c r="AG25" s="29">
        <v>12118170</v>
      </c>
      <c r="AH25" s="29">
        <v>15931254</v>
      </c>
      <c r="AI25" s="29">
        <v>3813084</v>
      </c>
      <c r="AJ25" s="29" t="s">
        <v>146</v>
      </c>
      <c r="AK25" s="29">
        <v>1388888</v>
      </c>
      <c r="AL25" s="29">
        <v>19444432</v>
      </c>
      <c r="AM25" s="29">
        <v>30555568</v>
      </c>
      <c r="AN25" s="29">
        <v>50000000</v>
      </c>
      <c r="AO25" s="29">
        <v>50000000</v>
      </c>
      <c r="AP25" s="29">
        <v>686700</v>
      </c>
    </row>
    <row r="26" spans="1:42">
      <c r="A26" s="29" t="s">
        <v>147</v>
      </c>
      <c r="B26" s="29" t="s">
        <v>148</v>
      </c>
      <c r="C26" s="29" t="s">
        <v>76</v>
      </c>
      <c r="D26" s="29">
        <v>60</v>
      </c>
      <c r="E26" s="29">
        <v>13640</v>
      </c>
      <c r="F26" s="29">
        <v>0</v>
      </c>
      <c r="G26" s="29">
        <v>83555</v>
      </c>
      <c r="H26" s="29">
        <v>0</v>
      </c>
      <c r="I26" s="29">
        <v>0</v>
      </c>
      <c r="J26" s="29">
        <v>0</v>
      </c>
      <c r="K26" s="29">
        <v>1624330</v>
      </c>
      <c r="L26" s="29">
        <v>200000</v>
      </c>
      <c r="M26" s="29">
        <v>1100000</v>
      </c>
      <c r="N26" s="29">
        <v>0</v>
      </c>
      <c r="O26" s="29">
        <v>1012000</v>
      </c>
      <c r="P26" s="29">
        <v>0</v>
      </c>
      <c r="Q26" s="29">
        <v>960000</v>
      </c>
      <c r="R26" s="29">
        <v>0</v>
      </c>
      <c r="S26" s="29">
        <v>0</v>
      </c>
      <c r="T26" s="29">
        <v>10341569</v>
      </c>
      <c r="U26" s="29">
        <v>458645</v>
      </c>
      <c r="V26" s="29">
        <v>1040675</v>
      </c>
      <c r="W26" s="29">
        <v>0</v>
      </c>
      <c r="X26" s="29">
        <v>992911</v>
      </c>
      <c r="Y26" s="29">
        <v>0</v>
      </c>
      <c r="Z26" s="29">
        <v>0</v>
      </c>
      <c r="AA26" s="29">
        <v>2075588</v>
      </c>
      <c r="AB26" s="29">
        <v>750000</v>
      </c>
      <c r="AC26" s="29">
        <v>0</v>
      </c>
      <c r="AD26" s="29">
        <v>2836889</v>
      </c>
      <c r="AE26" s="29">
        <v>425533</v>
      </c>
      <c r="AF26" s="29">
        <v>13640</v>
      </c>
      <c r="AG26" s="29">
        <v>13002275</v>
      </c>
      <c r="AH26" s="29">
        <v>16820774</v>
      </c>
      <c r="AI26" s="29">
        <v>3818499</v>
      </c>
      <c r="AJ26" s="29" t="s">
        <v>149</v>
      </c>
      <c r="AK26" s="29">
        <v>1388888</v>
      </c>
      <c r="AL26" s="29">
        <v>11111104</v>
      </c>
      <c r="AM26" s="29">
        <v>38888896</v>
      </c>
      <c r="AN26" s="29">
        <v>50000000</v>
      </c>
      <c r="AO26" s="29">
        <v>50000000</v>
      </c>
      <c r="AP26" s="29">
        <v>686700</v>
      </c>
    </row>
    <row r="27" spans="1:42">
      <c r="A27" s="29" t="s">
        <v>150</v>
      </c>
      <c r="B27" s="29" t="s">
        <v>151</v>
      </c>
      <c r="C27" s="29" t="s">
        <v>76</v>
      </c>
      <c r="D27" s="29">
        <v>60</v>
      </c>
      <c r="E27" s="29">
        <v>13640</v>
      </c>
      <c r="F27" s="29">
        <v>0</v>
      </c>
      <c r="G27" s="29">
        <v>91927</v>
      </c>
      <c r="H27" s="29">
        <v>0</v>
      </c>
      <c r="I27" s="29">
        <v>0</v>
      </c>
      <c r="J27" s="29">
        <v>0</v>
      </c>
      <c r="K27" s="29">
        <v>3248660</v>
      </c>
      <c r="L27" s="29">
        <v>200000</v>
      </c>
      <c r="M27" s="29">
        <v>1100000</v>
      </c>
      <c r="N27" s="29">
        <v>0</v>
      </c>
      <c r="O27" s="29">
        <v>1012000</v>
      </c>
      <c r="P27" s="29">
        <v>0</v>
      </c>
      <c r="Q27" s="29">
        <v>960000</v>
      </c>
      <c r="R27" s="29">
        <v>0</v>
      </c>
      <c r="S27" s="29">
        <v>0</v>
      </c>
      <c r="T27" s="29">
        <v>11946842</v>
      </c>
      <c r="U27" s="29">
        <v>0</v>
      </c>
      <c r="V27" s="29">
        <v>1080479</v>
      </c>
      <c r="W27" s="29">
        <v>0</v>
      </c>
      <c r="X27" s="29">
        <v>1076547</v>
      </c>
      <c r="Y27" s="29">
        <v>0</v>
      </c>
      <c r="Z27" s="29">
        <v>0</v>
      </c>
      <c r="AA27" s="29">
        <v>2075588</v>
      </c>
      <c r="AB27" s="29">
        <v>750000</v>
      </c>
      <c r="AC27" s="29">
        <v>0</v>
      </c>
      <c r="AD27" s="29">
        <v>3075850</v>
      </c>
      <c r="AE27" s="29">
        <v>461377</v>
      </c>
      <c r="AF27" s="29">
        <v>13640</v>
      </c>
      <c r="AG27" s="29">
        <v>15737773</v>
      </c>
      <c r="AH27" s="29">
        <v>19639908</v>
      </c>
      <c r="AI27" s="29">
        <v>3902135</v>
      </c>
      <c r="AJ27" s="29" t="s">
        <v>152</v>
      </c>
      <c r="AK27" s="29">
        <v>1388888</v>
      </c>
      <c r="AL27" s="29">
        <v>40277752</v>
      </c>
      <c r="AM27" s="29">
        <v>9722248</v>
      </c>
      <c r="AN27" s="29">
        <v>50000000</v>
      </c>
      <c r="AO27" s="29">
        <v>50000000</v>
      </c>
      <c r="AP27" s="29">
        <v>686700</v>
      </c>
    </row>
    <row r="28" spans="1:42">
      <c r="A28" s="29" t="s">
        <v>153</v>
      </c>
      <c r="B28" s="29" t="s">
        <v>154</v>
      </c>
      <c r="C28" s="29" t="s">
        <v>76</v>
      </c>
      <c r="D28" s="29">
        <v>0</v>
      </c>
      <c r="E28" s="29">
        <v>1320</v>
      </c>
      <c r="F28" s="29">
        <v>12320</v>
      </c>
      <c r="G28" s="29">
        <v>0</v>
      </c>
      <c r="H28" s="29">
        <v>0</v>
      </c>
      <c r="I28" s="29">
        <v>0</v>
      </c>
      <c r="J28" s="29">
        <v>7695565</v>
      </c>
      <c r="K28" s="29">
        <v>157193</v>
      </c>
      <c r="L28" s="29">
        <v>19355</v>
      </c>
      <c r="M28" s="29">
        <v>106452</v>
      </c>
      <c r="N28" s="29">
        <v>0</v>
      </c>
      <c r="O28" s="29">
        <v>101200</v>
      </c>
      <c r="P28" s="29">
        <v>0</v>
      </c>
      <c r="Q28" s="29">
        <v>96000</v>
      </c>
      <c r="R28" s="29">
        <v>0</v>
      </c>
      <c r="S28" s="29">
        <v>0</v>
      </c>
      <c r="T28" s="29">
        <v>1000797</v>
      </c>
      <c r="U28" s="29">
        <v>0</v>
      </c>
      <c r="V28" s="29">
        <v>101394</v>
      </c>
      <c r="W28" s="29">
        <v>0</v>
      </c>
      <c r="X28" s="29">
        <v>92680</v>
      </c>
      <c r="Y28" s="29">
        <v>0</v>
      </c>
      <c r="Z28" s="29">
        <v>0</v>
      </c>
      <c r="AA28" s="29">
        <v>686700</v>
      </c>
      <c r="AB28" s="29">
        <v>750000</v>
      </c>
      <c r="AC28" s="29">
        <v>7748576</v>
      </c>
      <c r="AD28" s="29">
        <v>264800</v>
      </c>
      <c r="AE28" s="29">
        <v>39720</v>
      </c>
      <c r="AF28" s="29">
        <v>1320</v>
      </c>
      <c r="AG28" s="29">
        <v>0</v>
      </c>
      <c r="AH28" s="29">
        <v>9277956</v>
      </c>
      <c r="AI28" s="29">
        <v>9277956</v>
      </c>
      <c r="AJ28" s="29" t="s">
        <v>155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686700</v>
      </c>
    </row>
    <row r="29" spans="1:42">
      <c r="A29" s="29" t="s">
        <v>156</v>
      </c>
      <c r="B29" s="29" t="s">
        <v>157</v>
      </c>
      <c r="C29" s="29" t="s">
        <v>76</v>
      </c>
      <c r="D29" s="29">
        <v>180</v>
      </c>
      <c r="E29" s="29">
        <v>13640</v>
      </c>
      <c r="F29" s="29">
        <v>0</v>
      </c>
      <c r="G29" s="29">
        <v>250580</v>
      </c>
      <c r="H29" s="29">
        <v>0</v>
      </c>
      <c r="I29" s="29">
        <v>0</v>
      </c>
      <c r="J29" s="29">
        <v>0</v>
      </c>
      <c r="K29" s="29">
        <v>1624330</v>
      </c>
      <c r="L29" s="29">
        <v>200000</v>
      </c>
      <c r="M29" s="29">
        <v>1100000</v>
      </c>
      <c r="N29" s="29">
        <v>0</v>
      </c>
      <c r="O29" s="29">
        <v>1012000</v>
      </c>
      <c r="P29" s="29">
        <v>0</v>
      </c>
      <c r="Q29" s="29">
        <v>960000</v>
      </c>
      <c r="R29" s="29">
        <v>0</v>
      </c>
      <c r="S29" s="29">
        <v>0</v>
      </c>
      <c r="T29" s="29">
        <v>10800214</v>
      </c>
      <c r="U29" s="29">
        <v>0</v>
      </c>
      <c r="V29" s="29">
        <v>1036701</v>
      </c>
      <c r="W29" s="29">
        <v>0</v>
      </c>
      <c r="X29" s="29">
        <v>1004325</v>
      </c>
      <c r="Y29" s="29">
        <v>0</v>
      </c>
      <c r="Z29" s="29">
        <v>106244</v>
      </c>
      <c r="AA29" s="29">
        <v>1520033</v>
      </c>
      <c r="AB29" s="29">
        <v>750000</v>
      </c>
      <c r="AC29" s="29">
        <v>0</v>
      </c>
      <c r="AD29" s="29">
        <v>2869499</v>
      </c>
      <c r="AE29" s="29">
        <v>430425</v>
      </c>
      <c r="AF29" s="29">
        <v>13640</v>
      </c>
      <c r="AG29" s="29">
        <v>13603223</v>
      </c>
      <c r="AH29" s="29">
        <v>16983825</v>
      </c>
      <c r="AI29" s="29">
        <v>3380602</v>
      </c>
      <c r="AJ29" s="29" t="s">
        <v>158</v>
      </c>
      <c r="AK29" s="29">
        <v>833333</v>
      </c>
      <c r="AL29" s="29">
        <v>22499991</v>
      </c>
      <c r="AM29" s="29">
        <v>7500009</v>
      </c>
      <c r="AN29" s="29">
        <v>30000000</v>
      </c>
      <c r="AO29" s="29">
        <v>30000000</v>
      </c>
      <c r="AP29" s="29">
        <v>686700</v>
      </c>
    </row>
    <row r="30" spans="1:42">
      <c r="A30" s="29" t="s">
        <v>159</v>
      </c>
      <c r="B30" s="29" t="s">
        <v>160</v>
      </c>
      <c r="C30" s="29" t="s">
        <v>76</v>
      </c>
      <c r="D30" s="29">
        <v>420</v>
      </c>
      <c r="E30" s="29">
        <v>13640</v>
      </c>
      <c r="F30" s="29">
        <v>0</v>
      </c>
      <c r="G30" s="29">
        <v>678122</v>
      </c>
      <c r="H30" s="29">
        <v>0</v>
      </c>
      <c r="I30" s="29">
        <v>0</v>
      </c>
      <c r="J30" s="29">
        <v>0</v>
      </c>
      <c r="K30" s="29">
        <v>1624330</v>
      </c>
      <c r="L30" s="29">
        <v>200000</v>
      </c>
      <c r="M30" s="29">
        <v>1100000</v>
      </c>
      <c r="N30" s="29">
        <v>0</v>
      </c>
      <c r="O30" s="29">
        <v>1012000</v>
      </c>
      <c r="P30" s="29">
        <v>0</v>
      </c>
      <c r="Q30" s="29">
        <v>960000</v>
      </c>
      <c r="R30" s="29">
        <v>0</v>
      </c>
      <c r="S30" s="29">
        <v>0</v>
      </c>
      <c r="T30" s="29">
        <v>12634763</v>
      </c>
      <c r="U30" s="29">
        <v>0</v>
      </c>
      <c r="V30" s="29">
        <v>1093747</v>
      </c>
      <c r="W30" s="29">
        <v>0</v>
      </c>
      <c r="X30" s="29">
        <v>1166664</v>
      </c>
      <c r="Y30" s="29">
        <v>0</v>
      </c>
      <c r="Z30" s="29">
        <v>0</v>
      </c>
      <c r="AA30" s="29">
        <v>686700</v>
      </c>
      <c r="AB30" s="29">
        <v>0</v>
      </c>
      <c r="AC30" s="29">
        <v>0</v>
      </c>
      <c r="AD30" s="29">
        <v>3333326</v>
      </c>
      <c r="AE30" s="29">
        <v>499999</v>
      </c>
      <c r="AF30" s="29">
        <v>13640</v>
      </c>
      <c r="AG30" s="29">
        <v>17449598</v>
      </c>
      <c r="AH30" s="29">
        <v>19302962</v>
      </c>
      <c r="AI30" s="29">
        <v>1853364</v>
      </c>
      <c r="AJ30" s="29" t="s">
        <v>161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686700</v>
      </c>
    </row>
    <row r="31" spans="1:42">
      <c r="A31" s="29" t="s">
        <v>162</v>
      </c>
      <c r="B31" s="29" t="s">
        <v>163</v>
      </c>
      <c r="C31" s="29" t="s">
        <v>76</v>
      </c>
      <c r="D31" s="29">
        <v>0</v>
      </c>
      <c r="E31" s="29">
        <v>13640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1624330</v>
      </c>
      <c r="L31" s="29">
        <v>200000</v>
      </c>
      <c r="M31" s="29">
        <v>1100000</v>
      </c>
      <c r="N31" s="29">
        <v>0</v>
      </c>
      <c r="O31" s="29">
        <v>1012000</v>
      </c>
      <c r="P31" s="29">
        <v>0</v>
      </c>
      <c r="Q31" s="29">
        <v>960000</v>
      </c>
      <c r="R31" s="29">
        <v>0</v>
      </c>
      <c r="S31" s="29">
        <v>0</v>
      </c>
      <c r="T31" s="29">
        <v>12634763</v>
      </c>
      <c r="U31" s="29">
        <v>0</v>
      </c>
      <c r="V31" s="29">
        <v>1093747</v>
      </c>
      <c r="W31" s="29">
        <v>0</v>
      </c>
      <c r="X31" s="29">
        <v>1119196</v>
      </c>
      <c r="Y31" s="29">
        <v>0</v>
      </c>
      <c r="Z31" s="29">
        <v>0</v>
      </c>
      <c r="AA31" s="29">
        <v>2075588</v>
      </c>
      <c r="AB31" s="29">
        <v>750000</v>
      </c>
      <c r="AC31" s="29">
        <v>0</v>
      </c>
      <c r="AD31" s="29">
        <v>3197702</v>
      </c>
      <c r="AE31" s="29">
        <v>479655</v>
      </c>
      <c r="AF31" s="29">
        <v>13640</v>
      </c>
      <c r="AG31" s="29">
        <v>14680056</v>
      </c>
      <c r="AH31" s="29">
        <v>18624840</v>
      </c>
      <c r="AI31" s="29">
        <v>3944784</v>
      </c>
      <c r="AJ31" s="29" t="s">
        <v>164</v>
      </c>
      <c r="AK31" s="29">
        <v>1388888</v>
      </c>
      <c r="AL31" s="29">
        <v>38888864</v>
      </c>
      <c r="AM31" s="29">
        <v>11111136</v>
      </c>
      <c r="AN31" s="29">
        <v>50000000</v>
      </c>
      <c r="AO31" s="29">
        <v>50000000</v>
      </c>
      <c r="AP31" s="29">
        <v>686700</v>
      </c>
    </row>
    <row r="32" spans="1:42">
      <c r="A32" s="29" t="s">
        <v>165</v>
      </c>
      <c r="B32" s="29" t="s">
        <v>166</v>
      </c>
      <c r="C32" s="29" t="s">
        <v>76</v>
      </c>
      <c r="D32" s="29">
        <v>0</v>
      </c>
      <c r="E32" s="29">
        <v>13640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812165</v>
      </c>
      <c r="L32" s="29">
        <v>200000</v>
      </c>
      <c r="M32" s="29">
        <v>1100000</v>
      </c>
      <c r="N32" s="29">
        <v>0</v>
      </c>
      <c r="O32" s="29">
        <v>1012000</v>
      </c>
      <c r="P32" s="29">
        <v>0</v>
      </c>
      <c r="Q32" s="29">
        <v>960000</v>
      </c>
      <c r="R32" s="29">
        <v>0</v>
      </c>
      <c r="S32" s="29">
        <v>0</v>
      </c>
      <c r="T32" s="29">
        <v>10341569</v>
      </c>
      <c r="U32" s="29">
        <v>0</v>
      </c>
      <c r="V32" s="29">
        <v>1040675</v>
      </c>
      <c r="W32" s="29">
        <v>0</v>
      </c>
      <c r="X32" s="29">
        <v>954957</v>
      </c>
      <c r="Y32" s="29">
        <v>0</v>
      </c>
      <c r="Z32" s="29">
        <v>0</v>
      </c>
      <c r="AA32" s="29">
        <v>2075588</v>
      </c>
      <c r="AB32" s="29">
        <v>750000</v>
      </c>
      <c r="AC32" s="29">
        <v>0</v>
      </c>
      <c r="AD32" s="29">
        <v>2728449</v>
      </c>
      <c r="AE32" s="29">
        <v>409267</v>
      </c>
      <c r="AF32" s="29">
        <v>13640</v>
      </c>
      <c r="AG32" s="29">
        <v>11685864</v>
      </c>
      <c r="AH32" s="29">
        <v>15466409</v>
      </c>
      <c r="AI32" s="29">
        <v>3780545</v>
      </c>
      <c r="AJ32" s="29" t="s">
        <v>167</v>
      </c>
      <c r="AK32" s="29">
        <v>1388888</v>
      </c>
      <c r="AL32" s="29">
        <v>19444432</v>
      </c>
      <c r="AM32" s="29">
        <v>30555568</v>
      </c>
      <c r="AN32" s="29">
        <v>50000000</v>
      </c>
      <c r="AO32" s="29">
        <v>50000000</v>
      </c>
      <c r="AP32" s="29">
        <v>686700</v>
      </c>
    </row>
    <row r="33" spans="4:42">
      <c r="D33" s="30">
        <v>4260</v>
      </c>
      <c r="E33" s="30">
        <v>410520</v>
      </c>
      <c r="F33" s="30">
        <v>12320</v>
      </c>
      <c r="G33" s="30">
        <v>6139394</v>
      </c>
      <c r="H33" s="30">
        <v>0</v>
      </c>
      <c r="I33" s="30">
        <v>0</v>
      </c>
      <c r="J33" s="30">
        <v>7695565</v>
      </c>
      <c r="K33" s="30">
        <v>50511423</v>
      </c>
      <c r="L33" s="30">
        <v>6019355</v>
      </c>
      <c r="M33" s="30">
        <v>33106452</v>
      </c>
      <c r="N33" s="30">
        <v>0</v>
      </c>
      <c r="O33" s="30">
        <v>30461200</v>
      </c>
      <c r="P33" s="30">
        <v>6601805</v>
      </c>
      <c r="Q33" s="30">
        <v>28896000</v>
      </c>
      <c r="R33" s="30">
        <v>0</v>
      </c>
      <c r="S33" s="30">
        <v>526143</v>
      </c>
      <c r="T33" s="30">
        <v>340944813</v>
      </c>
      <c r="U33" s="30">
        <v>1605242</v>
      </c>
      <c r="V33" s="30">
        <v>32041210</v>
      </c>
      <c r="W33" s="30">
        <v>1238326</v>
      </c>
      <c r="X33" s="30">
        <v>31536184</v>
      </c>
      <c r="Y33" s="30">
        <v>0</v>
      </c>
      <c r="Z33" s="30">
        <v>-1488445</v>
      </c>
      <c r="AA33" s="30">
        <v>49343238</v>
      </c>
      <c r="AB33" s="30">
        <v>18000000</v>
      </c>
      <c r="AC33" s="30">
        <v>7748576</v>
      </c>
      <c r="AD33" s="30">
        <v>90103384</v>
      </c>
      <c r="AE33" s="30">
        <v>13515510</v>
      </c>
      <c r="AF33" s="30">
        <v>410520</v>
      </c>
      <c r="AG33" s="30">
        <v>440647375</v>
      </c>
      <c r="AH33" s="30">
        <v>545786928</v>
      </c>
      <c r="AI33" s="30">
        <v>105139553</v>
      </c>
      <c r="AJ33" s="30"/>
      <c r="AK33" s="30">
        <v>28055538</v>
      </c>
      <c r="AL33" s="30">
        <v>548888606</v>
      </c>
      <c r="AM33" s="30">
        <v>387222482</v>
      </c>
      <c r="AN33" s="30">
        <v>936111088</v>
      </c>
      <c r="AO33" s="30">
        <v>936111088</v>
      </c>
      <c r="AP33" s="30">
        <v>21287700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rightToLeft="1" topLeftCell="J16" workbookViewId="0">
      <selection activeCell="N33" sqref="N33"/>
    </sheetView>
  </sheetViews>
  <sheetFormatPr defaultRowHeight="14.25"/>
  <cols>
    <col min="1" max="1" width="12.5703125" style="29" bestFit="1" customWidth="1"/>
    <col min="2" max="2" width="26.28515625" style="29" bestFit="1" customWidth="1"/>
    <col min="3" max="3" width="21" style="29" bestFit="1" customWidth="1"/>
    <col min="4" max="4" width="25.42578125" style="29" bestFit="1" customWidth="1"/>
    <col min="5" max="5" width="23.7109375" style="29" bestFit="1" customWidth="1"/>
    <col min="6" max="6" width="26.42578125" style="29" bestFit="1" customWidth="1"/>
    <col min="7" max="7" width="24.42578125" style="29" bestFit="1" customWidth="1"/>
    <col min="8" max="8" width="23.140625" style="29" bestFit="1" customWidth="1"/>
    <col min="9" max="9" width="28.85546875" style="29" bestFit="1" customWidth="1"/>
    <col min="10" max="10" width="24.42578125" style="29" bestFit="1" customWidth="1"/>
    <col min="11" max="11" width="26.140625" style="29" bestFit="1" customWidth="1"/>
    <col min="12" max="12" width="28.140625" style="29" bestFit="1" customWidth="1"/>
    <col min="13" max="13" width="18.85546875" style="29" bestFit="1" customWidth="1"/>
    <col min="14" max="14" width="17.42578125" style="29" bestFit="1" customWidth="1"/>
    <col min="15" max="15" width="17.5703125" style="29" bestFit="1" customWidth="1"/>
    <col min="16" max="16384" width="9.140625" style="29"/>
  </cols>
  <sheetData>
    <row r="1" spans="1:15">
      <c r="A1" s="28" t="s">
        <v>0</v>
      </c>
      <c r="B1" s="28" t="s">
        <v>1</v>
      </c>
      <c r="C1" s="28" t="s">
        <v>2</v>
      </c>
      <c r="D1" s="28" t="s">
        <v>38</v>
      </c>
      <c r="E1" s="28" t="s">
        <v>39</v>
      </c>
      <c r="F1" s="28" t="s">
        <v>40</v>
      </c>
      <c r="G1" s="28" t="s">
        <v>41</v>
      </c>
      <c r="H1" s="28" t="s">
        <v>42</v>
      </c>
      <c r="I1" s="28" t="s">
        <v>43</v>
      </c>
      <c r="J1" s="28" t="s">
        <v>44</v>
      </c>
      <c r="K1" s="28" t="s">
        <v>45</v>
      </c>
      <c r="L1" s="28" t="s">
        <v>46</v>
      </c>
      <c r="M1" s="28" t="s">
        <v>47</v>
      </c>
      <c r="N1" s="28" t="s">
        <v>48</v>
      </c>
      <c r="O1" s="28" t="s">
        <v>49</v>
      </c>
    </row>
    <row r="2" spans="1:15">
      <c r="A2" s="29" t="str">
        <f>"9157041"</f>
        <v>9157041</v>
      </c>
      <c r="B2" s="29" t="str">
        <f>"عيد آسماني"</f>
        <v>عيد آسماني</v>
      </c>
      <c r="C2" s="29" t="str">
        <f t="shared" ref="C2:C32" si="0">"توليد توسعه - دارخوين"</f>
        <v>توليد توسعه - دارخوين</v>
      </c>
      <c r="D2" s="29">
        <v>1100000</v>
      </c>
      <c r="E2" s="29">
        <v>0</v>
      </c>
      <c r="F2" s="29">
        <v>200000</v>
      </c>
      <c r="G2" s="29">
        <v>9564120</v>
      </c>
      <c r="H2" s="29">
        <v>0</v>
      </c>
      <c r="I2" s="29">
        <v>0</v>
      </c>
      <c r="J2" s="29">
        <v>0</v>
      </c>
      <c r="K2" s="29">
        <v>994265</v>
      </c>
      <c r="L2" s="29">
        <v>0</v>
      </c>
      <c r="M2" s="33">
        <f t="shared" ref="M2:M32" si="1">SUM(D2:L2)</f>
        <v>11858385</v>
      </c>
      <c r="N2" s="33">
        <f t="shared" ref="N2:N32" si="2">M2/12</f>
        <v>988198.75</v>
      </c>
      <c r="O2" s="33">
        <f t="shared" ref="O2:O32" si="3">IF(M2*2&gt;24364980,24364980,M2*2)/12</f>
        <v>1976397.5</v>
      </c>
    </row>
    <row r="3" spans="1:15">
      <c r="A3" s="29" t="str">
        <f>"9157042"</f>
        <v>9157042</v>
      </c>
      <c r="B3" s="29" t="str">
        <f>"کاظم آل بالدي"</f>
        <v>کاظم آل بالدي</v>
      </c>
      <c r="C3" s="29" t="str">
        <f t="shared" si="0"/>
        <v>توليد توسعه - دارخوين</v>
      </c>
      <c r="D3" s="29">
        <v>1100000</v>
      </c>
      <c r="E3" s="29">
        <v>3248660</v>
      </c>
      <c r="F3" s="29">
        <v>200000</v>
      </c>
      <c r="G3" s="29">
        <v>11006610</v>
      </c>
      <c r="H3" s="29">
        <v>0</v>
      </c>
      <c r="I3" s="29">
        <v>0</v>
      </c>
      <c r="J3" s="29">
        <v>0</v>
      </c>
      <c r="K3" s="29">
        <v>1039625</v>
      </c>
      <c r="L3" s="29">
        <v>0</v>
      </c>
      <c r="M3" s="33">
        <f t="shared" si="1"/>
        <v>16594895</v>
      </c>
      <c r="N3" s="33">
        <f t="shared" si="2"/>
        <v>1382907.9166666667</v>
      </c>
      <c r="O3" s="33">
        <f t="shared" si="3"/>
        <v>2030415</v>
      </c>
    </row>
    <row r="4" spans="1:15">
      <c r="A4" s="29" t="str">
        <f>"9157043"</f>
        <v>9157043</v>
      </c>
      <c r="B4" s="29" t="str">
        <f>"عبداله البوبالد"</f>
        <v>عبداله البوبالد</v>
      </c>
      <c r="C4" s="29" t="str">
        <f t="shared" si="0"/>
        <v>توليد توسعه - دارخوين</v>
      </c>
      <c r="D4" s="29">
        <v>1100000</v>
      </c>
      <c r="E4" s="29">
        <v>812165</v>
      </c>
      <c r="F4" s="29">
        <v>200000</v>
      </c>
      <c r="G4" s="29">
        <v>12227190</v>
      </c>
      <c r="H4" s="29">
        <v>0</v>
      </c>
      <c r="I4" s="29">
        <v>0</v>
      </c>
      <c r="J4" s="29">
        <v>0</v>
      </c>
      <c r="K4" s="29">
        <v>1058465</v>
      </c>
      <c r="L4" s="29">
        <v>0</v>
      </c>
      <c r="M4" s="33">
        <f t="shared" si="1"/>
        <v>15397820</v>
      </c>
      <c r="N4" s="33">
        <f t="shared" si="2"/>
        <v>1283151.6666666667</v>
      </c>
      <c r="O4" s="33">
        <f t="shared" si="3"/>
        <v>2030415</v>
      </c>
    </row>
    <row r="5" spans="1:15">
      <c r="A5" s="29" t="str">
        <f>"9157044"</f>
        <v>9157044</v>
      </c>
      <c r="B5" s="29" t="str">
        <f>"سعيد ال بوبالدي"</f>
        <v>سعيد ال بوبالدي</v>
      </c>
      <c r="C5" s="29" t="str">
        <f t="shared" si="0"/>
        <v>توليد توسعه - دارخوين</v>
      </c>
      <c r="D5" s="29">
        <v>1100000</v>
      </c>
      <c r="E5" s="29">
        <v>2436495</v>
      </c>
      <c r="F5" s="29">
        <v>200000</v>
      </c>
      <c r="G5" s="29">
        <v>10451820</v>
      </c>
      <c r="H5" s="29">
        <v>0</v>
      </c>
      <c r="I5" s="29">
        <v>0</v>
      </c>
      <c r="J5" s="29">
        <v>0</v>
      </c>
      <c r="K5" s="29">
        <v>1019945</v>
      </c>
      <c r="L5" s="29">
        <v>0</v>
      </c>
      <c r="M5" s="33">
        <f t="shared" si="1"/>
        <v>15208260</v>
      </c>
      <c r="N5" s="33">
        <f t="shared" si="2"/>
        <v>1267355</v>
      </c>
      <c r="O5" s="33">
        <f t="shared" si="3"/>
        <v>2030415</v>
      </c>
    </row>
    <row r="6" spans="1:15">
      <c r="A6" s="29" t="str">
        <f>"9157045"</f>
        <v>9157045</v>
      </c>
      <c r="B6" s="29" t="str">
        <f>"شريف آلبوبالدي"</f>
        <v>شريف آلبوبالدي</v>
      </c>
      <c r="C6" s="29" t="str">
        <f t="shared" si="0"/>
        <v>توليد توسعه - دارخوين</v>
      </c>
      <c r="D6" s="29">
        <v>1100000</v>
      </c>
      <c r="E6" s="29">
        <v>812165</v>
      </c>
      <c r="F6" s="29">
        <v>200000</v>
      </c>
      <c r="G6" s="29">
        <v>10451820</v>
      </c>
      <c r="H6" s="29">
        <v>0</v>
      </c>
      <c r="I6" s="29">
        <v>0</v>
      </c>
      <c r="J6" s="29">
        <v>0</v>
      </c>
      <c r="K6" s="29">
        <v>1019945</v>
      </c>
      <c r="L6" s="29">
        <v>0</v>
      </c>
      <c r="M6" s="33">
        <f t="shared" si="1"/>
        <v>13583930</v>
      </c>
      <c r="N6" s="33">
        <f t="shared" si="2"/>
        <v>1131994.1666666667</v>
      </c>
      <c r="O6" s="33">
        <f t="shared" si="3"/>
        <v>2030415</v>
      </c>
    </row>
    <row r="7" spans="1:15">
      <c r="A7" s="29" t="str">
        <f>"9157046"</f>
        <v>9157046</v>
      </c>
      <c r="B7" s="29" t="str">
        <f>"يعقوب آلبوبالدي"</f>
        <v>يعقوب آلبوبالدي</v>
      </c>
      <c r="C7" s="29" t="str">
        <f t="shared" si="0"/>
        <v>توليد توسعه - دارخوين</v>
      </c>
      <c r="D7" s="29">
        <v>1100000</v>
      </c>
      <c r="E7" s="29">
        <v>2436495</v>
      </c>
      <c r="F7" s="29">
        <v>200000</v>
      </c>
      <c r="G7" s="29">
        <v>13558680</v>
      </c>
      <c r="H7" s="29">
        <v>0</v>
      </c>
      <c r="I7" s="29">
        <v>0</v>
      </c>
      <c r="J7" s="29">
        <v>0</v>
      </c>
      <c r="K7" s="29">
        <v>1096985</v>
      </c>
      <c r="L7" s="29">
        <v>0</v>
      </c>
      <c r="M7" s="33">
        <f t="shared" si="1"/>
        <v>18392160</v>
      </c>
      <c r="N7" s="33">
        <f t="shared" si="2"/>
        <v>1532680</v>
      </c>
      <c r="O7" s="33">
        <f t="shared" si="3"/>
        <v>2030415</v>
      </c>
    </row>
    <row r="8" spans="1:15">
      <c r="A8" s="29" t="str">
        <f>"9157047"</f>
        <v>9157047</v>
      </c>
      <c r="B8" s="29" t="str">
        <f>"محمد البوغبيش"</f>
        <v>محمد البوغبيش</v>
      </c>
      <c r="C8" s="29" t="str">
        <f t="shared" si="0"/>
        <v>توليد توسعه - دارخوين</v>
      </c>
      <c r="D8" s="29">
        <v>1100000</v>
      </c>
      <c r="E8" s="29">
        <v>812165</v>
      </c>
      <c r="F8" s="29">
        <v>200000</v>
      </c>
      <c r="G8" s="29">
        <v>13558680</v>
      </c>
      <c r="H8" s="29">
        <v>0</v>
      </c>
      <c r="I8" s="29">
        <v>0</v>
      </c>
      <c r="J8" s="29">
        <v>0</v>
      </c>
      <c r="K8" s="29">
        <v>1096985</v>
      </c>
      <c r="L8" s="29">
        <v>0</v>
      </c>
      <c r="M8" s="33">
        <f t="shared" si="1"/>
        <v>16767830</v>
      </c>
      <c r="N8" s="33">
        <f t="shared" si="2"/>
        <v>1397319.1666666667</v>
      </c>
      <c r="O8" s="33">
        <f t="shared" si="3"/>
        <v>2030415</v>
      </c>
    </row>
    <row r="9" spans="1:15">
      <c r="A9" s="29" t="str">
        <f>"9157049"</f>
        <v>9157049</v>
      </c>
      <c r="B9" s="29" t="str">
        <f>"عبدالامام بالدي"</f>
        <v>عبدالامام بالدي</v>
      </c>
      <c r="C9" s="29" t="str">
        <f t="shared" si="0"/>
        <v>توليد توسعه - دارخوين</v>
      </c>
      <c r="D9" s="29">
        <v>1100000</v>
      </c>
      <c r="E9" s="29">
        <v>0</v>
      </c>
      <c r="F9" s="29">
        <v>200000</v>
      </c>
      <c r="G9" s="29">
        <v>12227190</v>
      </c>
      <c r="H9" s="29">
        <v>0</v>
      </c>
      <c r="I9" s="29">
        <v>0</v>
      </c>
      <c r="J9" s="29">
        <v>1198380</v>
      </c>
      <c r="K9" s="29">
        <v>1058465</v>
      </c>
      <c r="L9" s="29">
        <v>0</v>
      </c>
      <c r="M9" s="33">
        <f t="shared" si="1"/>
        <v>15784035</v>
      </c>
      <c r="N9" s="33">
        <f t="shared" si="2"/>
        <v>1315336.25</v>
      </c>
      <c r="O9" s="33">
        <f t="shared" si="3"/>
        <v>2030415</v>
      </c>
    </row>
    <row r="10" spans="1:15">
      <c r="A10" s="29" t="str">
        <f>"9157050"</f>
        <v>9157050</v>
      </c>
      <c r="B10" s="29" t="str">
        <f>"حسين باوي"</f>
        <v>حسين باوي</v>
      </c>
      <c r="C10" s="29" t="str">
        <f t="shared" si="0"/>
        <v>توليد توسعه - دارخوين</v>
      </c>
      <c r="D10" s="29">
        <v>1100000</v>
      </c>
      <c r="E10" s="29">
        <v>3248660</v>
      </c>
      <c r="F10" s="29">
        <v>200000</v>
      </c>
      <c r="G10" s="29">
        <v>11561460</v>
      </c>
      <c r="H10" s="29">
        <v>0</v>
      </c>
      <c r="I10" s="29">
        <v>0</v>
      </c>
      <c r="J10" s="29">
        <v>0</v>
      </c>
      <c r="K10" s="29">
        <v>1045625</v>
      </c>
      <c r="L10" s="29">
        <v>0</v>
      </c>
      <c r="M10" s="33">
        <f t="shared" si="1"/>
        <v>17155745</v>
      </c>
      <c r="N10" s="33">
        <f t="shared" si="2"/>
        <v>1429645.4166666667</v>
      </c>
      <c r="O10" s="33">
        <f t="shared" si="3"/>
        <v>2030415</v>
      </c>
    </row>
    <row r="11" spans="1:15">
      <c r="A11" s="29" t="str">
        <f>"9157053"</f>
        <v>9157053</v>
      </c>
      <c r="B11" s="29" t="str">
        <f>"عظيم باوي سويره"</f>
        <v>عظيم باوي سويره</v>
      </c>
      <c r="C11" s="29" t="str">
        <f t="shared" si="0"/>
        <v>توليد توسعه - دارخوين</v>
      </c>
      <c r="D11" s="29">
        <v>1100000</v>
      </c>
      <c r="E11" s="29">
        <v>812165</v>
      </c>
      <c r="F11" s="29">
        <v>200000</v>
      </c>
      <c r="G11" s="29">
        <v>9120300</v>
      </c>
      <c r="H11" s="29">
        <v>332880</v>
      </c>
      <c r="I11" s="29">
        <v>0</v>
      </c>
      <c r="J11" s="29">
        <v>0</v>
      </c>
      <c r="K11" s="29">
        <v>981425</v>
      </c>
      <c r="L11" s="29">
        <v>102358</v>
      </c>
      <c r="M11" s="33">
        <f t="shared" si="1"/>
        <v>12649128</v>
      </c>
      <c r="N11" s="33">
        <f t="shared" si="2"/>
        <v>1054094</v>
      </c>
      <c r="O11" s="33">
        <f t="shared" si="3"/>
        <v>2030415</v>
      </c>
    </row>
    <row r="12" spans="1:15">
      <c r="A12" s="29" t="str">
        <f>"9157054"</f>
        <v>9157054</v>
      </c>
      <c r="B12" s="29" t="str">
        <f>"عارف باوي فرد"</f>
        <v>عارف باوي فرد</v>
      </c>
      <c r="C12" s="29" t="str">
        <f t="shared" si="0"/>
        <v>توليد توسعه - دارخوين</v>
      </c>
      <c r="D12" s="29">
        <v>1100000</v>
      </c>
      <c r="E12" s="29">
        <v>0</v>
      </c>
      <c r="F12" s="29">
        <v>200000</v>
      </c>
      <c r="G12" s="29">
        <v>10007970</v>
      </c>
      <c r="H12" s="29">
        <v>443850</v>
      </c>
      <c r="I12" s="29">
        <v>0</v>
      </c>
      <c r="J12" s="29">
        <v>0</v>
      </c>
      <c r="K12" s="29">
        <v>1007105</v>
      </c>
      <c r="L12" s="29">
        <v>0</v>
      </c>
      <c r="M12" s="33">
        <f t="shared" si="1"/>
        <v>12758925</v>
      </c>
      <c r="N12" s="33">
        <f t="shared" si="2"/>
        <v>1063243.75</v>
      </c>
      <c r="O12" s="33">
        <f t="shared" si="3"/>
        <v>2030415</v>
      </c>
    </row>
    <row r="13" spans="1:15">
      <c r="A13" s="29" t="str">
        <f>"9157055"</f>
        <v>9157055</v>
      </c>
      <c r="B13" s="29" t="str">
        <f>"نجم باوي فرد"</f>
        <v>نجم باوي فرد</v>
      </c>
      <c r="C13" s="29" t="str">
        <f t="shared" si="0"/>
        <v>توليد توسعه - دارخوين</v>
      </c>
      <c r="D13" s="29">
        <v>1100000</v>
      </c>
      <c r="E13" s="29">
        <v>1624330</v>
      </c>
      <c r="F13" s="29">
        <v>200000</v>
      </c>
      <c r="G13" s="29">
        <v>10451820</v>
      </c>
      <c r="H13" s="29">
        <v>0</v>
      </c>
      <c r="I13" s="29">
        <v>0</v>
      </c>
      <c r="J13" s="29">
        <v>0</v>
      </c>
      <c r="K13" s="29">
        <v>1019945</v>
      </c>
      <c r="L13" s="29">
        <v>0</v>
      </c>
      <c r="M13" s="33">
        <f t="shared" si="1"/>
        <v>14396095</v>
      </c>
      <c r="N13" s="33">
        <f t="shared" si="2"/>
        <v>1199674.5833333333</v>
      </c>
      <c r="O13" s="33">
        <f t="shared" si="3"/>
        <v>2030415</v>
      </c>
    </row>
    <row r="14" spans="1:15">
      <c r="A14" s="29" t="str">
        <f>"9157056"</f>
        <v>9157056</v>
      </c>
      <c r="B14" s="29" t="str">
        <f>"سعيد بدوي"</f>
        <v>سعيد بدوي</v>
      </c>
      <c r="C14" s="29" t="str">
        <f t="shared" si="0"/>
        <v>توليد توسعه - دارخوين</v>
      </c>
      <c r="D14" s="29">
        <v>1100000</v>
      </c>
      <c r="E14" s="29">
        <v>1624330</v>
      </c>
      <c r="F14" s="29">
        <v>200000</v>
      </c>
      <c r="G14" s="29">
        <v>10007970</v>
      </c>
      <c r="H14" s="29">
        <v>0</v>
      </c>
      <c r="I14" s="29">
        <v>0</v>
      </c>
      <c r="J14" s="29">
        <v>0</v>
      </c>
      <c r="K14" s="29">
        <v>1007105</v>
      </c>
      <c r="L14" s="29">
        <v>0</v>
      </c>
      <c r="M14" s="33">
        <f t="shared" si="1"/>
        <v>13939405</v>
      </c>
      <c r="N14" s="33">
        <f t="shared" si="2"/>
        <v>1161617.0833333333</v>
      </c>
      <c r="O14" s="33">
        <f t="shared" si="3"/>
        <v>2030415</v>
      </c>
    </row>
    <row r="15" spans="1:15">
      <c r="A15" s="29" t="str">
        <f>"9157057"</f>
        <v>9157057</v>
      </c>
      <c r="B15" s="29" t="str">
        <f>"عباس بدوي"</f>
        <v>عباس بدوي</v>
      </c>
      <c r="C15" s="29" t="str">
        <f t="shared" si="0"/>
        <v>توليد توسعه - دارخوين</v>
      </c>
      <c r="D15" s="29">
        <v>1100000</v>
      </c>
      <c r="E15" s="29">
        <v>3248660</v>
      </c>
      <c r="F15" s="29">
        <v>200000</v>
      </c>
      <c r="G15" s="29">
        <v>11561460</v>
      </c>
      <c r="H15" s="29">
        <v>0</v>
      </c>
      <c r="I15" s="29">
        <v>0</v>
      </c>
      <c r="J15" s="29">
        <v>0</v>
      </c>
      <c r="K15" s="29">
        <v>1045625</v>
      </c>
      <c r="L15" s="29">
        <v>0</v>
      </c>
      <c r="M15" s="33">
        <f t="shared" si="1"/>
        <v>17155745</v>
      </c>
      <c r="N15" s="33">
        <f t="shared" si="2"/>
        <v>1429645.4166666667</v>
      </c>
      <c r="O15" s="33">
        <f t="shared" si="3"/>
        <v>2030415</v>
      </c>
    </row>
    <row r="16" spans="1:15">
      <c r="A16" s="29" t="str">
        <f>"9157058"</f>
        <v>9157058</v>
      </c>
      <c r="B16" s="29" t="str">
        <f>"طاهر پورحزبه"</f>
        <v>طاهر پورحزبه</v>
      </c>
      <c r="C16" s="29" t="str">
        <f t="shared" si="0"/>
        <v>توليد توسعه - دارخوين</v>
      </c>
      <c r="D16" s="29">
        <v>1100000</v>
      </c>
      <c r="E16" s="29">
        <v>0</v>
      </c>
      <c r="F16" s="29">
        <v>200000</v>
      </c>
      <c r="G16" s="29">
        <v>11561460</v>
      </c>
      <c r="H16" s="29">
        <v>0</v>
      </c>
      <c r="I16" s="29">
        <v>0</v>
      </c>
      <c r="J16" s="29">
        <v>0</v>
      </c>
      <c r="K16" s="29">
        <v>1045625</v>
      </c>
      <c r="L16" s="29">
        <v>0</v>
      </c>
      <c r="M16" s="33">
        <f t="shared" si="1"/>
        <v>13907085</v>
      </c>
      <c r="N16" s="33">
        <f t="shared" si="2"/>
        <v>1158923.75</v>
      </c>
      <c r="O16" s="33">
        <f t="shared" si="3"/>
        <v>2030415</v>
      </c>
    </row>
    <row r="17" spans="1:15">
      <c r="A17" s="29" t="str">
        <f>"9157059"</f>
        <v>9157059</v>
      </c>
      <c r="B17" s="29" t="str">
        <f>"رحمه سياحي"</f>
        <v>رحمه سياحي</v>
      </c>
      <c r="C17" s="29" t="str">
        <f t="shared" si="0"/>
        <v>توليد توسعه - دارخوين</v>
      </c>
      <c r="D17" s="29">
        <v>1100000</v>
      </c>
      <c r="E17" s="29">
        <v>1624330</v>
      </c>
      <c r="F17" s="29">
        <v>200000</v>
      </c>
      <c r="G17" s="29">
        <v>9120300</v>
      </c>
      <c r="H17" s="29">
        <v>332880</v>
      </c>
      <c r="I17" s="29">
        <v>0</v>
      </c>
      <c r="J17" s="29">
        <v>0</v>
      </c>
      <c r="K17" s="29">
        <v>981425</v>
      </c>
      <c r="L17" s="29">
        <v>0</v>
      </c>
      <c r="M17" s="33">
        <f t="shared" si="1"/>
        <v>13358935</v>
      </c>
      <c r="N17" s="33">
        <f t="shared" si="2"/>
        <v>1113244.5833333333</v>
      </c>
      <c r="O17" s="33">
        <f t="shared" si="3"/>
        <v>2030415</v>
      </c>
    </row>
    <row r="18" spans="1:15">
      <c r="A18" s="29" t="str">
        <f>"9157060"</f>
        <v>9157060</v>
      </c>
      <c r="B18" s="29" t="str">
        <f>"مرد سياحي"</f>
        <v>مرد سياحي</v>
      </c>
      <c r="C18" s="29" t="str">
        <f t="shared" si="0"/>
        <v>توليد توسعه - دارخوين</v>
      </c>
      <c r="D18" s="29">
        <v>1100000</v>
      </c>
      <c r="E18" s="29">
        <v>1624330</v>
      </c>
      <c r="F18" s="29">
        <v>200000</v>
      </c>
      <c r="G18" s="29">
        <v>9120300</v>
      </c>
      <c r="H18" s="29">
        <v>0</v>
      </c>
      <c r="I18" s="29">
        <v>0</v>
      </c>
      <c r="J18" s="29">
        <v>0</v>
      </c>
      <c r="K18" s="29">
        <v>981425</v>
      </c>
      <c r="L18" s="29">
        <v>406813</v>
      </c>
      <c r="M18" s="33">
        <f t="shared" si="1"/>
        <v>13432868</v>
      </c>
      <c r="N18" s="33">
        <f t="shared" si="2"/>
        <v>1119405.6666666667</v>
      </c>
      <c r="O18" s="33">
        <f t="shared" si="3"/>
        <v>2030415</v>
      </c>
    </row>
    <row r="19" spans="1:15">
      <c r="A19" s="29" t="str">
        <f>"9157065"</f>
        <v>9157065</v>
      </c>
      <c r="B19" s="29" t="str">
        <f>"رحيم عقباوي"</f>
        <v>رحيم عقباوي</v>
      </c>
      <c r="C19" s="29" t="str">
        <f t="shared" si="0"/>
        <v>توليد توسعه - دارخوين</v>
      </c>
      <c r="D19" s="29">
        <v>1100000</v>
      </c>
      <c r="E19" s="29">
        <v>2436495</v>
      </c>
      <c r="F19" s="29">
        <v>200000</v>
      </c>
      <c r="G19" s="29">
        <v>10451820</v>
      </c>
      <c r="H19" s="29">
        <v>0</v>
      </c>
      <c r="I19" s="29">
        <v>0</v>
      </c>
      <c r="J19" s="29">
        <v>0</v>
      </c>
      <c r="K19" s="29">
        <v>1019945</v>
      </c>
      <c r="L19" s="29">
        <v>0</v>
      </c>
      <c r="M19" s="33">
        <f t="shared" si="1"/>
        <v>15208260</v>
      </c>
      <c r="N19" s="33">
        <f t="shared" si="2"/>
        <v>1267355</v>
      </c>
      <c r="O19" s="33">
        <f t="shared" si="3"/>
        <v>2030415</v>
      </c>
    </row>
    <row r="20" spans="1:15">
      <c r="A20" s="29" t="str">
        <f>"9157066"</f>
        <v>9157066</v>
      </c>
      <c r="B20" s="29" t="str">
        <f>"جمشيد فرحانيان"</f>
        <v>جمشيد فرحانيان</v>
      </c>
      <c r="C20" s="29" t="str">
        <f t="shared" si="0"/>
        <v>توليد توسعه - دارخوين</v>
      </c>
      <c r="D20" s="29">
        <v>1100000</v>
      </c>
      <c r="E20" s="29">
        <v>3248660</v>
      </c>
      <c r="F20" s="29">
        <v>200000</v>
      </c>
      <c r="G20" s="29">
        <v>11006610</v>
      </c>
      <c r="H20" s="29">
        <v>0</v>
      </c>
      <c r="I20" s="29">
        <v>0</v>
      </c>
      <c r="J20" s="29">
        <v>0</v>
      </c>
      <c r="K20" s="29">
        <v>1032785</v>
      </c>
      <c r="L20" s="29">
        <v>0</v>
      </c>
      <c r="M20" s="33">
        <f t="shared" si="1"/>
        <v>16588055</v>
      </c>
      <c r="N20" s="33">
        <f t="shared" si="2"/>
        <v>1382337.9166666667</v>
      </c>
      <c r="O20" s="33">
        <f t="shared" si="3"/>
        <v>2030415</v>
      </c>
    </row>
    <row r="21" spans="1:15">
      <c r="A21" s="29" t="str">
        <f>"9157068"</f>
        <v>9157068</v>
      </c>
      <c r="B21" s="29" t="str">
        <f>"مجتبي قنواتي زاده"</f>
        <v>مجتبي قنواتي زاده</v>
      </c>
      <c r="C21" s="29" t="str">
        <f t="shared" si="0"/>
        <v>توليد توسعه - دارخوين</v>
      </c>
      <c r="D21" s="29">
        <v>1100000</v>
      </c>
      <c r="E21" s="29">
        <v>1624330</v>
      </c>
      <c r="F21" s="29">
        <v>200000</v>
      </c>
      <c r="G21" s="29">
        <v>10451820</v>
      </c>
      <c r="H21" s="29">
        <v>0</v>
      </c>
      <c r="I21" s="29">
        <v>0</v>
      </c>
      <c r="J21" s="29">
        <v>0</v>
      </c>
      <c r="K21" s="29">
        <v>1019945</v>
      </c>
      <c r="L21" s="29">
        <v>0</v>
      </c>
      <c r="M21" s="33">
        <f t="shared" si="1"/>
        <v>14396095</v>
      </c>
      <c r="N21" s="33">
        <f t="shared" si="2"/>
        <v>1199674.5833333333</v>
      </c>
      <c r="O21" s="33">
        <f t="shared" si="3"/>
        <v>2030415</v>
      </c>
    </row>
    <row r="22" spans="1:15">
      <c r="A22" s="29" t="str">
        <f>"9157069"</f>
        <v>9157069</v>
      </c>
      <c r="B22" s="29" t="str">
        <f>"رضا محمدحسيني"</f>
        <v>رضا محمدحسيني</v>
      </c>
      <c r="C22" s="29" t="str">
        <f t="shared" si="0"/>
        <v>توليد توسعه - دارخوين</v>
      </c>
      <c r="D22" s="29">
        <v>1100000</v>
      </c>
      <c r="E22" s="29">
        <v>812165</v>
      </c>
      <c r="F22" s="29">
        <v>200000</v>
      </c>
      <c r="G22" s="29">
        <v>13558680</v>
      </c>
      <c r="H22" s="29">
        <v>0</v>
      </c>
      <c r="I22" s="29">
        <v>0</v>
      </c>
      <c r="J22" s="29">
        <v>0</v>
      </c>
      <c r="K22" s="29">
        <v>1096985</v>
      </c>
      <c r="L22" s="29">
        <v>0</v>
      </c>
      <c r="M22" s="33">
        <f t="shared" si="1"/>
        <v>16767830</v>
      </c>
      <c r="N22" s="33">
        <f t="shared" si="2"/>
        <v>1397319.1666666667</v>
      </c>
      <c r="O22" s="33">
        <f t="shared" si="3"/>
        <v>2030415</v>
      </c>
    </row>
    <row r="23" spans="1:15">
      <c r="A23" s="29" t="str">
        <f>"9157070"</f>
        <v>9157070</v>
      </c>
      <c r="B23" s="29" t="str">
        <f>"فاضل مقدم"</f>
        <v>فاضل مقدم</v>
      </c>
      <c r="C23" s="29" t="str">
        <f t="shared" si="0"/>
        <v>توليد توسعه - دارخوين</v>
      </c>
      <c r="D23" s="29">
        <v>1100000</v>
      </c>
      <c r="E23" s="29">
        <v>2436495</v>
      </c>
      <c r="F23" s="29">
        <v>200000</v>
      </c>
      <c r="G23" s="29">
        <v>11006610</v>
      </c>
      <c r="H23" s="29">
        <v>0</v>
      </c>
      <c r="I23" s="29">
        <v>0</v>
      </c>
      <c r="J23" s="29">
        <v>0</v>
      </c>
      <c r="K23" s="29">
        <v>1032785</v>
      </c>
      <c r="L23" s="29">
        <v>0</v>
      </c>
      <c r="M23" s="33">
        <f t="shared" si="1"/>
        <v>15775890</v>
      </c>
      <c r="N23" s="33">
        <f t="shared" si="2"/>
        <v>1314657.5</v>
      </c>
      <c r="O23" s="33">
        <f t="shared" si="3"/>
        <v>2030415</v>
      </c>
    </row>
    <row r="24" spans="1:15">
      <c r="A24" s="29" t="str">
        <f>"9157072"</f>
        <v>9157072</v>
      </c>
      <c r="B24" s="29" t="str">
        <f>"محمدامين نادري"</f>
        <v>محمدامين نادري</v>
      </c>
      <c r="C24" s="29" t="str">
        <f t="shared" si="0"/>
        <v>توليد توسعه - دارخوين</v>
      </c>
      <c r="D24" s="29">
        <v>1100000</v>
      </c>
      <c r="E24" s="29">
        <v>812165</v>
      </c>
      <c r="F24" s="29">
        <v>200000</v>
      </c>
      <c r="G24" s="29">
        <v>10007970</v>
      </c>
      <c r="H24" s="29">
        <v>0</v>
      </c>
      <c r="I24" s="29">
        <v>0</v>
      </c>
      <c r="J24" s="29">
        <v>0</v>
      </c>
      <c r="K24" s="29">
        <v>1013945</v>
      </c>
      <c r="L24" s="29">
        <v>0</v>
      </c>
      <c r="M24" s="33">
        <f t="shared" si="1"/>
        <v>13134080</v>
      </c>
      <c r="N24" s="33">
        <f t="shared" si="2"/>
        <v>1094506.6666666667</v>
      </c>
      <c r="O24" s="33">
        <f t="shared" si="3"/>
        <v>2030415</v>
      </c>
    </row>
    <row r="25" spans="1:15">
      <c r="A25" s="29" t="str">
        <f>"9157075"</f>
        <v>9157075</v>
      </c>
      <c r="B25" s="29" t="str">
        <f>"علي پورحزبه"</f>
        <v>علي پورحزبه</v>
      </c>
      <c r="C25" s="29" t="str">
        <f t="shared" si="0"/>
        <v>توليد توسعه - دارخوين</v>
      </c>
      <c r="D25" s="29">
        <v>1100000</v>
      </c>
      <c r="E25" s="29">
        <v>812165</v>
      </c>
      <c r="F25" s="29">
        <v>200000</v>
      </c>
      <c r="G25" s="29">
        <v>10451820</v>
      </c>
      <c r="H25" s="29">
        <v>0</v>
      </c>
      <c r="I25" s="29">
        <v>0</v>
      </c>
      <c r="J25" s="29">
        <v>0</v>
      </c>
      <c r="K25" s="29">
        <v>1013105</v>
      </c>
      <c r="L25" s="29">
        <v>0</v>
      </c>
      <c r="M25" s="33">
        <f t="shared" si="1"/>
        <v>13577090</v>
      </c>
      <c r="N25" s="33">
        <f t="shared" si="2"/>
        <v>1131424.1666666667</v>
      </c>
      <c r="O25" s="33">
        <f t="shared" si="3"/>
        <v>2030415</v>
      </c>
    </row>
    <row r="26" spans="1:15">
      <c r="A26" s="29" t="str">
        <f>"9157077"</f>
        <v>9157077</v>
      </c>
      <c r="B26" s="29" t="str">
        <f>"جاسم جامدي باوي"</f>
        <v>جاسم جامدي باوي</v>
      </c>
      <c r="C26" s="29" t="str">
        <f t="shared" si="0"/>
        <v>توليد توسعه - دارخوين</v>
      </c>
      <c r="D26" s="29">
        <v>1100000</v>
      </c>
      <c r="E26" s="29">
        <v>1624330</v>
      </c>
      <c r="F26" s="29">
        <v>200000</v>
      </c>
      <c r="G26" s="29">
        <v>10007970</v>
      </c>
      <c r="H26" s="29">
        <v>443850</v>
      </c>
      <c r="I26" s="29">
        <v>0</v>
      </c>
      <c r="J26" s="29">
        <v>0</v>
      </c>
      <c r="K26" s="29">
        <v>1007105</v>
      </c>
      <c r="L26" s="29">
        <v>0</v>
      </c>
      <c r="M26" s="33">
        <f t="shared" si="1"/>
        <v>14383255</v>
      </c>
      <c r="N26" s="33">
        <f t="shared" si="2"/>
        <v>1198604.5833333333</v>
      </c>
      <c r="O26" s="33">
        <f t="shared" si="3"/>
        <v>2030415</v>
      </c>
    </row>
    <row r="27" spans="1:15">
      <c r="A27" s="29" t="str">
        <f>"9157079"</f>
        <v>9157079</v>
      </c>
      <c r="B27" s="29" t="str">
        <f>"مزعل جليزي"</f>
        <v>مزعل جليزي</v>
      </c>
      <c r="C27" s="29" t="str">
        <f t="shared" si="0"/>
        <v>توليد توسعه - دارخوين</v>
      </c>
      <c r="D27" s="29">
        <v>1100000</v>
      </c>
      <c r="E27" s="29">
        <v>3248660</v>
      </c>
      <c r="F27" s="29">
        <v>200000</v>
      </c>
      <c r="G27" s="29">
        <v>11561460</v>
      </c>
      <c r="H27" s="29">
        <v>0</v>
      </c>
      <c r="I27" s="29">
        <v>0</v>
      </c>
      <c r="J27" s="29">
        <v>0</v>
      </c>
      <c r="K27" s="29">
        <v>1045625</v>
      </c>
      <c r="L27" s="29">
        <v>0</v>
      </c>
      <c r="M27" s="33">
        <f t="shared" si="1"/>
        <v>17155745</v>
      </c>
      <c r="N27" s="33">
        <f t="shared" si="2"/>
        <v>1429645.4166666667</v>
      </c>
      <c r="O27" s="33">
        <f t="shared" si="3"/>
        <v>2030415</v>
      </c>
    </row>
    <row r="28" spans="1:15">
      <c r="A28" s="29" t="str">
        <f>"9157081"</f>
        <v>9157081</v>
      </c>
      <c r="B28" s="29" t="str">
        <f>"فهد چاملي"</f>
        <v>فهد چاملي</v>
      </c>
      <c r="C28" s="29" t="str">
        <f t="shared" si="0"/>
        <v>توليد توسعه - دارخوين</v>
      </c>
      <c r="D28" s="29">
        <v>1100000</v>
      </c>
      <c r="E28" s="29">
        <v>1624330</v>
      </c>
      <c r="F28" s="29">
        <v>200000</v>
      </c>
      <c r="G28" s="29">
        <v>10007970</v>
      </c>
      <c r="H28" s="29">
        <v>0</v>
      </c>
      <c r="I28" s="29">
        <v>0</v>
      </c>
      <c r="J28" s="29">
        <v>0</v>
      </c>
      <c r="K28" s="29">
        <v>1013945</v>
      </c>
      <c r="L28" s="29">
        <v>0</v>
      </c>
      <c r="M28" s="33">
        <f t="shared" si="1"/>
        <v>13946245</v>
      </c>
      <c r="N28" s="33">
        <f t="shared" si="2"/>
        <v>1162187.0833333333</v>
      </c>
      <c r="O28" s="33">
        <f t="shared" si="3"/>
        <v>2030415</v>
      </c>
    </row>
    <row r="29" spans="1:15">
      <c r="A29" s="29" t="str">
        <f>"9157084"</f>
        <v>9157084</v>
      </c>
      <c r="B29" s="29" t="str">
        <f>"ايوب حويزاوي"</f>
        <v>ايوب حويزاوي</v>
      </c>
      <c r="C29" s="29" t="str">
        <f t="shared" si="0"/>
        <v>توليد توسعه - دارخوين</v>
      </c>
      <c r="D29" s="29">
        <v>1100000</v>
      </c>
      <c r="E29" s="29">
        <v>1624330</v>
      </c>
      <c r="F29" s="29">
        <v>200000</v>
      </c>
      <c r="G29" s="29">
        <v>10451820</v>
      </c>
      <c r="H29" s="29">
        <v>0</v>
      </c>
      <c r="I29" s="29">
        <v>0</v>
      </c>
      <c r="J29" s="29">
        <v>0</v>
      </c>
      <c r="K29" s="29">
        <v>1003259</v>
      </c>
      <c r="L29" s="29">
        <v>0</v>
      </c>
      <c r="M29" s="33">
        <f t="shared" si="1"/>
        <v>14379409</v>
      </c>
      <c r="N29" s="33">
        <f t="shared" si="2"/>
        <v>1198284.0833333333</v>
      </c>
      <c r="O29" s="33">
        <f t="shared" si="3"/>
        <v>2030415</v>
      </c>
    </row>
    <row r="30" spans="1:15">
      <c r="A30" s="29" t="str">
        <f>"9157089"</f>
        <v>9157089</v>
      </c>
      <c r="B30" s="29" t="str">
        <f>"منصور خنفري راد"</f>
        <v>منصور خنفري راد</v>
      </c>
      <c r="C30" s="29" t="str">
        <f t="shared" si="0"/>
        <v>توليد توسعه - دارخوين</v>
      </c>
      <c r="D30" s="29">
        <v>1100000</v>
      </c>
      <c r="E30" s="29">
        <v>1624330</v>
      </c>
      <c r="F30" s="29">
        <v>200000</v>
      </c>
      <c r="G30" s="29">
        <v>12227190</v>
      </c>
      <c r="H30" s="29">
        <v>0</v>
      </c>
      <c r="I30" s="29">
        <v>0</v>
      </c>
      <c r="J30" s="29">
        <v>0</v>
      </c>
      <c r="K30" s="29">
        <v>1058465</v>
      </c>
      <c r="L30" s="29">
        <v>0</v>
      </c>
      <c r="M30" s="33">
        <f t="shared" si="1"/>
        <v>16209985</v>
      </c>
      <c r="N30" s="33">
        <f t="shared" si="2"/>
        <v>1350832.0833333333</v>
      </c>
      <c r="O30" s="33">
        <f t="shared" si="3"/>
        <v>2030415</v>
      </c>
    </row>
    <row r="31" spans="1:15">
      <c r="A31" s="29" t="str">
        <f>"9157090"</f>
        <v>9157090</v>
      </c>
      <c r="B31" s="29" t="str">
        <f>"جميل زرگاني"</f>
        <v>جميل زرگاني</v>
      </c>
      <c r="C31" s="29" t="str">
        <f t="shared" si="0"/>
        <v>توليد توسعه - دارخوين</v>
      </c>
      <c r="D31" s="29">
        <v>1100000</v>
      </c>
      <c r="E31" s="29">
        <v>1624330</v>
      </c>
      <c r="F31" s="29">
        <v>200000</v>
      </c>
      <c r="G31" s="29">
        <v>12227190</v>
      </c>
      <c r="H31" s="29">
        <v>0</v>
      </c>
      <c r="I31" s="29">
        <v>0</v>
      </c>
      <c r="J31" s="29">
        <v>0</v>
      </c>
      <c r="K31" s="29">
        <v>1058465</v>
      </c>
      <c r="L31" s="29">
        <v>0</v>
      </c>
      <c r="M31" s="33">
        <f t="shared" si="1"/>
        <v>16209985</v>
      </c>
      <c r="N31" s="33">
        <f t="shared" si="2"/>
        <v>1350832.0833333333</v>
      </c>
      <c r="O31" s="33">
        <f t="shared" si="3"/>
        <v>2030415</v>
      </c>
    </row>
    <row r="32" spans="1:15">
      <c r="A32" s="29" t="str">
        <f>"9157091"</f>
        <v>9157091</v>
      </c>
      <c r="B32" s="29" t="str">
        <f>"علي ساري"</f>
        <v>علي ساري</v>
      </c>
      <c r="C32" s="29" t="str">
        <f t="shared" si="0"/>
        <v>توليد توسعه - دارخوين</v>
      </c>
      <c r="D32" s="29">
        <v>1100000</v>
      </c>
      <c r="E32" s="29">
        <v>812165</v>
      </c>
      <c r="F32" s="29">
        <v>200000</v>
      </c>
      <c r="G32" s="29">
        <v>10007970</v>
      </c>
      <c r="H32" s="29">
        <v>0</v>
      </c>
      <c r="I32" s="29">
        <v>0</v>
      </c>
      <c r="J32" s="29">
        <v>0</v>
      </c>
      <c r="K32" s="29">
        <v>1007105</v>
      </c>
      <c r="L32" s="29">
        <v>0</v>
      </c>
      <c r="M32" s="33">
        <f t="shared" si="1"/>
        <v>13127240</v>
      </c>
      <c r="N32" s="33">
        <f t="shared" si="2"/>
        <v>1093936.6666666667</v>
      </c>
      <c r="O32" s="33">
        <f t="shared" si="3"/>
        <v>2030415</v>
      </c>
    </row>
    <row r="33" spans="4:15">
      <c r="D33" s="34">
        <f t="shared" ref="D33:O33" si="4">SUM(D2:D32)</f>
        <v>34100000</v>
      </c>
      <c r="E33" s="34">
        <f t="shared" si="4"/>
        <v>48729900</v>
      </c>
      <c r="F33" s="34">
        <f t="shared" si="4"/>
        <v>6200000</v>
      </c>
      <c r="G33" s="34">
        <f t="shared" si="4"/>
        <v>338986050</v>
      </c>
      <c r="H33" s="34">
        <f t="shared" si="4"/>
        <v>1553460</v>
      </c>
      <c r="I33" s="34">
        <f t="shared" si="4"/>
        <v>0</v>
      </c>
      <c r="J33" s="34">
        <f t="shared" si="4"/>
        <v>1198380</v>
      </c>
      <c r="K33" s="34">
        <f t="shared" si="4"/>
        <v>31923449</v>
      </c>
      <c r="L33" s="34">
        <f t="shared" si="4"/>
        <v>509171</v>
      </c>
      <c r="M33" s="34">
        <f t="shared" si="4"/>
        <v>463200410</v>
      </c>
      <c r="N33" s="34">
        <f t="shared" si="4"/>
        <v>38600034.166666679</v>
      </c>
      <c r="O33" s="34">
        <f t="shared" si="4"/>
        <v>62888847.5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4"/>
  <sheetViews>
    <sheetView rightToLeft="1" topLeftCell="A25" workbookViewId="0">
      <selection activeCell="L35" sqref="L35"/>
    </sheetView>
  </sheetViews>
  <sheetFormatPr defaultRowHeight="21"/>
  <cols>
    <col min="1" max="1" width="9" style="31" bestFit="1" customWidth="1"/>
    <col min="2" max="2" width="14.28515625" style="31" bestFit="1" customWidth="1"/>
    <col min="3" max="3" width="16.7109375" style="31" bestFit="1" customWidth="1"/>
    <col min="4" max="4" width="10.28515625" style="31" bestFit="1" customWidth="1"/>
    <col min="5" max="5" width="11.42578125" style="31" bestFit="1" customWidth="1"/>
    <col min="6" max="7" width="10" style="31" bestFit="1" customWidth="1"/>
    <col min="8" max="8" width="17.28515625" style="31" bestFit="1" customWidth="1"/>
    <col min="9" max="9" width="14.5703125" style="31" bestFit="1" customWidth="1"/>
    <col min="10" max="10" width="19" style="31" bestFit="1" customWidth="1"/>
    <col min="11" max="11" width="6.140625" style="31" bestFit="1" customWidth="1"/>
    <col min="12" max="12" width="12" style="4" bestFit="1" customWidth="1"/>
    <col min="13" max="13" width="8" style="31" bestFit="1" customWidth="1"/>
    <col min="14" max="16384" width="9.140625" style="31"/>
  </cols>
  <sheetData>
    <row r="2" spans="1:12">
      <c r="A2" s="31" t="s">
        <v>0</v>
      </c>
      <c r="B2" s="31" t="s">
        <v>1</v>
      </c>
      <c r="C2" s="31" t="s">
        <v>2</v>
      </c>
      <c r="D2" s="31" t="s">
        <v>4</v>
      </c>
      <c r="E2" s="31" t="s">
        <v>69</v>
      </c>
      <c r="F2" s="31" t="s">
        <v>168</v>
      </c>
      <c r="G2" s="31" t="s">
        <v>168</v>
      </c>
      <c r="H2" s="31" t="s">
        <v>169</v>
      </c>
      <c r="I2" s="31" t="s">
        <v>170</v>
      </c>
      <c r="J2" s="31" t="s">
        <v>171</v>
      </c>
      <c r="K2" s="31" t="s">
        <v>172</v>
      </c>
      <c r="L2" s="4" t="s">
        <v>57</v>
      </c>
    </row>
    <row r="3" spans="1:12">
      <c r="A3" s="31">
        <v>9157079</v>
      </c>
      <c r="B3" s="31" t="s">
        <v>151</v>
      </c>
      <c r="C3" s="31" t="s">
        <v>76</v>
      </c>
      <c r="D3" s="31">
        <v>13640</v>
      </c>
      <c r="E3" s="31">
        <v>0</v>
      </c>
      <c r="F3" s="31">
        <v>13640</v>
      </c>
      <c r="G3" s="31">
        <v>31</v>
      </c>
      <c r="H3" s="31" t="s">
        <v>173</v>
      </c>
      <c r="J3" s="31">
        <v>260000</v>
      </c>
      <c r="L3" s="4">
        <v>260000</v>
      </c>
    </row>
    <row r="4" spans="1:12">
      <c r="A4" s="31">
        <v>9157070</v>
      </c>
      <c r="B4" s="31" t="s">
        <v>139</v>
      </c>
      <c r="C4" s="31" t="s">
        <v>76</v>
      </c>
      <c r="D4" s="31">
        <v>13640</v>
      </c>
      <c r="E4" s="31">
        <v>0</v>
      </c>
      <c r="F4" s="31">
        <v>13640</v>
      </c>
      <c r="G4" s="31">
        <v>31</v>
      </c>
      <c r="H4" s="31" t="s">
        <v>174</v>
      </c>
      <c r="J4" s="31">
        <v>260000</v>
      </c>
      <c r="L4" s="4">
        <v>260000</v>
      </c>
    </row>
    <row r="5" spans="1:12">
      <c r="A5" s="31">
        <v>9157041</v>
      </c>
      <c r="B5" s="31" t="s">
        <v>75</v>
      </c>
      <c r="C5" s="31" t="s">
        <v>76</v>
      </c>
      <c r="D5" s="31">
        <v>13640</v>
      </c>
      <c r="E5" s="31">
        <v>0</v>
      </c>
      <c r="F5" s="31">
        <v>13640</v>
      </c>
      <c r="G5" s="31">
        <v>31</v>
      </c>
      <c r="H5" s="31" t="s">
        <v>175</v>
      </c>
      <c r="J5" s="31">
        <v>260000</v>
      </c>
      <c r="L5" s="4">
        <v>260000</v>
      </c>
    </row>
    <row r="6" spans="1:12">
      <c r="A6" s="31">
        <v>9157057</v>
      </c>
      <c r="B6" s="31" t="s">
        <v>115</v>
      </c>
      <c r="C6" s="31" t="s">
        <v>76</v>
      </c>
      <c r="D6" s="31">
        <v>13640</v>
      </c>
      <c r="E6" s="31">
        <v>0</v>
      </c>
      <c r="F6" s="31">
        <v>13640</v>
      </c>
      <c r="G6" s="31">
        <v>31</v>
      </c>
      <c r="H6" s="31" t="s">
        <v>176</v>
      </c>
      <c r="J6" s="31">
        <v>260000</v>
      </c>
      <c r="L6" s="4">
        <v>260000</v>
      </c>
    </row>
    <row r="7" spans="1:12">
      <c r="A7" s="31">
        <v>9157089</v>
      </c>
      <c r="B7" s="31" t="s">
        <v>160</v>
      </c>
      <c r="C7" s="31" t="s">
        <v>76</v>
      </c>
      <c r="D7" s="31">
        <v>13640</v>
      </c>
      <c r="E7" s="31">
        <v>0</v>
      </c>
      <c r="F7" s="31">
        <v>13640</v>
      </c>
      <c r="G7" s="31">
        <v>31</v>
      </c>
      <c r="H7" s="31" t="s">
        <v>177</v>
      </c>
      <c r="J7" s="31">
        <v>260000</v>
      </c>
      <c r="L7" s="4">
        <v>260000</v>
      </c>
    </row>
    <row r="8" spans="1:12">
      <c r="A8" s="31">
        <v>9157065</v>
      </c>
      <c r="B8" s="31" t="s">
        <v>127</v>
      </c>
      <c r="C8" s="31" t="s">
        <v>76</v>
      </c>
      <c r="D8" s="31">
        <v>13640</v>
      </c>
      <c r="E8" s="31">
        <v>0</v>
      </c>
      <c r="F8" s="31">
        <v>13640</v>
      </c>
      <c r="G8" s="31">
        <v>31</v>
      </c>
      <c r="H8" s="31" t="s">
        <v>178</v>
      </c>
      <c r="J8" s="31">
        <v>260000</v>
      </c>
      <c r="L8" s="4">
        <v>260000</v>
      </c>
    </row>
    <row r="9" spans="1:12">
      <c r="A9" s="31">
        <v>9157044</v>
      </c>
      <c r="B9" s="31" t="s">
        <v>85</v>
      </c>
      <c r="C9" s="31" t="s">
        <v>76</v>
      </c>
      <c r="D9" s="31">
        <v>13640</v>
      </c>
      <c r="E9" s="31">
        <v>0</v>
      </c>
      <c r="F9" s="31">
        <v>13640</v>
      </c>
      <c r="G9" s="31">
        <v>31</v>
      </c>
      <c r="H9" s="31" t="s">
        <v>179</v>
      </c>
      <c r="J9" s="31">
        <v>260000</v>
      </c>
      <c r="L9" s="4">
        <v>260000</v>
      </c>
    </row>
    <row r="10" spans="1:12">
      <c r="A10" s="31">
        <v>9157058</v>
      </c>
      <c r="B10" s="31" t="s">
        <v>118</v>
      </c>
      <c r="C10" s="31" t="s">
        <v>76</v>
      </c>
      <c r="D10" s="31">
        <v>13640</v>
      </c>
      <c r="E10" s="31">
        <v>0</v>
      </c>
      <c r="F10" s="31">
        <v>13640</v>
      </c>
      <c r="G10" s="31">
        <v>31</v>
      </c>
      <c r="H10" s="31" t="s">
        <v>180</v>
      </c>
      <c r="J10" s="31">
        <v>260000</v>
      </c>
      <c r="L10" s="4">
        <v>260000</v>
      </c>
    </row>
    <row r="11" spans="1:12">
      <c r="A11" s="31">
        <v>9157075</v>
      </c>
      <c r="B11" s="31" t="s">
        <v>145</v>
      </c>
      <c r="C11" s="31" t="s">
        <v>76</v>
      </c>
      <c r="D11" s="31">
        <v>13640</v>
      </c>
      <c r="E11" s="31">
        <v>0</v>
      </c>
      <c r="F11" s="31">
        <v>13640</v>
      </c>
      <c r="G11" s="31">
        <v>31</v>
      </c>
      <c r="H11" s="31" t="s">
        <v>181</v>
      </c>
      <c r="J11" s="31">
        <v>260000</v>
      </c>
      <c r="L11" s="4">
        <v>260000</v>
      </c>
    </row>
    <row r="12" spans="1:12">
      <c r="A12" s="31">
        <v>9157056</v>
      </c>
      <c r="B12" s="31" t="s">
        <v>112</v>
      </c>
      <c r="C12" s="31" t="s">
        <v>76</v>
      </c>
      <c r="D12" s="31">
        <v>13640</v>
      </c>
      <c r="E12" s="31">
        <v>0</v>
      </c>
      <c r="F12" s="31">
        <v>13640</v>
      </c>
      <c r="G12" s="31">
        <v>31</v>
      </c>
      <c r="H12" s="31" t="s">
        <v>182</v>
      </c>
      <c r="J12" s="31">
        <v>260000</v>
      </c>
      <c r="L12" s="4">
        <v>260000</v>
      </c>
    </row>
    <row r="13" spans="1:12">
      <c r="A13" s="31">
        <v>9157055</v>
      </c>
      <c r="B13" s="31" t="s">
        <v>109</v>
      </c>
      <c r="C13" s="31" t="s">
        <v>76</v>
      </c>
      <c r="D13" s="31">
        <v>13640</v>
      </c>
      <c r="E13" s="31">
        <v>0</v>
      </c>
      <c r="F13" s="31">
        <v>13640</v>
      </c>
      <c r="G13" s="31">
        <v>31</v>
      </c>
      <c r="H13" s="31" t="s">
        <v>183</v>
      </c>
      <c r="J13" s="31">
        <v>260000</v>
      </c>
      <c r="L13" s="4">
        <v>260000</v>
      </c>
    </row>
    <row r="14" spans="1:12">
      <c r="A14" s="31">
        <v>9157091</v>
      </c>
      <c r="B14" s="31" t="s">
        <v>166</v>
      </c>
      <c r="C14" s="31" t="s">
        <v>76</v>
      </c>
      <c r="D14" s="31">
        <v>13640</v>
      </c>
      <c r="E14" s="31">
        <v>0</v>
      </c>
      <c r="F14" s="31">
        <v>13640</v>
      </c>
      <c r="G14" s="31">
        <v>31</v>
      </c>
      <c r="H14" s="31" t="s">
        <v>184</v>
      </c>
      <c r="J14" s="31">
        <v>260000</v>
      </c>
      <c r="L14" s="4">
        <v>260000</v>
      </c>
    </row>
    <row r="15" spans="1:12">
      <c r="A15" s="31">
        <v>9157049</v>
      </c>
      <c r="B15" s="31" t="s">
        <v>97</v>
      </c>
      <c r="C15" s="31" t="s">
        <v>76</v>
      </c>
      <c r="D15" s="31">
        <v>13640</v>
      </c>
      <c r="E15" s="31">
        <v>0</v>
      </c>
      <c r="F15" s="31">
        <v>13640</v>
      </c>
      <c r="G15" s="31">
        <v>31</v>
      </c>
      <c r="H15" s="31" t="s">
        <v>185</v>
      </c>
      <c r="J15" s="31">
        <v>260000</v>
      </c>
      <c r="L15" s="4">
        <v>260000</v>
      </c>
    </row>
    <row r="16" spans="1:12">
      <c r="A16" s="31">
        <v>9157045</v>
      </c>
      <c r="B16" s="31" t="s">
        <v>88</v>
      </c>
      <c r="C16" s="31" t="s">
        <v>76</v>
      </c>
      <c r="D16" s="31">
        <v>13640</v>
      </c>
      <c r="E16" s="31">
        <v>0</v>
      </c>
      <c r="F16" s="31">
        <v>13640</v>
      </c>
      <c r="G16" s="31">
        <v>31</v>
      </c>
      <c r="H16" s="31" t="s">
        <v>186</v>
      </c>
      <c r="J16" s="31">
        <v>260000</v>
      </c>
      <c r="L16" s="4">
        <v>260000</v>
      </c>
    </row>
    <row r="17" spans="1:12">
      <c r="A17" s="31">
        <v>9157077</v>
      </c>
      <c r="B17" s="31" t="s">
        <v>148</v>
      </c>
      <c r="C17" s="31" t="s">
        <v>76</v>
      </c>
      <c r="D17" s="31">
        <v>13640</v>
      </c>
      <c r="E17" s="31">
        <v>0</v>
      </c>
      <c r="F17" s="31">
        <v>13640</v>
      </c>
      <c r="G17" s="31">
        <v>31</v>
      </c>
      <c r="H17" s="31" t="s">
        <v>187</v>
      </c>
      <c r="J17" s="31">
        <v>260000</v>
      </c>
      <c r="L17" s="4">
        <v>260000</v>
      </c>
    </row>
    <row r="18" spans="1:12">
      <c r="A18" s="31">
        <v>9157068</v>
      </c>
      <c r="B18" s="31" t="s">
        <v>133</v>
      </c>
      <c r="C18" s="31" t="s">
        <v>76</v>
      </c>
      <c r="D18" s="31">
        <v>13640</v>
      </c>
      <c r="E18" s="31">
        <v>0</v>
      </c>
      <c r="F18" s="31">
        <v>13640</v>
      </c>
      <c r="G18" s="31">
        <v>31</v>
      </c>
      <c r="H18" s="31" t="s">
        <v>188</v>
      </c>
      <c r="J18" s="31">
        <v>260000</v>
      </c>
      <c r="L18" s="4">
        <v>260000</v>
      </c>
    </row>
    <row r="19" spans="1:12">
      <c r="A19" s="31">
        <v>9157066</v>
      </c>
      <c r="B19" s="31" t="s">
        <v>130</v>
      </c>
      <c r="C19" s="31" t="s">
        <v>76</v>
      </c>
      <c r="D19" s="31">
        <v>13640</v>
      </c>
      <c r="E19" s="31">
        <v>0</v>
      </c>
      <c r="F19" s="31">
        <v>13640</v>
      </c>
      <c r="G19" s="31">
        <v>31</v>
      </c>
      <c r="H19" s="31" t="s">
        <v>189</v>
      </c>
      <c r="J19" s="31">
        <v>260000</v>
      </c>
      <c r="L19" s="4">
        <v>260000</v>
      </c>
    </row>
    <row r="20" spans="1:12">
      <c r="A20" s="31">
        <v>9157042</v>
      </c>
      <c r="B20" s="31" t="s">
        <v>79</v>
      </c>
      <c r="C20" s="31" t="s">
        <v>76</v>
      </c>
      <c r="D20" s="31">
        <v>13640</v>
      </c>
      <c r="E20" s="31">
        <v>0</v>
      </c>
      <c r="F20" s="31">
        <v>13640</v>
      </c>
      <c r="G20" s="31">
        <v>31</v>
      </c>
      <c r="H20" s="31" t="s">
        <v>190</v>
      </c>
      <c r="J20" s="31">
        <v>260000</v>
      </c>
      <c r="L20" s="4">
        <v>260000</v>
      </c>
    </row>
    <row r="21" spans="1:12">
      <c r="A21" s="31">
        <v>9157060</v>
      </c>
      <c r="B21" s="31" t="s">
        <v>124</v>
      </c>
      <c r="C21" s="31" t="s">
        <v>76</v>
      </c>
      <c r="D21" s="31">
        <v>13640</v>
      </c>
      <c r="E21" s="31">
        <v>0</v>
      </c>
      <c r="F21" s="31">
        <v>13640</v>
      </c>
      <c r="G21" s="31">
        <v>31</v>
      </c>
      <c r="H21" s="31" t="s">
        <v>191</v>
      </c>
      <c r="J21" s="31">
        <v>260000</v>
      </c>
      <c r="L21" s="4">
        <v>260000</v>
      </c>
    </row>
    <row r="22" spans="1:12">
      <c r="A22" s="31">
        <v>9157046</v>
      </c>
      <c r="B22" s="31" t="s">
        <v>91</v>
      </c>
      <c r="C22" s="31" t="s">
        <v>76</v>
      </c>
      <c r="D22" s="31">
        <v>13640</v>
      </c>
      <c r="E22" s="31">
        <v>0</v>
      </c>
      <c r="F22" s="31">
        <v>13640</v>
      </c>
      <c r="G22" s="31">
        <v>31</v>
      </c>
      <c r="H22" s="31" t="s">
        <v>192</v>
      </c>
      <c r="J22" s="31">
        <v>260000</v>
      </c>
      <c r="L22" s="4">
        <v>260000</v>
      </c>
    </row>
    <row r="23" spans="1:12">
      <c r="A23" s="31">
        <v>9157059</v>
      </c>
      <c r="B23" s="31" t="s">
        <v>121</v>
      </c>
      <c r="C23" s="31" t="s">
        <v>76</v>
      </c>
      <c r="D23" s="31">
        <v>13640</v>
      </c>
      <c r="E23" s="31">
        <v>0</v>
      </c>
      <c r="F23" s="31">
        <v>13640</v>
      </c>
      <c r="G23" s="31">
        <v>31</v>
      </c>
      <c r="H23" s="31" t="s">
        <v>193</v>
      </c>
      <c r="J23" s="31">
        <v>260000</v>
      </c>
      <c r="L23" s="4">
        <v>260000</v>
      </c>
    </row>
    <row r="24" spans="1:12">
      <c r="A24" s="31">
        <v>9157047</v>
      </c>
      <c r="B24" s="31" t="s">
        <v>94</v>
      </c>
      <c r="C24" s="31" t="s">
        <v>76</v>
      </c>
      <c r="D24" s="31">
        <v>13640</v>
      </c>
      <c r="E24" s="31">
        <v>0</v>
      </c>
      <c r="F24" s="31">
        <v>13640</v>
      </c>
      <c r="G24" s="31">
        <v>31</v>
      </c>
      <c r="H24" s="31" t="s">
        <v>194</v>
      </c>
      <c r="J24" s="31">
        <v>260000</v>
      </c>
      <c r="L24" s="4">
        <v>260000</v>
      </c>
    </row>
    <row r="25" spans="1:12">
      <c r="A25" s="31">
        <v>9157053</v>
      </c>
      <c r="B25" s="31" t="s">
        <v>103</v>
      </c>
      <c r="C25" s="31" t="s">
        <v>76</v>
      </c>
      <c r="D25" s="31">
        <v>13640</v>
      </c>
      <c r="E25" s="31">
        <v>0</v>
      </c>
      <c r="F25" s="31">
        <v>13640</v>
      </c>
      <c r="G25" s="31">
        <v>31</v>
      </c>
      <c r="H25" s="31" t="s">
        <v>195</v>
      </c>
      <c r="J25" s="31">
        <v>260000</v>
      </c>
      <c r="L25" s="4">
        <v>260000</v>
      </c>
    </row>
    <row r="26" spans="1:12">
      <c r="A26" s="31">
        <v>9157054</v>
      </c>
      <c r="B26" s="31" t="s">
        <v>106</v>
      </c>
      <c r="C26" s="31" t="s">
        <v>76</v>
      </c>
      <c r="D26" s="31">
        <v>13640</v>
      </c>
      <c r="E26" s="31">
        <v>0</v>
      </c>
      <c r="F26" s="31">
        <v>13640</v>
      </c>
      <c r="G26" s="31">
        <v>31</v>
      </c>
      <c r="H26" s="31" t="s">
        <v>196</v>
      </c>
      <c r="J26" s="31">
        <v>260000</v>
      </c>
      <c r="L26" s="4">
        <v>260000</v>
      </c>
    </row>
    <row r="27" spans="1:12">
      <c r="A27" s="31">
        <v>9157072</v>
      </c>
      <c r="B27" s="31" t="s">
        <v>142</v>
      </c>
      <c r="C27" s="31" t="s">
        <v>76</v>
      </c>
      <c r="D27" s="31">
        <v>13640</v>
      </c>
      <c r="E27" s="31">
        <v>0</v>
      </c>
      <c r="F27" s="31">
        <v>13640</v>
      </c>
      <c r="G27" s="31">
        <v>31</v>
      </c>
      <c r="H27" s="31" t="s">
        <v>197</v>
      </c>
      <c r="J27" s="31">
        <v>260000</v>
      </c>
      <c r="L27" s="4">
        <v>260000</v>
      </c>
    </row>
    <row r="28" spans="1:12">
      <c r="A28" s="31">
        <v>9157090</v>
      </c>
      <c r="B28" s="31" t="s">
        <v>163</v>
      </c>
      <c r="C28" s="31" t="s">
        <v>76</v>
      </c>
      <c r="D28" s="31">
        <v>13640</v>
      </c>
      <c r="E28" s="31">
        <v>0</v>
      </c>
      <c r="F28" s="31">
        <v>13640</v>
      </c>
      <c r="G28" s="31">
        <v>31</v>
      </c>
      <c r="H28" s="31" t="s">
        <v>198</v>
      </c>
      <c r="J28" s="31">
        <v>260000</v>
      </c>
      <c r="L28" s="4">
        <v>260000</v>
      </c>
    </row>
    <row r="29" spans="1:12">
      <c r="A29" s="31">
        <v>9157050</v>
      </c>
      <c r="B29" s="31" t="s">
        <v>100</v>
      </c>
      <c r="C29" s="31" t="s">
        <v>76</v>
      </c>
      <c r="D29" s="31">
        <v>13640</v>
      </c>
      <c r="E29" s="31">
        <v>0</v>
      </c>
      <c r="F29" s="31">
        <v>13640</v>
      </c>
      <c r="G29" s="31">
        <v>31</v>
      </c>
      <c r="H29" s="31" t="s">
        <v>199</v>
      </c>
      <c r="J29" s="31">
        <v>260000</v>
      </c>
      <c r="L29" s="4">
        <v>260000</v>
      </c>
    </row>
    <row r="30" spans="1:12">
      <c r="A30" s="31">
        <v>9157069</v>
      </c>
      <c r="B30" s="31" t="s">
        <v>136</v>
      </c>
      <c r="C30" s="31" t="s">
        <v>76</v>
      </c>
      <c r="D30" s="31">
        <v>13640</v>
      </c>
      <c r="E30" s="31">
        <v>0</v>
      </c>
      <c r="F30" s="31">
        <v>13640</v>
      </c>
      <c r="G30" s="31">
        <v>31</v>
      </c>
      <c r="H30" s="31" t="s">
        <v>200</v>
      </c>
      <c r="J30" s="31">
        <v>260000</v>
      </c>
      <c r="L30" s="4">
        <v>260000</v>
      </c>
    </row>
    <row r="31" spans="1:12">
      <c r="A31" s="31">
        <v>9157043</v>
      </c>
      <c r="B31" s="31" t="s">
        <v>82</v>
      </c>
      <c r="C31" s="31" t="s">
        <v>76</v>
      </c>
      <c r="D31" s="31">
        <v>13640</v>
      </c>
      <c r="E31" s="31">
        <v>0</v>
      </c>
      <c r="F31" s="31">
        <v>13640</v>
      </c>
      <c r="G31" s="31">
        <v>31</v>
      </c>
      <c r="H31" s="31" t="s">
        <v>201</v>
      </c>
      <c r="J31" s="31">
        <v>260000</v>
      </c>
      <c r="L31" s="4">
        <v>260000</v>
      </c>
    </row>
    <row r="32" spans="1:12">
      <c r="A32" s="31">
        <v>9157084</v>
      </c>
      <c r="B32" s="31" t="s">
        <v>157</v>
      </c>
      <c r="C32" s="31" t="s">
        <v>76</v>
      </c>
      <c r="D32" s="31">
        <v>13640</v>
      </c>
      <c r="E32" s="31">
        <v>0</v>
      </c>
      <c r="F32" s="31">
        <v>13640</v>
      </c>
      <c r="G32" s="31">
        <v>31</v>
      </c>
      <c r="H32" s="31" t="s">
        <v>202</v>
      </c>
      <c r="J32" s="31">
        <v>260000</v>
      </c>
      <c r="L32" s="4">
        <v>260000</v>
      </c>
    </row>
    <row r="33" spans="1:12">
      <c r="A33" s="31">
        <v>9157081</v>
      </c>
      <c r="B33" s="31" t="s">
        <v>154</v>
      </c>
      <c r="C33" s="31" t="s">
        <v>76</v>
      </c>
      <c r="D33" s="31">
        <v>5720</v>
      </c>
      <c r="E33" s="31">
        <v>7920</v>
      </c>
      <c r="F33" s="31">
        <v>13640</v>
      </c>
      <c r="G33" s="31">
        <v>31</v>
      </c>
      <c r="H33" s="31" t="s">
        <v>203</v>
      </c>
      <c r="J33" s="31">
        <v>260000</v>
      </c>
      <c r="L33" s="4">
        <v>260000</v>
      </c>
    </row>
    <row r="34" spans="1:12">
      <c r="L34" s="4">
        <f>SUM(L3:L33)</f>
        <v>8060000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5"/>
  <sheetViews>
    <sheetView rightToLeft="1" topLeftCell="F22" workbookViewId="0">
      <selection activeCell="J36" sqref="J36"/>
    </sheetView>
  </sheetViews>
  <sheetFormatPr defaultRowHeight="21"/>
  <cols>
    <col min="1" max="1" width="16.7109375" style="31" bestFit="1" customWidth="1"/>
    <col min="2" max="2" width="9" style="31" bestFit="1" customWidth="1"/>
    <col min="3" max="3" width="14.28515625" style="31" bestFit="1" customWidth="1"/>
    <col min="4" max="4" width="10.28515625" style="31" bestFit="1" customWidth="1"/>
    <col min="5" max="5" width="11.42578125" style="31" bestFit="1" customWidth="1"/>
    <col min="6" max="6" width="14.140625" style="31" bestFit="1" customWidth="1"/>
    <col min="7" max="7" width="19.85546875" style="31" bestFit="1" customWidth="1"/>
    <col min="8" max="8" width="11" style="31" bestFit="1" customWidth="1"/>
    <col min="9" max="9" width="6.140625" style="31" bestFit="1" customWidth="1"/>
    <col min="10" max="10" width="12" style="4" bestFit="1" customWidth="1"/>
    <col min="11" max="11" width="8" style="31" bestFit="1" customWidth="1"/>
    <col min="12" max="12" width="17.28515625" style="31" bestFit="1" customWidth="1"/>
    <col min="13" max="13" width="14.85546875" style="31" bestFit="1" customWidth="1"/>
    <col min="14" max="14" width="10.7109375" style="31" bestFit="1" customWidth="1"/>
    <col min="15" max="15" width="7.5703125" style="31" bestFit="1" customWidth="1"/>
    <col min="16" max="16" width="16.28515625" style="31" bestFit="1" customWidth="1"/>
    <col min="17" max="17" width="11.7109375" style="31" bestFit="1" customWidth="1"/>
    <col min="18" max="18" width="10.7109375" style="31" bestFit="1" customWidth="1"/>
    <col min="19" max="19" width="11.7109375" style="31" bestFit="1" customWidth="1"/>
    <col min="20" max="16384" width="9.140625" style="31"/>
  </cols>
  <sheetData>
    <row r="3" spans="1:10">
      <c r="A3" s="31" t="s">
        <v>2</v>
      </c>
      <c r="B3" s="31" t="s">
        <v>0</v>
      </c>
      <c r="C3" s="31" t="s">
        <v>1</v>
      </c>
      <c r="D3" s="31" t="s">
        <v>4</v>
      </c>
      <c r="E3" s="31" t="s">
        <v>69</v>
      </c>
      <c r="F3" s="31" t="s">
        <v>204</v>
      </c>
      <c r="G3" s="31" t="s">
        <v>205</v>
      </c>
      <c r="H3" s="31" t="s">
        <v>206</v>
      </c>
      <c r="I3" s="31" t="s">
        <v>172</v>
      </c>
      <c r="J3" s="4" t="s">
        <v>207</v>
      </c>
    </row>
    <row r="4" spans="1:10">
      <c r="A4" s="31" t="s">
        <v>76</v>
      </c>
      <c r="B4" s="31">
        <v>9157041</v>
      </c>
      <c r="C4" s="31" t="s">
        <v>75</v>
      </c>
      <c r="D4" s="31">
        <v>31</v>
      </c>
      <c r="E4" s="31">
        <v>0</v>
      </c>
      <c r="G4" s="31">
        <v>260000</v>
      </c>
      <c r="J4" s="4">
        <v>260000</v>
      </c>
    </row>
    <row r="5" spans="1:10">
      <c r="A5" s="31" t="s">
        <v>76</v>
      </c>
      <c r="B5" s="31">
        <v>9157042</v>
      </c>
      <c r="C5" s="31" t="s">
        <v>79</v>
      </c>
      <c r="D5" s="31">
        <v>31</v>
      </c>
      <c r="E5" s="31">
        <v>0</v>
      </c>
      <c r="G5" s="31">
        <v>260000</v>
      </c>
      <c r="J5" s="4">
        <v>260000</v>
      </c>
    </row>
    <row r="6" spans="1:10">
      <c r="A6" s="31" t="s">
        <v>76</v>
      </c>
      <c r="B6" s="31">
        <v>9157043</v>
      </c>
      <c r="C6" s="31" t="s">
        <v>82</v>
      </c>
      <c r="D6" s="31">
        <v>31</v>
      </c>
      <c r="E6" s="31">
        <v>0</v>
      </c>
      <c r="G6" s="31">
        <v>260000</v>
      </c>
      <c r="J6" s="4">
        <v>260000</v>
      </c>
    </row>
    <row r="7" spans="1:10">
      <c r="A7" s="31" t="s">
        <v>76</v>
      </c>
      <c r="B7" s="31">
        <v>9157044</v>
      </c>
      <c r="C7" s="31" t="s">
        <v>85</v>
      </c>
      <c r="D7" s="31">
        <v>31</v>
      </c>
      <c r="E7" s="31">
        <v>0</v>
      </c>
      <c r="G7" s="31">
        <v>260000</v>
      </c>
      <c r="J7" s="4">
        <v>260000</v>
      </c>
    </row>
    <row r="8" spans="1:10">
      <c r="A8" s="31" t="s">
        <v>76</v>
      </c>
      <c r="B8" s="31">
        <v>9157045</v>
      </c>
      <c r="C8" s="31" t="s">
        <v>88</v>
      </c>
      <c r="D8" s="31">
        <v>31</v>
      </c>
      <c r="E8" s="31">
        <v>0</v>
      </c>
      <c r="G8" s="31">
        <v>260000</v>
      </c>
      <c r="J8" s="4">
        <v>260000</v>
      </c>
    </row>
    <row r="9" spans="1:10">
      <c r="A9" s="31" t="s">
        <v>76</v>
      </c>
      <c r="B9" s="31">
        <v>9157046</v>
      </c>
      <c r="C9" s="31" t="s">
        <v>91</v>
      </c>
      <c r="D9" s="31">
        <v>31</v>
      </c>
      <c r="E9" s="31">
        <v>0</v>
      </c>
      <c r="G9" s="31">
        <v>260000</v>
      </c>
      <c r="J9" s="4">
        <v>260000</v>
      </c>
    </row>
    <row r="10" spans="1:10">
      <c r="A10" s="31" t="s">
        <v>76</v>
      </c>
      <c r="B10" s="31">
        <v>9157047</v>
      </c>
      <c r="C10" s="31" t="s">
        <v>94</v>
      </c>
      <c r="D10" s="31">
        <v>31</v>
      </c>
      <c r="E10" s="31">
        <v>0</v>
      </c>
      <c r="G10" s="31">
        <v>260000</v>
      </c>
      <c r="J10" s="4">
        <v>260000</v>
      </c>
    </row>
    <row r="11" spans="1:10">
      <c r="A11" s="31" t="s">
        <v>76</v>
      </c>
      <c r="B11" s="31">
        <v>9157049</v>
      </c>
      <c r="C11" s="31" t="s">
        <v>97</v>
      </c>
      <c r="D11" s="31">
        <v>31</v>
      </c>
      <c r="E11" s="31">
        <v>0</v>
      </c>
      <c r="G11" s="31">
        <v>260000</v>
      </c>
      <c r="J11" s="4">
        <v>260000</v>
      </c>
    </row>
    <row r="12" spans="1:10">
      <c r="A12" s="31" t="s">
        <v>76</v>
      </c>
      <c r="B12" s="31">
        <v>9157050</v>
      </c>
      <c r="C12" s="31" t="s">
        <v>100</v>
      </c>
      <c r="D12" s="31">
        <v>31</v>
      </c>
      <c r="E12" s="31">
        <v>0</v>
      </c>
      <c r="G12" s="31">
        <v>260000</v>
      </c>
      <c r="J12" s="4">
        <v>260000</v>
      </c>
    </row>
    <row r="13" spans="1:10">
      <c r="A13" s="31" t="s">
        <v>76</v>
      </c>
      <c r="B13" s="31">
        <v>9157053</v>
      </c>
      <c r="C13" s="31" t="s">
        <v>103</v>
      </c>
      <c r="D13" s="31">
        <v>31</v>
      </c>
      <c r="E13" s="31">
        <v>0</v>
      </c>
      <c r="G13" s="31">
        <v>260000</v>
      </c>
      <c r="J13" s="4">
        <v>260000</v>
      </c>
    </row>
    <row r="14" spans="1:10">
      <c r="A14" s="31" t="s">
        <v>76</v>
      </c>
      <c r="B14" s="31">
        <v>9157054</v>
      </c>
      <c r="C14" s="31" t="s">
        <v>106</v>
      </c>
      <c r="D14" s="31">
        <v>31</v>
      </c>
      <c r="E14" s="31">
        <v>0</v>
      </c>
      <c r="G14" s="31">
        <v>260000</v>
      </c>
      <c r="J14" s="4">
        <v>260000</v>
      </c>
    </row>
    <row r="15" spans="1:10">
      <c r="A15" s="31" t="s">
        <v>76</v>
      </c>
      <c r="B15" s="31">
        <v>9157055</v>
      </c>
      <c r="C15" s="31" t="s">
        <v>109</v>
      </c>
      <c r="D15" s="31">
        <v>31</v>
      </c>
      <c r="E15" s="31">
        <v>0</v>
      </c>
      <c r="G15" s="31">
        <v>260000</v>
      </c>
      <c r="J15" s="4">
        <v>260000</v>
      </c>
    </row>
    <row r="16" spans="1:10">
      <c r="A16" s="31" t="s">
        <v>76</v>
      </c>
      <c r="B16" s="31">
        <v>9157056</v>
      </c>
      <c r="C16" s="31" t="s">
        <v>112</v>
      </c>
      <c r="D16" s="31">
        <v>31</v>
      </c>
      <c r="E16" s="31">
        <v>0</v>
      </c>
      <c r="G16" s="31">
        <v>260000</v>
      </c>
      <c r="J16" s="4">
        <v>260000</v>
      </c>
    </row>
    <row r="17" spans="1:10">
      <c r="A17" s="31" t="s">
        <v>76</v>
      </c>
      <c r="B17" s="31">
        <v>9157057</v>
      </c>
      <c r="C17" s="31" t="s">
        <v>115</v>
      </c>
      <c r="D17" s="31">
        <v>31</v>
      </c>
      <c r="E17" s="31">
        <v>0</v>
      </c>
      <c r="G17" s="31">
        <v>260000</v>
      </c>
      <c r="J17" s="4">
        <v>260000</v>
      </c>
    </row>
    <row r="18" spans="1:10">
      <c r="A18" s="31" t="s">
        <v>76</v>
      </c>
      <c r="B18" s="31">
        <v>9157058</v>
      </c>
      <c r="C18" s="31" t="s">
        <v>118</v>
      </c>
      <c r="D18" s="31">
        <v>31</v>
      </c>
      <c r="E18" s="31">
        <v>0</v>
      </c>
      <c r="G18" s="31">
        <v>260000</v>
      </c>
      <c r="J18" s="4">
        <v>260000</v>
      </c>
    </row>
    <row r="19" spans="1:10">
      <c r="A19" s="31" t="s">
        <v>76</v>
      </c>
      <c r="B19" s="31">
        <v>9157059</v>
      </c>
      <c r="C19" s="31" t="s">
        <v>121</v>
      </c>
      <c r="D19" s="31">
        <v>31</v>
      </c>
      <c r="E19" s="31">
        <v>0</v>
      </c>
      <c r="G19" s="31">
        <v>260000</v>
      </c>
      <c r="J19" s="4">
        <v>260000</v>
      </c>
    </row>
    <row r="20" spans="1:10">
      <c r="A20" s="31" t="s">
        <v>76</v>
      </c>
      <c r="B20" s="31">
        <v>9157060</v>
      </c>
      <c r="C20" s="31" t="s">
        <v>124</v>
      </c>
      <c r="D20" s="31">
        <v>31</v>
      </c>
      <c r="E20" s="31">
        <v>0</v>
      </c>
      <c r="G20" s="31">
        <v>260000</v>
      </c>
      <c r="J20" s="4">
        <v>260000</v>
      </c>
    </row>
    <row r="21" spans="1:10">
      <c r="A21" s="31" t="s">
        <v>76</v>
      </c>
      <c r="B21" s="31">
        <v>9157065</v>
      </c>
      <c r="C21" s="31" t="s">
        <v>127</v>
      </c>
      <c r="D21" s="31">
        <v>31</v>
      </c>
      <c r="E21" s="31">
        <v>0</v>
      </c>
      <c r="G21" s="31">
        <v>260000</v>
      </c>
      <c r="J21" s="4">
        <v>260000</v>
      </c>
    </row>
    <row r="22" spans="1:10">
      <c r="A22" s="31" t="s">
        <v>76</v>
      </c>
      <c r="B22" s="31">
        <v>9157066</v>
      </c>
      <c r="C22" s="31" t="s">
        <v>130</v>
      </c>
      <c r="D22" s="31">
        <v>31</v>
      </c>
      <c r="E22" s="31">
        <v>0</v>
      </c>
      <c r="G22" s="31">
        <v>260000</v>
      </c>
      <c r="J22" s="4">
        <v>260000</v>
      </c>
    </row>
    <row r="23" spans="1:10">
      <c r="A23" s="31" t="s">
        <v>76</v>
      </c>
      <c r="B23" s="31">
        <v>9157068</v>
      </c>
      <c r="C23" s="31" t="s">
        <v>133</v>
      </c>
      <c r="D23" s="31">
        <v>31</v>
      </c>
      <c r="E23" s="31">
        <v>0</v>
      </c>
      <c r="G23" s="31">
        <v>260000</v>
      </c>
      <c r="J23" s="4">
        <v>260000</v>
      </c>
    </row>
    <row r="24" spans="1:10">
      <c r="A24" s="31" t="s">
        <v>76</v>
      </c>
      <c r="B24" s="31">
        <v>9157069</v>
      </c>
      <c r="C24" s="31" t="s">
        <v>136</v>
      </c>
      <c r="D24" s="31">
        <v>31</v>
      </c>
      <c r="E24" s="31">
        <v>0</v>
      </c>
      <c r="G24" s="31">
        <v>260000</v>
      </c>
      <c r="J24" s="4">
        <v>260000</v>
      </c>
    </row>
    <row r="25" spans="1:10">
      <c r="A25" s="31" t="s">
        <v>76</v>
      </c>
      <c r="B25" s="31">
        <v>9157070</v>
      </c>
      <c r="C25" s="31" t="s">
        <v>139</v>
      </c>
      <c r="D25" s="31">
        <v>31</v>
      </c>
      <c r="E25" s="31">
        <v>0</v>
      </c>
      <c r="G25" s="31">
        <v>260000</v>
      </c>
      <c r="J25" s="4">
        <v>260000</v>
      </c>
    </row>
    <row r="26" spans="1:10">
      <c r="A26" s="31" t="s">
        <v>76</v>
      </c>
      <c r="B26" s="31">
        <v>9157072</v>
      </c>
      <c r="C26" s="31" t="s">
        <v>142</v>
      </c>
      <c r="D26" s="31">
        <v>31</v>
      </c>
      <c r="E26" s="31">
        <v>0</v>
      </c>
      <c r="G26" s="31">
        <v>260000</v>
      </c>
      <c r="J26" s="4">
        <v>260000</v>
      </c>
    </row>
    <row r="27" spans="1:10">
      <c r="A27" s="31" t="s">
        <v>76</v>
      </c>
      <c r="B27" s="31">
        <v>9157075</v>
      </c>
      <c r="C27" s="31" t="s">
        <v>145</v>
      </c>
      <c r="D27" s="31">
        <v>31</v>
      </c>
      <c r="E27" s="31">
        <v>0</v>
      </c>
      <c r="G27" s="31">
        <v>260000</v>
      </c>
      <c r="J27" s="4">
        <v>260000</v>
      </c>
    </row>
    <row r="28" spans="1:10">
      <c r="A28" s="31" t="s">
        <v>76</v>
      </c>
      <c r="B28" s="31">
        <v>9157077</v>
      </c>
      <c r="C28" s="31" t="s">
        <v>148</v>
      </c>
      <c r="D28" s="31">
        <v>31</v>
      </c>
      <c r="E28" s="31">
        <v>0</v>
      </c>
      <c r="G28" s="31">
        <v>260000</v>
      </c>
      <c r="J28" s="4">
        <v>260000</v>
      </c>
    </row>
    <row r="29" spans="1:10">
      <c r="A29" s="31" t="s">
        <v>76</v>
      </c>
      <c r="B29" s="31">
        <v>9157079</v>
      </c>
      <c r="C29" s="31" t="s">
        <v>151</v>
      </c>
      <c r="D29" s="31">
        <v>31</v>
      </c>
      <c r="E29" s="31">
        <v>0</v>
      </c>
      <c r="G29" s="31">
        <v>260000</v>
      </c>
      <c r="J29" s="4">
        <v>260000</v>
      </c>
    </row>
    <row r="30" spans="1:10">
      <c r="A30" s="31" t="s">
        <v>76</v>
      </c>
      <c r="B30" s="31">
        <v>9157081</v>
      </c>
      <c r="C30" s="31" t="s">
        <v>154</v>
      </c>
      <c r="D30" s="31">
        <v>31</v>
      </c>
      <c r="E30" s="31">
        <v>0</v>
      </c>
      <c r="G30" s="31">
        <v>260000</v>
      </c>
      <c r="J30" s="4">
        <v>260000</v>
      </c>
    </row>
    <row r="31" spans="1:10">
      <c r="A31" s="31" t="s">
        <v>76</v>
      </c>
      <c r="B31" s="31">
        <v>9157084</v>
      </c>
      <c r="C31" s="31" t="s">
        <v>157</v>
      </c>
      <c r="D31" s="31">
        <v>31</v>
      </c>
      <c r="E31" s="31">
        <v>0</v>
      </c>
      <c r="G31" s="31">
        <v>260000</v>
      </c>
      <c r="J31" s="4">
        <v>260000</v>
      </c>
    </row>
    <row r="32" spans="1:10">
      <c r="A32" s="31" t="s">
        <v>76</v>
      </c>
      <c r="B32" s="31">
        <v>9157089</v>
      </c>
      <c r="C32" s="31" t="s">
        <v>160</v>
      </c>
      <c r="D32" s="31">
        <v>31</v>
      </c>
      <c r="E32" s="31">
        <v>0</v>
      </c>
      <c r="G32" s="31">
        <v>260000</v>
      </c>
      <c r="J32" s="4">
        <v>260000</v>
      </c>
    </row>
    <row r="33" spans="1:10">
      <c r="A33" s="31" t="s">
        <v>76</v>
      </c>
      <c r="B33" s="31">
        <v>9157090</v>
      </c>
      <c r="C33" s="31" t="s">
        <v>163</v>
      </c>
      <c r="D33" s="31">
        <v>31</v>
      </c>
      <c r="E33" s="31">
        <v>0</v>
      </c>
      <c r="G33" s="31">
        <v>260000</v>
      </c>
      <c r="J33" s="4">
        <v>260000</v>
      </c>
    </row>
    <row r="34" spans="1:10">
      <c r="A34" s="31" t="s">
        <v>76</v>
      </c>
      <c r="B34" s="31">
        <v>9157091</v>
      </c>
      <c r="C34" s="31" t="s">
        <v>166</v>
      </c>
      <c r="D34" s="31">
        <v>31</v>
      </c>
      <c r="E34" s="31">
        <v>0</v>
      </c>
      <c r="G34" s="31">
        <v>260000</v>
      </c>
      <c r="J34" s="4">
        <v>260000</v>
      </c>
    </row>
    <row r="35" spans="1:10">
      <c r="J35" s="4">
        <f>SUM(J4:J34)</f>
        <v>8060000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rightToLeft="1" tabSelected="1" view="pageBreakPreview" zoomScaleNormal="100" zoomScaleSheetLayoutView="100" workbookViewId="0">
      <selection activeCell="F5" sqref="F5"/>
    </sheetView>
  </sheetViews>
  <sheetFormatPr defaultRowHeight="15"/>
  <cols>
    <col min="1" max="1" width="5.5703125" customWidth="1"/>
    <col min="2" max="2" width="9.28515625" customWidth="1"/>
    <col min="3" max="3" width="15" customWidth="1"/>
    <col min="4" max="4" width="15.7109375" customWidth="1"/>
    <col min="5" max="5" width="20.7109375" customWidth="1"/>
    <col min="6" max="6" width="21.85546875" customWidth="1"/>
    <col min="7" max="7" width="17.140625" customWidth="1"/>
    <col min="8" max="8" width="17.28515625" customWidth="1"/>
    <col min="9" max="9" width="25.5703125" bestFit="1" customWidth="1"/>
    <col min="10" max="10" width="20.7109375" customWidth="1"/>
    <col min="11" max="11" width="5.5703125" customWidth="1"/>
  </cols>
  <sheetData>
    <row r="1" spans="1:11" ht="41.25" customHeight="1">
      <c r="A1" s="5"/>
      <c r="B1" s="35" t="s">
        <v>208</v>
      </c>
      <c r="C1" s="35"/>
      <c r="D1" s="35"/>
      <c r="E1" s="35"/>
      <c r="F1" s="35"/>
      <c r="G1" s="35"/>
      <c r="H1" s="35"/>
      <c r="I1" s="35"/>
      <c r="J1" s="35"/>
      <c r="K1" s="5"/>
    </row>
    <row r="2" spans="1:11" ht="26.25">
      <c r="A2" s="5"/>
      <c r="B2" s="6"/>
      <c r="C2" s="6"/>
      <c r="D2" s="6"/>
      <c r="E2" s="6"/>
      <c r="F2" s="6"/>
      <c r="G2" s="6"/>
      <c r="H2" s="6"/>
      <c r="I2" s="6"/>
      <c r="J2" s="6"/>
      <c r="K2" s="5"/>
    </row>
    <row r="3" spans="1:11" ht="24.75">
      <c r="A3" s="5"/>
      <c r="B3" s="7"/>
      <c r="C3" s="7"/>
      <c r="D3" s="7"/>
      <c r="E3" s="8"/>
      <c r="F3" s="8"/>
      <c r="G3" s="8"/>
      <c r="H3" s="8"/>
      <c r="I3" s="8"/>
      <c r="J3" s="8"/>
      <c r="K3" s="5"/>
    </row>
    <row r="4" spans="1:11" s="14" customFormat="1" ht="48">
      <c r="A4" s="9"/>
      <c r="B4" s="10" t="s">
        <v>50</v>
      </c>
      <c r="C4" s="10" t="s">
        <v>51</v>
      </c>
      <c r="D4" s="10" t="s">
        <v>52</v>
      </c>
      <c r="E4" s="11" t="s">
        <v>53</v>
      </c>
      <c r="F4" s="12" t="s">
        <v>54</v>
      </c>
      <c r="G4" s="12" t="s">
        <v>48</v>
      </c>
      <c r="H4" s="12" t="s">
        <v>55</v>
      </c>
      <c r="I4" s="12" t="s">
        <v>56</v>
      </c>
      <c r="J4" s="11" t="s">
        <v>57</v>
      </c>
      <c r="K4" s="13"/>
    </row>
    <row r="5" spans="1:11" ht="36.75" customHeight="1">
      <c r="A5" s="15"/>
      <c r="B5" s="16">
        <v>1</v>
      </c>
      <c r="C5" s="16" t="s">
        <v>63</v>
      </c>
      <c r="D5" s="16">
        <v>31</v>
      </c>
      <c r="E5" s="17">
        <f>'فروردین دارخوین 95 '!AB33</f>
        <v>550777959</v>
      </c>
      <c r="F5" s="17">
        <f>'فروردین دارخوین 95 '!X33+'فروردین دارخوین 95 '!Y33</f>
        <v>108629087</v>
      </c>
      <c r="G5" s="17">
        <f>'سنوات '!$N$33</f>
        <v>38600034.166666679</v>
      </c>
      <c r="H5" s="17">
        <f>'سنوات '!$O$33</f>
        <v>62888847.5</v>
      </c>
      <c r="I5" s="17">
        <v>0</v>
      </c>
      <c r="J5" s="17">
        <f>SUM(E5:I5)</f>
        <v>760895927.66666663</v>
      </c>
      <c r="K5" s="18"/>
    </row>
    <row r="6" spans="1:11" ht="36.75" customHeight="1">
      <c r="A6" s="15"/>
      <c r="B6" s="16">
        <v>2</v>
      </c>
      <c r="C6" s="16" t="s">
        <v>64</v>
      </c>
      <c r="D6" s="16">
        <v>31</v>
      </c>
      <c r="E6" s="17">
        <f>'دارخوين ارديبهشت 95 '!AE33</f>
        <v>554200095</v>
      </c>
      <c r="F6" s="17">
        <f>'دارخوين ارديبهشت 95 '!AA33+'دارخوين ارديبهشت 95 '!AB33</f>
        <v>109765005</v>
      </c>
      <c r="G6" s="17">
        <f>'سنوات '!$N$33</f>
        <v>38600034.166666679</v>
      </c>
      <c r="H6" s="17">
        <f>'سنوات '!$O$33</f>
        <v>62888847.5</v>
      </c>
      <c r="I6" s="17">
        <f>'رفاهی 2 '!J35</f>
        <v>8060000</v>
      </c>
      <c r="J6" s="17">
        <f>SUM(E6:I6)</f>
        <v>773513981.66666663</v>
      </c>
      <c r="K6" s="18"/>
    </row>
    <row r="7" spans="1:11" ht="36.75" customHeight="1">
      <c r="A7" s="15"/>
      <c r="B7" s="16">
        <v>3</v>
      </c>
      <c r="C7" s="16" t="s">
        <v>65</v>
      </c>
      <c r="D7" s="16">
        <v>31</v>
      </c>
      <c r="E7" s="17">
        <f>'خرداد '!AH33</f>
        <v>545786928</v>
      </c>
      <c r="F7" s="17">
        <f>'خرداد '!AD33+'خرداد '!AE33</f>
        <v>103618894</v>
      </c>
      <c r="G7" s="17">
        <f>'سنوات '!$N$33</f>
        <v>38600034.166666679</v>
      </c>
      <c r="H7" s="17">
        <f>'سنوات '!$O$33</f>
        <v>62888847.5</v>
      </c>
      <c r="I7" s="17">
        <f>'رفاهیات '!L34</f>
        <v>8060000</v>
      </c>
      <c r="J7" s="17">
        <f>SUM(E7:I7)</f>
        <v>758954703.66666663</v>
      </c>
      <c r="K7" s="18"/>
    </row>
    <row r="8" spans="1:11" s="46" customFormat="1" ht="36.75" customHeight="1">
      <c r="A8" s="41"/>
      <c r="B8" s="42"/>
      <c r="C8" s="58" t="s">
        <v>57</v>
      </c>
      <c r="D8" s="59"/>
      <c r="E8" s="44">
        <f t="shared" ref="E8:J8" si="0">SUM(E5:E7)</f>
        <v>1650764982</v>
      </c>
      <c r="F8" s="44">
        <f t="shared" si="0"/>
        <v>322012986</v>
      </c>
      <c r="G8" s="44">
        <f t="shared" si="0"/>
        <v>115800102.50000003</v>
      </c>
      <c r="H8" s="44">
        <f t="shared" si="0"/>
        <v>188666542.5</v>
      </c>
      <c r="I8" s="44">
        <f t="shared" si="0"/>
        <v>16120000</v>
      </c>
      <c r="J8" s="44">
        <f t="shared" si="0"/>
        <v>2293364613</v>
      </c>
      <c r="K8" s="45"/>
    </row>
    <row r="9" spans="1:11" s="46" customFormat="1" ht="36.75" customHeight="1">
      <c r="A9" s="47"/>
      <c r="B9" s="41"/>
      <c r="C9" s="48"/>
      <c r="D9" s="49"/>
      <c r="E9" s="49"/>
      <c r="F9" s="47"/>
      <c r="G9" s="49"/>
      <c r="H9" s="49"/>
      <c r="I9" s="19" t="s">
        <v>58</v>
      </c>
      <c r="J9" s="43">
        <f>J8</f>
        <v>2293364613</v>
      </c>
      <c r="K9" s="45"/>
    </row>
    <row r="10" spans="1:11" s="46" customFormat="1" ht="36.75" customHeight="1">
      <c r="A10" s="47"/>
      <c r="E10" s="50"/>
      <c r="F10" s="51"/>
      <c r="G10" s="52"/>
      <c r="I10" s="19" t="s">
        <v>59</v>
      </c>
      <c r="J10" s="43">
        <f>J9*9%</f>
        <v>206402815.16999999</v>
      </c>
      <c r="K10" s="45"/>
    </row>
    <row r="11" spans="1:11" s="46" customFormat="1" ht="36.75" customHeight="1">
      <c r="A11" s="53"/>
      <c r="B11" s="54"/>
      <c r="C11" s="54"/>
      <c r="D11" s="54"/>
      <c r="E11" s="55"/>
      <c r="F11" s="49"/>
      <c r="G11" s="55"/>
      <c r="H11" s="56"/>
      <c r="I11" s="57" t="s">
        <v>57</v>
      </c>
      <c r="J11" s="44">
        <f>J9+J10</f>
        <v>2499767428.1700001</v>
      </c>
      <c r="K11" s="55"/>
    </row>
    <row r="12" spans="1:11" ht="24">
      <c r="D12" s="20"/>
      <c r="E12" s="20"/>
      <c r="H12" s="21"/>
      <c r="I12" s="22"/>
      <c r="J12" s="23"/>
    </row>
    <row r="13" spans="1:11" ht="26.25">
      <c r="B13" s="24"/>
      <c r="C13" s="24"/>
      <c r="D13" s="24"/>
      <c r="E13" s="24"/>
      <c r="F13" s="24"/>
      <c r="G13" s="24"/>
      <c r="H13" s="24"/>
      <c r="I13" s="25"/>
      <c r="J13" s="25"/>
      <c r="K13" s="25"/>
    </row>
    <row r="15" spans="1:11" ht="15.75" thickBot="1"/>
    <row r="16" spans="1:11" ht="129.94999999999999" customHeight="1" thickBot="1">
      <c r="A16" s="26"/>
      <c r="B16" s="36" t="s">
        <v>60</v>
      </c>
      <c r="C16" s="60"/>
      <c r="D16" s="37"/>
      <c r="E16" s="36" t="s">
        <v>61</v>
      </c>
      <c r="F16" s="60"/>
      <c r="G16" s="37"/>
      <c r="H16" s="38" t="s">
        <v>62</v>
      </c>
      <c r="I16" s="39"/>
      <c r="J16" s="40"/>
      <c r="K16" s="27"/>
    </row>
  </sheetData>
  <mergeCells count="5">
    <mergeCell ref="B1:J1"/>
    <mergeCell ref="H16:J16"/>
    <mergeCell ref="C8:D8"/>
    <mergeCell ref="E16:G16"/>
    <mergeCell ref="B16:D16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فروردین دارخوین 95 </vt:lpstr>
      <vt:lpstr>دارخوين ارديبهشت 95 </vt:lpstr>
      <vt:lpstr>خرداد </vt:lpstr>
      <vt:lpstr>سنوات </vt:lpstr>
      <vt:lpstr>رفاهیات </vt:lpstr>
      <vt:lpstr>رفاهی 2 </vt:lpstr>
      <vt:lpstr>جدول </vt:lpstr>
      <vt:lpstr>'جدول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Tazari</dc:creator>
  <cp:lastModifiedBy>Hasan Tazari</cp:lastModifiedBy>
  <cp:lastPrinted>2016-08-02T09:41:22Z</cp:lastPrinted>
  <dcterms:created xsi:type="dcterms:W3CDTF">2016-06-12T11:55:13Z</dcterms:created>
  <dcterms:modified xsi:type="dcterms:W3CDTF">2016-08-02T09:45:36Z</dcterms:modified>
</cp:coreProperties>
</file>