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10050"/>
  </bookViews>
  <sheets>
    <sheet name="9901" sheetId="1" r:id="rId1"/>
  </sheets>
  <calcPr calcId="145621"/>
</workbook>
</file>

<file path=xl/calcChain.xml><?xml version="1.0" encoding="utf-8"?>
<calcChain xmlns="http://schemas.openxmlformats.org/spreadsheetml/2006/main">
  <c r="AT3" i="1" l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442" i="1"/>
  <c r="AT443" i="1"/>
  <c r="AT444" i="1"/>
  <c r="AT445" i="1"/>
  <c r="AT446" i="1"/>
  <c r="AT447" i="1"/>
  <c r="AT448" i="1"/>
  <c r="AT449" i="1"/>
  <c r="AT450" i="1"/>
  <c r="AT451" i="1"/>
  <c r="AT452" i="1"/>
  <c r="AT453" i="1"/>
  <c r="AT454" i="1"/>
  <c r="AT455" i="1"/>
  <c r="AT456" i="1"/>
  <c r="AT457" i="1"/>
  <c r="AT458" i="1"/>
  <c r="AT459" i="1"/>
  <c r="AT460" i="1"/>
  <c r="AT461" i="1"/>
  <c r="AT462" i="1"/>
  <c r="AT463" i="1"/>
  <c r="AT464" i="1"/>
  <c r="AT465" i="1"/>
  <c r="AT466" i="1"/>
  <c r="AT467" i="1"/>
  <c r="AT468" i="1"/>
  <c r="AT469" i="1"/>
  <c r="AT470" i="1"/>
  <c r="AT471" i="1"/>
  <c r="AT472" i="1"/>
  <c r="AT473" i="1"/>
  <c r="AT474" i="1"/>
  <c r="AT475" i="1"/>
  <c r="AT476" i="1"/>
  <c r="AT477" i="1"/>
  <c r="AT478" i="1"/>
  <c r="AT479" i="1"/>
  <c r="AT480" i="1"/>
  <c r="AT481" i="1"/>
  <c r="AT482" i="1"/>
  <c r="AT483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8" i="1"/>
  <c r="AT499" i="1"/>
  <c r="AT500" i="1"/>
  <c r="AT501" i="1"/>
  <c r="AT502" i="1"/>
  <c r="AT503" i="1"/>
  <c r="AT504" i="1"/>
  <c r="AT505" i="1"/>
  <c r="AT506" i="1"/>
  <c r="AT507" i="1"/>
  <c r="AT508" i="1"/>
  <c r="AT509" i="1"/>
  <c r="AT510" i="1"/>
  <c r="AT511" i="1"/>
  <c r="AT512" i="1"/>
  <c r="AT513" i="1"/>
  <c r="AT514" i="1"/>
  <c r="AT515" i="1"/>
  <c r="AT516" i="1"/>
  <c r="AT517" i="1"/>
  <c r="AT518" i="1"/>
  <c r="AT519" i="1"/>
  <c r="AT520" i="1"/>
  <c r="AT521" i="1"/>
  <c r="AT522" i="1"/>
  <c r="AT523" i="1"/>
  <c r="AT524" i="1"/>
  <c r="AT525" i="1"/>
  <c r="AT526" i="1"/>
  <c r="AT527" i="1"/>
  <c r="AT528" i="1"/>
  <c r="AT529" i="1"/>
  <c r="AT530" i="1"/>
  <c r="AT531" i="1"/>
  <c r="AT532" i="1"/>
  <c r="AT533" i="1"/>
  <c r="AT534" i="1"/>
  <c r="AT535" i="1"/>
  <c r="AT536" i="1"/>
  <c r="AT537" i="1"/>
  <c r="AT538" i="1"/>
  <c r="AT539" i="1"/>
  <c r="AT540" i="1"/>
  <c r="AT541" i="1"/>
  <c r="AT542" i="1"/>
  <c r="AT543" i="1"/>
  <c r="AT544" i="1"/>
  <c r="AT545" i="1"/>
  <c r="AT546" i="1"/>
  <c r="AT547" i="1"/>
  <c r="AT548" i="1"/>
  <c r="AT549" i="1"/>
  <c r="AT550" i="1"/>
  <c r="AT551" i="1"/>
  <c r="AT552" i="1"/>
  <c r="AT553" i="1"/>
  <c r="AT554" i="1"/>
  <c r="AT555" i="1"/>
  <c r="AT556" i="1"/>
  <c r="AT557" i="1"/>
  <c r="AT558" i="1"/>
  <c r="AT559" i="1"/>
  <c r="AT560" i="1"/>
  <c r="AT561" i="1"/>
  <c r="AT562" i="1"/>
  <c r="AT563" i="1"/>
  <c r="AT564" i="1"/>
  <c r="AT565" i="1"/>
  <c r="AT566" i="1"/>
  <c r="AT567" i="1"/>
  <c r="AT568" i="1"/>
  <c r="AT569" i="1"/>
  <c r="AT570" i="1"/>
  <c r="AT571" i="1"/>
  <c r="AT572" i="1"/>
  <c r="AT573" i="1"/>
  <c r="AT574" i="1"/>
  <c r="AT575" i="1"/>
  <c r="AT576" i="1"/>
  <c r="AT577" i="1"/>
  <c r="AT578" i="1"/>
  <c r="AT579" i="1"/>
  <c r="AT580" i="1"/>
  <c r="AT581" i="1"/>
  <c r="AT582" i="1"/>
  <c r="AT583" i="1"/>
  <c r="AT584" i="1"/>
  <c r="AT585" i="1"/>
  <c r="AT586" i="1"/>
  <c r="AT587" i="1"/>
  <c r="AT588" i="1"/>
  <c r="AT589" i="1"/>
  <c r="AT590" i="1"/>
  <c r="AT591" i="1"/>
  <c r="AT592" i="1"/>
  <c r="AT593" i="1"/>
  <c r="AT594" i="1"/>
  <c r="AT595" i="1"/>
  <c r="AT596" i="1"/>
  <c r="AT597" i="1"/>
  <c r="AT598" i="1"/>
  <c r="AT599" i="1"/>
  <c r="AT600" i="1"/>
  <c r="AT601" i="1"/>
  <c r="AT602" i="1"/>
  <c r="AT603" i="1"/>
  <c r="AT604" i="1"/>
  <c r="AT605" i="1"/>
  <c r="AT606" i="1"/>
  <c r="AT607" i="1"/>
  <c r="AT608" i="1"/>
  <c r="AT609" i="1"/>
  <c r="AT610" i="1"/>
  <c r="AT611" i="1"/>
  <c r="AT612" i="1"/>
  <c r="AT613" i="1"/>
  <c r="AT614" i="1"/>
  <c r="AT615" i="1"/>
  <c r="AT616" i="1"/>
  <c r="AT617" i="1"/>
  <c r="AT618" i="1"/>
  <c r="AT619" i="1"/>
  <c r="AT620" i="1"/>
  <c r="AT621" i="1"/>
  <c r="AT622" i="1"/>
  <c r="AT623" i="1"/>
  <c r="AT624" i="1"/>
  <c r="AT625" i="1"/>
  <c r="AT626" i="1"/>
  <c r="AT627" i="1"/>
  <c r="AT628" i="1"/>
  <c r="AT629" i="1"/>
  <c r="AT630" i="1"/>
  <c r="AT631" i="1"/>
  <c r="AT632" i="1"/>
  <c r="AT633" i="1"/>
  <c r="AT634" i="1"/>
  <c r="AT635" i="1"/>
  <c r="AT636" i="1"/>
  <c r="AT637" i="1"/>
  <c r="AT638" i="1"/>
  <c r="AT639" i="1"/>
  <c r="AT640" i="1"/>
  <c r="AT641" i="1"/>
  <c r="AT642" i="1"/>
  <c r="AT643" i="1"/>
  <c r="AT644" i="1"/>
  <c r="AT645" i="1"/>
  <c r="AT646" i="1"/>
  <c r="AT647" i="1"/>
  <c r="AT648" i="1"/>
  <c r="AT649" i="1"/>
  <c r="AT650" i="1"/>
  <c r="AT651" i="1"/>
  <c r="AT652" i="1"/>
  <c r="AT653" i="1"/>
  <c r="AT654" i="1"/>
  <c r="AT655" i="1"/>
  <c r="AT656" i="1"/>
  <c r="AT657" i="1"/>
  <c r="AT658" i="1"/>
  <c r="AT659" i="1"/>
  <c r="AT660" i="1"/>
  <c r="AT661" i="1"/>
  <c r="AT662" i="1"/>
  <c r="AT663" i="1"/>
  <c r="AT664" i="1"/>
  <c r="AT665" i="1"/>
  <c r="AT666" i="1"/>
  <c r="AT667" i="1"/>
  <c r="AT668" i="1"/>
  <c r="AT669" i="1"/>
  <c r="AT670" i="1"/>
  <c r="AT671" i="1"/>
  <c r="AT672" i="1"/>
  <c r="AT673" i="1"/>
  <c r="AT674" i="1"/>
  <c r="AT675" i="1"/>
  <c r="AT676" i="1"/>
  <c r="AT677" i="1"/>
  <c r="AT678" i="1"/>
  <c r="AT679" i="1"/>
  <c r="AT680" i="1"/>
  <c r="AT681" i="1"/>
  <c r="AT682" i="1"/>
  <c r="AT683" i="1"/>
  <c r="AT684" i="1"/>
  <c r="AT685" i="1"/>
  <c r="AT686" i="1"/>
  <c r="AT687" i="1"/>
  <c r="AT688" i="1"/>
  <c r="AT689" i="1"/>
  <c r="AT690" i="1"/>
  <c r="AT691" i="1"/>
  <c r="AT692" i="1"/>
  <c r="AT693" i="1"/>
  <c r="AT694" i="1"/>
  <c r="AT695" i="1"/>
  <c r="AT696" i="1"/>
  <c r="AT697" i="1"/>
  <c r="AT698" i="1"/>
  <c r="AT699" i="1"/>
  <c r="AT700" i="1"/>
  <c r="AT701" i="1"/>
  <c r="AT702" i="1"/>
  <c r="AT703" i="1"/>
  <c r="AT704" i="1"/>
  <c r="AT705" i="1"/>
  <c r="AT706" i="1"/>
  <c r="AT707" i="1"/>
  <c r="AT708" i="1"/>
  <c r="AT709" i="1"/>
  <c r="AT710" i="1"/>
  <c r="AT711" i="1"/>
  <c r="AT712" i="1"/>
  <c r="AT713" i="1"/>
  <c r="AT714" i="1"/>
  <c r="AT715" i="1"/>
  <c r="AT716" i="1"/>
  <c r="AT717" i="1"/>
  <c r="AT718" i="1"/>
  <c r="AT719" i="1"/>
  <c r="AT720" i="1"/>
  <c r="AT721" i="1"/>
  <c r="AT722" i="1"/>
  <c r="AT723" i="1"/>
  <c r="AT724" i="1"/>
  <c r="AT725" i="1"/>
  <c r="AT726" i="1"/>
  <c r="AT727" i="1"/>
  <c r="AT728" i="1"/>
  <c r="AT729" i="1"/>
  <c r="AT730" i="1"/>
  <c r="AT731" i="1"/>
  <c r="AT732" i="1"/>
  <c r="AT733" i="1"/>
  <c r="AT734" i="1"/>
  <c r="AT735" i="1"/>
  <c r="AT736" i="1"/>
  <c r="AT737" i="1"/>
  <c r="AT738" i="1"/>
  <c r="AT739" i="1"/>
  <c r="AT740" i="1"/>
  <c r="AT741" i="1"/>
  <c r="AT742" i="1"/>
  <c r="AT743" i="1"/>
  <c r="AT744" i="1"/>
  <c r="AT745" i="1"/>
  <c r="AT746" i="1"/>
  <c r="AT747" i="1"/>
  <c r="AT748" i="1"/>
  <c r="AT749" i="1"/>
  <c r="AT750" i="1"/>
  <c r="AT751" i="1"/>
  <c r="AT752" i="1"/>
  <c r="AT753" i="1"/>
  <c r="AT754" i="1"/>
  <c r="AT755" i="1"/>
  <c r="AT756" i="1"/>
  <c r="AT757" i="1"/>
  <c r="AT758" i="1"/>
  <c r="AT759" i="1"/>
  <c r="AT760" i="1"/>
  <c r="AT761" i="1"/>
  <c r="AT762" i="1"/>
  <c r="AT763" i="1"/>
  <c r="AT764" i="1"/>
  <c r="AT765" i="1"/>
  <c r="AT766" i="1"/>
  <c r="AT767" i="1"/>
  <c r="AT768" i="1"/>
  <c r="AT769" i="1"/>
  <c r="AT770" i="1"/>
  <c r="AT771" i="1"/>
  <c r="AT772" i="1"/>
  <c r="AT773" i="1"/>
  <c r="AT774" i="1"/>
  <c r="AT775" i="1"/>
  <c r="AT776" i="1"/>
  <c r="AT777" i="1"/>
  <c r="AT778" i="1"/>
  <c r="AT779" i="1"/>
  <c r="AT780" i="1"/>
  <c r="AT781" i="1"/>
  <c r="AT782" i="1"/>
  <c r="AT783" i="1"/>
  <c r="AT784" i="1"/>
  <c r="AT785" i="1"/>
  <c r="AT786" i="1"/>
  <c r="AT787" i="1"/>
  <c r="AT788" i="1"/>
  <c r="AT789" i="1"/>
  <c r="AT790" i="1"/>
  <c r="AT791" i="1"/>
  <c r="AT792" i="1"/>
  <c r="AT793" i="1"/>
  <c r="AT794" i="1"/>
  <c r="AT795" i="1"/>
  <c r="AT796" i="1"/>
  <c r="AT797" i="1"/>
  <c r="AT798" i="1"/>
  <c r="AT799" i="1"/>
  <c r="AT800" i="1"/>
  <c r="AT801" i="1"/>
  <c r="AT802" i="1"/>
  <c r="AT803" i="1"/>
  <c r="AT804" i="1"/>
  <c r="AT805" i="1"/>
  <c r="AT806" i="1"/>
  <c r="AT807" i="1"/>
  <c r="AT808" i="1"/>
  <c r="AT809" i="1"/>
  <c r="AT810" i="1"/>
  <c r="AT811" i="1"/>
  <c r="AT812" i="1"/>
  <c r="AT813" i="1"/>
  <c r="AT814" i="1"/>
  <c r="AT815" i="1"/>
  <c r="AT816" i="1"/>
  <c r="AT817" i="1"/>
  <c r="AT818" i="1"/>
  <c r="AT819" i="1"/>
  <c r="AT820" i="1"/>
  <c r="AT821" i="1"/>
  <c r="AT822" i="1"/>
  <c r="AT823" i="1"/>
  <c r="AT824" i="1"/>
  <c r="AT825" i="1"/>
  <c r="AT826" i="1"/>
  <c r="AT827" i="1"/>
  <c r="AT828" i="1"/>
  <c r="AT829" i="1"/>
  <c r="AT830" i="1"/>
  <c r="AT831" i="1"/>
  <c r="AT832" i="1"/>
  <c r="AT833" i="1"/>
  <c r="AT834" i="1"/>
  <c r="AT835" i="1"/>
  <c r="AT836" i="1"/>
  <c r="AT837" i="1"/>
  <c r="AT838" i="1"/>
  <c r="AT839" i="1"/>
  <c r="AT840" i="1"/>
  <c r="AT841" i="1"/>
  <c r="AT842" i="1"/>
  <c r="AT843" i="1"/>
  <c r="AT844" i="1"/>
  <c r="AT845" i="1"/>
  <c r="AT846" i="1"/>
  <c r="AT847" i="1"/>
  <c r="AT848" i="1"/>
  <c r="AT849" i="1"/>
  <c r="AT850" i="1"/>
  <c r="AT851" i="1"/>
  <c r="AT852" i="1"/>
  <c r="AT853" i="1"/>
  <c r="AT854" i="1"/>
  <c r="AT855" i="1"/>
  <c r="AT856" i="1"/>
  <c r="AT857" i="1"/>
  <c r="AT858" i="1"/>
  <c r="AT859" i="1"/>
  <c r="AT860" i="1"/>
  <c r="AT861" i="1"/>
  <c r="AT862" i="1"/>
  <c r="AT863" i="1"/>
  <c r="AT864" i="1"/>
  <c r="AT865" i="1"/>
  <c r="AT866" i="1"/>
  <c r="AT867" i="1"/>
  <c r="AT868" i="1"/>
  <c r="AT869" i="1"/>
  <c r="AT870" i="1"/>
  <c r="AT871" i="1"/>
  <c r="AT872" i="1"/>
  <c r="AT873" i="1"/>
  <c r="AT874" i="1"/>
  <c r="AT875" i="1"/>
  <c r="AT876" i="1"/>
  <c r="AT877" i="1"/>
  <c r="AT878" i="1"/>
  <c r="AT879" i="1"/>
  <c r="AT880" i="1"/>
  <c r="AT881" i="1"/>
  <c r="AT882" i="1"/>
  <c r="AT883" i="1"/>
  <c r="AT884" i="1"/>
  <c r="AT885" i="1"/>
  <c r="AT886" i="1"/>
  <c r="AT887" i="1"/>
  <c r="AT888" i="1"/>
  <c r="AT889" i="1"/>
  <c r="AT890" i="1"/>
  <c r="AT891" i="1"/>
  <c r="AT892" i="1"/>
  <c r="AT893" i="1"/>
  <c r="AT894" i="1"/>
  <c r="AT895" i="1"/>
  <c r="AT896" i="1"/>
  <c r="AT897" i="1"/>
  <c r="AT898" i="1"/>
  <c r="AT899" i="1"/>
  <c r="AT900" i="1"/>
  <c r="AT901" i="1"/>
  <c r="AT902" i="1"/>
  <c r="AT903" i="1"/>
  <c r="AT904" i="1"/>
  <c r="AT905" i="1"/>
  <c r="AT906" i="1"/>
  <c r="AT907" i="1"/>
  <c r="AT908" i="1"/>
  <c r="AT909" i="1"/>
  <c r="AT910" i="1"/>
  <c r="AT911" i="1"/>
  <c r="AT912" i="1"/>
  <c r="AT913" i="1"/>
  <c r="AT914" i="1"/>
  <c r="AT915" i="1"/>
  <c r="AT916" i="1"/>
  <c r="AT917" i="1"/>
  <c r="AT918" i="1"/>
  <c r="AT919" i="1"/>
  <c r="AT920" i="1"/>
  <c r="AT921" i="1"/>
  <c r="AT922" i="1"/>
  <c r="AT923" i="1"/>
  <c r="AT924" i="1"/>
  <c r="AT925" i="1"/>
  <c r="AT926" i="1"/>
  <c r="AT927" i="1"/>
  <c r="AT928" i="1"/>
  <c r="AT929" i="1"/>
  <c r="AT930" i="1"/>
  <c r="AT931" i="1"/>
  <c r="AT932" i="1"/>
  <c r="AT933" i="1"/>
  <c r="AT934" i="1"/>
  <c r="AT935" i="1"/>
  <c r="AT936" i="1"/>
  <c r="AT937" i="1"/>
  <c r="AT938" i="1"/>
  <c r="AT939" i="1"/>
  <c r="AT940" i="1"/>
  <c r="AT941" i="1"/>
  <c r="AT942" i="1"/>
  <c r="AT943" i="1"/>
  <c r="AT944" i="1"/>
  <c r="AT945" i="1"/>
  <c r="AT946" i="1"/>
  <c r="AT947" i="1"/>
  <c r="AT948" i="1"/>
  <c r="AT949" i="1"/>
  <c r="AT950" i="1"/>
  <c r="AT951" i="1"/>
  <c r="AT952" i="1"/>
  <c r="AT953" i="1"/>
  <c r="AT954" i="1"/>
  <c r="AT955" i="1"/>
  <c r="AT956" i="1"/>
  <c r="AT957" i="1"/>
  <c r="AT958" i="1"/>
  <c r="AT959" i="1"/>
  <c r="AT960" i="1"/>
  <c r="AT961" i="1"/>
  <c r="AT962" i="1"/>
  <c r="AT963" i="1"/>
  <c r="AT964" i="1"/>
  <c r="AT965" i="1"/>
  <c r="AT966" i="1"/>
  <c r="AT967" i="1"/>
  <c r="AT968" i="1"/>
  <c r="AT969" i="1"/>
  <c r="AT970" i="1"/>
  <c r="AT971" i="1"/>
  <c r="AT972" i="1"/>
  <c r="AT973" i="1"/>
  <c r="AT974" i="1"/>
  <c r="AT975" i="1"/>
  <c r="AT976" i="1"/>
  <c r="AT977" i="1"/>
  <c r="AT978" i="1"/>
  <c r="AT979" i="1"/>
  <c r="AT980" i="1"/>
  <c r="AT981" i="1"/>
  <c r="AT982" i="1"/>
  <c r="AT983" i="1"/>
  <c r="AT984" i="1"/>
  <c r="AT985" i="1"/>
  <c r="AT986" i="1"/>
  <c r="AT987" i="1"/>
  <c r="AT988" i="1"/>
  <c r="AT989" i="1"/>
  <c r="AT990" i="1"/>
  <c r="AT991" i="1"/>
  <c r="AT992" i="1"/>
  <c r="AT993" i="1"/>
  <c r="AT994" i="1"/>
  <c r="AT995" i="1"/>
  <c r="AT996" i="1"/>
  <c r="AT997" i="1"/>
  <c r="AT998" i="1"/>
  <c r="AT999" i="1"/>
  <c r="AT1000" i="1"/>
  <c r="AT1001" i="1"/>
  <c r="AT1002" i="1"/>
  <c r="AT1003" i="1"/>
  <c r="AT1004" i="1"/>
  <c r="AT1005" i="1"/>
  <c r="AT1006" i="1"/>
  <c r="AT1007" i="1"/>
  <c r="AT1008" i="1"/>
  <c r="AT1009" i="1"/>
  <c r="AT1010" i="1"/>
  <c r="AT1011" i="1"/>
  <c r="AT1012" i="1"/>
  <c r="AT1013" i="1"/>
  <c r="AT1014" i="1"/>
  <c r="AT1015" i="1"/>
  <c r="AT1016" i="1"/>
  <c r="AT1017" i="1"/>
  <c r="AT1018" i="1"/>
  <c r="AT1019" i="1"/>
  <c r="AT1020" i="1"/>
  <c r="AT1021" i="1"/>
  <c r="AT1022" i="1"/>
  <c r="AT1023" i="1"/>
  <c r="AT1024" i="1"/>
  <c r="AT1025" i="1"/>
  <c r="AT1026" i="1"/>
  <c r="AT1027" i="1"/>
  <c r="AT1028" i="1"/>
  <c r="AT1029" i="1"/>
  <c r="AT1030" i="1"/>
  <c r="AT1031" i="1"/>
  <c r="AT1032" i="1"/>
  <c r="AT1033" i="1"/>
  <c r="AT1034" i="1"/>
  <c r="AT1035" i="1"/>
  <c r="AT1036" i="1"/>
  <c r="AT1037" i="1"/>
  <c r="AT1038" i="1"/>
  <c r="AT1039" i="1"/>
  <c r="AT1040" i="1"/>
  <c r="AT1041" i="1"/>
  <c r="AT1042" i="1"/>
  <c r="AT1043" i="1"/>
  <c r="AT1044" i="1"/>
  <c r="AT1045" i="1"/>
  <c r="AT1046" i="1"/>
  <c r="AT1047" i="1"/>
  <c r="AT1048" i="1"/>
  <c r="AT1049" i="1"/>
  <c r="AT1050" i="1"/>
  <c r="AT1051" i="1"/>
  <c r="AT1052" i="1"/>
  <c r="AT1053" i="1"/>
  <c r="AT1054" i="1"/>
  <c r="AT1055" i="1"/>
  <c r="AT1056" i="1"/>
  <c r="AT1057" i="1"/>
  <c r="AT1058" i="1"/>
  <c r="AT1059" i="1"/>
  <c r="AT1060" i="1"/>
  <c r="AT1061" i="1"/>
  <c r="AT1062" i="1"/>
  <c r="AT1063" i="1"/>
  <c r="AT1064" i="1"/>
  <c r="AT1065" i="1"/>
  <c r="AT1066" i="1"/>
  <c r="AT1067" i="1"/>
  <c r="AT1068" i="1"/>
  <c r="AT1069" i="1"/>
  <c r="AT1070" i="1"/>
  <c r="AT1071" i="1"/>
  <c r="AT1072" i="1"/>
  <c r="AT1073" i="1"/>
  <c r="AT1074" i="1"/>
  <c r="AT1075" i="1"/>
  <c r="AT1076" i="1"/>
  <c r="AT1077" i="1"/>
  <c r="AT1078" i="1"/>
  <c r="AT1079" i="1"/>
  <c r="AT1080" i="1"/>
  <c r="AT1081" i="1"/>
  <c r="AT1082" i="1"/>
  <c r="AT1083" i="1"/>
  <c r="AT1084" i="1"/>
  <c r="AT1085" i="1"/>
  <c r="AT1086" i="1"/>
  <c r="AT1087" i="1"/>
  <c r="AT1088" i="1"/>
  <c r="AT1089" i="1"/>
  <c r="AT1090" i="1"/>
  <c r="AT1091" i="1"/>
  <c r="AT1092" i="1"/>
  <c r="AT1093" i="1"/>
  <c r="AT1094" i="1"/>
  <c r="AT1095" i="1"/>
  <c r="AT1096" i="1"/>
  <c r="AT1097" i="1"/>
  <c r="AT1098" i="1"/>
  <c r="AT1099" i="1"/>
  <c r="AT1100" i="1"/>
  <c r="AT1101" i="1"/>
  <c r="AT1102" i="1"/>
  <c r="AT1103" i="1"/>
  <c r="AT1104" i="1"/>
  <c r="AT1105" i="1"/>
  <c r="AT1106" i="1"/>
  <c r="AT1107" i="1"/>
  <c r="AT1108" i="1"/>
  <c r="AT1109" i="1"/>
  <c r="AT1110" i="1"/>
  <c r="AT1111" i="1"/>
  <c r="AT1112" i="1"/>
  <c r="AT1113" i="1"/>
  <c r="AT1114" i="1"/>
  <c r="AT1115" i="1"/>
  <c r="AT1116" i="1"/>
  <c r="AT1117" i="1"/>
  <c r="AT1118" i="1"/>
  <c r="AT1119" i="1"/>
  <c r="AT1120" i="1"/>
  <c r="AT1121" i="1"/>
  <c r="AT1122" i="1"/>
  <c r="AT1123" i="1"/>
  <c r="AT1124" i="1"/>
  <c r="AT1125" i="1"/>
  <c r="AT1126" i="1"/>
  <c r="AT1127" i="1"/>
  <c r="AT1128" i="1"/>
  <c r="AT1129" i="1"/>
  <c r="AT1130" i="1"/>
  <c r="AT1131" i="1"/>
  <c r="AT1132" i="1"/>
  <c r="AT1133" i="1"/>
  <c r="AT1134" i="1"/>
  <c r="AT1135" i="1"/>
  <c r="AT1136" i="1"/>
  <c r="AT1137" i="1"/>
  <c r="AT1138" i="1"/>
  <c r="AT1139" i="1"/>
  <c r="AT1140" i="1"/>
  <c r="AT1141" i="1"/>
  <c r="AT1142" i="1"/>
  <c r="AT1143" i="1"/>
  <c r="AT1144" i="1"/>
  <c r="AT1145" i="1"/>
  <c r="AT1146" i="1"/>
  <c r="AT2" i="1"/>
  <c r="A515" i="1" l="1"/>
  <c r="B515" i="1"/>
  <c r="C515" i="1"/>
  <c r="D515" i="1"/>
  <c r="E515" i="1"/>
  <c r="A643" i="1"/>
  <c r="B643" i="1"/>
  <c r="C643" i="1"/>
  <c r="D643" i="1"/>
  <c r="E643" i="1"/>
  <c r="A641" i="1"/>
  <c r="B641" i="1"/>
  <c r="C641" i="1"/>
  <c r="D641" i="1"/>
  <c r="E641" i="1"/>
  <c r="A752" i="1"/>
  <c r="B752" i="1"/>
  <c r="C752" i="1"/>
  <c r="D752" i="1"/>
  <c r="E752" i="1"/>
  <c r="A1133" i="1"/>
  <c r="B1133" i="1"/>
  <c r="C1133" i="1"/>
  <c r="D1133" i="1"/>
  <c r="E1133" i="1"/>
  <c r="A371" i="1"/>
  <c r="B371" i="1"/>
  <c r="C371" i="1"/>
  <c r="D371" i="1"/>
  <c r="E371" i="1"/>
  <c r="A372" i="1"/>
  <c r="B372" i="1"/>
  <c r="C372" i="1"/>
  <c r="D372" i="1"/>
  <c r="E372" i="1"/>
  <c r="A373" i="1"/>
  <c r="B373" i="1"/>
  <c r="C373" i="1"/>
  <c r="D373" i="1"/>
  <c r="E373" i="1"/>
  <c r="A374" i="1"/>
  <c r="B374" i="1"/>
  <c r="C374" i="1"/>
  <c r="D374" i="1"/>
  <c r="E374" i="1"/>
  <c r="A375" i="1"/>
  <c r="B375" i="1"/>
  <c r="C375" i="1"/>
  <c r="D375" i="1"/>
  <c r="E375" i="1"/>
  <c r="A360" i="1"/>
  <c r="B360" i="1"/>
  <c r="C360" i="1"/>
  <c r="D360" i="1"/>
  <c r="E360" i="1"/>
  <c r="A361" i="1"/>
  <c r="B361" i="1"/>
  <c r="C361" i="1"/>
  <c r="D361" i="1"/>
  <c r="E361" i="1"/>
  <c r="A495" i="1"/>
  <c r="B495" i="1"/>
  <c r="C495" i="1"/>
  <c r="D495" i="1"/>
  <c r="E495" i="1"/>
  <c r="A501" i="1"/>
  <c r="B501" i="1"/>
  <c r="C501" i="1"/>
  <c r="D501" i="1"/>
  <c r="E501" i="1"/>
  <c r="A504" i="1"/>
  <c r="B504" i="1"/>
  <c r="C504" i="1"/>
  <c r="D504" i="1"/>
  <c r="E504" i="1"/>
  <c r="A755" i="1"/>
  <c r="B755" i="1"/>
  <c r="C755" i="1"/>
  <c r="D755" i="1"/>
  <c r="E755" i="1"/>
  <c r="A1038" i="1"/>
  <c r="B1038" i="1"/>
  <c r="C1038" i="1"/>
  <c r="D1038" i="1"/>
  <c r="E1038" i="1"/>
  <c r="A1016" i="1"/>
  <c r="B1016" i="1"/>
  <c r="C1016" i="1"/>
  <c r="D1016" i="1"/>
  <c r="E1016" i="1"/>
  <c r="A931" i="1"/>
  <c r="B931" i="1"/>
  <c r="C931" i="1"/>
  <c r="D931" i="1"/>
  <c r="E931" i="1"/>
  <c r="A743" i="1"/>
  <c r="B743" i="1"/>
  <c r="C743" i="1"/>
  <c r="D743" i="1"/>
  <c r="E743" i="1"/>
  <c r="A420" i="1"/>
  <c r="B420" i="1"/>
  <c r="C420" i="1"/>
  <c r="D420" i="1"/>
  <c r="E420" i="1"/>
  <c r="A398" i="1"/>
  <c r="B398" i="1"/>
  <c r="C398" i="1"/>
  <c r="D398" i="1"/>
  <c r="E398" i="1"/>
  <c r="A401" i="1"/>
  <c r="B401" i="1"/>
  <c r="C401" i="1"/>
  <c r="D401" i="1"/>
  <c r="E401" i="1"/>
  <c r="A383" i="1"/>
  <c r="B383" i="1"/>
  <c r="C383" i="1"/>
  <c r="D383" i="1"/>
  <c r="E383" i="1"/>
  <c r="A448" i="1"/>
  <c r="B448" i="1"/>
  <c r="C448" i="1"/>
  <c r="D448" i="1"/>
  <c r="E448" i="1"/>
  <c r="A500" i="1"/>
  <c r="B500" i="1"/>
  <c r="C500" i="1"/>
  <c r="D500" i="1"/>
  <c r="E500" i="1"/>
  <c r="A512" i="1"/>
  <c r="B512" i="1"/>
  <c r="C512" i="1"/>
  <c r="D512" i="1"/>
  <c r="E512" i="1"/>
  <c r="A452" i="1"/>
  <c r="B452" i="1"/>
  <c r="C452" i="1"/>
  <c r="D452" i="1"/>
  <c r="E452" i="1"/>
  <c r="A50" i="1"/>
  <c r="B50" i="1"/>
  <c r="C50" i="1"/>
  <c r="D50" i="1"/>
  <c r="E50" i="1"/>
  <c r="A2" i="1"/>
  <c r="B2" i="1"/>
  <c r="C2" i="1"/>
  <c r="D2" i="1"/>
  <c r="E2" i="1"/>
  <c r="A47" i="1"/>
  <c r="B47" i="1"/>
  <c r="C47" i="1"/>
  <c r="D47" i="1"/>
  <c r="E47" i="1"/>
  <c r="A24" i="1"/>
  <c r="B24" i="1"/>
  <c r="C24" i="1"/>
  <c r="D24" i="1"/>
  <c r="E24" i="1"/>
  <c r="A491" i="1"/>
  <c r="B491" i="1"/>
  <c r="C491" i="1"/>
  <c r="D491" i="1"/>
  <c r="E491" i="1"/>
  <c r="A547" i="1"/>
  <c r="B547" i="1"/>
  <c r="C547" i="1"/>
  <c r="D547" i="1"/>
  <c r="E547" i="1"/>
  <c r="A767" i="1"/>
  <c r="B767" i="1"/>
  <c r="C767" i="1"/>
  <c r="D767" i="1"/>
  <c r="E767" i="1"/>
  <c r="A1012" i="1"/>
  <c r="B1012" i="1"/>
  <c r="C1012" i="1"/>
  <c r="D1012" i="1"/>
  <c r="E1012" i="1"/>
  <c r="A1053" i="1"/>
  <c r="B1053" i="1"/>
  <c r="C1053" i="1"/>
  <c r="D1053" i="1"/>
  <c r="E1053" i="1"/>
  <c r="A1090" i="1"/>
  <c r="B1090" i="1"/>
  <c r="C1090" i="1"/>
  <c r="D1090" i="1"/>
  <c r="E1090" i="1"/>
  <c r="A1122" i="1"/>
  <c r="B1122" i="1"/>
  <c r="C1122" i="1"/>
  <c r="D1122" i="1"/>
  <c r="E1122" i="1"/>
  <c r="A1088" i="1"/>
  <c r="B1088" i="1"/>
  <c r="C1088" i="1"/>
  <c r="D1088" i="1"/>
  <c r="E1088" i="1"/>
  <c r="A934" i="1"/>
  <c r="B934" i="1"/>
  <c r="C934" i="1"/>
  <c r="D934" i="1"/>
  <c r="E934" i="1"/>
  <c r="A911" i="1"/>
  <c r="B911" i="1"/>
  <c r="C911" i="1"/>
  <c r="D911" i="1"/>
  <c r="E911" i="1"/>
  <c r="A775" i="1"/>
  <c r="B775" i="1"/>
  <c r="C775" i="1"/>
  <c r="D775" i="1"/>
  <c r="E775" i="1"/>
  <c r="A776" i="1"/>
  <c r="B776" i="1"/>
  <c r="C776" i="1"/>
  <c r="D776" i="1"/>
  <c r="E776" i="1"/>
  <c r="A498" i="1"/>
  <c r="B498" i="1"/>
  <c r="C498" i="1"/>
  <c r="D498" i="1"/>
  <c r="E498" i="1"/>
  <c r="A592" i="1"/>
  <c r="B592" i="1"/>
  <c r="C592" i="1"/>
  <c r="D592" i="1"/>
  <c r="E592" i="1"/>
  <c r="A605" i="1"/>
  <c r="B605" i="1"/>
  <c r="C605" i="1"/>
  <c r="D605" i="1"/>
  <c r="E605" i="1"/>
  <c r="A567" i="1"/>
  <c r="B567" i="1"/>
  <c r="C567" i="1"/>
  <c r="D567" i="1"/>
  <c r="E567" i="1"/>
  <c r="A568" i="1"/>
  <c r="B568" i="1"/>
  <c r="C568" i="1"/>
  <c r="D568" i="1"/>
  <c r="E568" i="1"/>
  <c r="A546" i="1"/>
  <c r="B546" i="1"/>
  <c r="C546" i="1"/>
  <c r="D546" i="1"/>
  <c r="E546" i="1"/>
  <c r="A873" i="1"/>
  <c r="B873" i="1"/>
  <c r="C873" i="1"/>
  <c r="D873" i="1"/>
  <c r="E873" i="1"/>
  <c r="A729" i="1"/>
  <c r="B729" i="1"/>
  <c r="C729" i="1"/>
  <c r="D729" i="1"/>
  <c r="E729" i="1"/>
  <c r="A730" i="1"/>
  <c r="B730" i="1"/>
  <c r="C730" i="1"/>
  <c r="D730" i="1"/>
  <c r="E730" i="1"/>
  <c r="A727" i="1"/>
  <c r="B727" i="1"/>
  <c r="C727" i="1"/>
  <c r="D727" i="1"/>
  <c r="E727" i="1"/>
  <c r="A1036" i="1"/>
  <c r="B1036" i="1"/>
  <c r="C1036" i="1"/>
  <c r="D1036" i="1"/>
  <c r="E1036" i="1"/>
  <c r="A732" i="1"/>
  <c r="B732" i="1"/>
  <c r="C732" i="1"/>
  <c r="D732" i="1"/>
  <c r="E732" i="1"/>
  <c r="A728" i="1"/>
  <c r="B728" i="1"/>
  <c r="C728" i="1"/>
  <c r="D728" i="1"/>
  <c r="E728" i="1"/>
  <c r="A773" i="1"/>
  <c r="B773" i="1"/>
  <c r="C773" i="1"/>
  <c r="D773" i="1"/>
  <c r="E773" i="1"/>
  <c r="A774" i="1"/>
  <c r="B774" i="1"/>
  <c r="C774" i="1"/>
  <c r="D774" i="1"/>
  <c r="E774" i="1"/>
  <c r="A572" i="1"/>
  <c r="B572" i="1"/>
  <c r="C572" i="1"/>
  <c r="D572" i="1"/>
  <c r="E572" i="1"/>
  <c r="A596" i="1"/>
  <c r="B596" i="1"/>
  <c r="C596" i="1"/>
  <c r="D596" i="1"/>
  <c r="E596" i="1"/>
  <c r="A492" i="1"/>
  <c r="B492" i="1"/>
  <c r="C492" i="1"/>
  <c r="D492" i="1"/>
  <c r="E492" i="1"/>
  <c r="A509" i="1"/>
  <c r="B509" i="1"/>
  <c r="C509" i="1"/>
  <c r="D509" i="1"/>
  <c r="E509" i="1"/>
  <c r="A328" i="1"/>
  <c r="B328" i="1"/>
  <c r="C328" i="1"/>
  <c r="D328" i="1"/>
  <c r="E328" i="1"/>
  <c r="A497" i="1"/>
  <c r="B497" i="1"/>
  <c r="C497" i="1"/>
  <c r="D497" i="1"/>
  <c r="E497" i="1"/>
  <c r="A1024" i="1"/>
  <c r="B1024" i="1"/>
  <c r="C1024" i="1"/>
  <c r="D1024" i="1"/>
  <c r="E1024" i="1"/>
  <c r="A983" i="1"/>
  <c r="B983" i="1"/>
  <c r="C983" i="1"/>
  <c r="D983" i="1"/>
  <c r="E983" i="1"/>
  <c r="A984" i="1"/>
  <c r="B984" i="1"/>
  <c r="C984" i="1"/>
  <c r="D984" i="1"/>
  <c r="E984" i="1"/>
  <c r="A982" i="1"/>
  <c r="B982" i="1"/>
  <c r="C982" i="1"/>
  <c r="D982" i="1"/>
  <c r="E982" i="1"/>
  <c r="A667" i="1"/>
  <c r="B667" i="1"/>
  <c r="C667" i="1"/>
  <c r="D667" i="1"/>
  <c r="E667" i="1"/>
  <c r="A622" i="1"/>
  <c r="B622" i="1"/>
  <c r="C622" i="1"/>
  <c r="D622" i="1"/>
  <c r="E622" i="1"/>
  <c r="A646" i="1"/>
  <c r="B646" i="1"/>
  <c r="C646" i="1"/>
  <c r="D646" i="1"/>
  <c r="E646" i="1"/>
  <c r="A723" i="1"/>
  <c r="B723" i="1"/>
  <c r="C723" i="1"/>
  <c r="D723" i="1"/>
  <c r="E723" i="1"/>
  <c r="A720" i="1"/>
  <c r="B720" i="1"/>
  <c r="C720" i="1"/>
  <c r="D720" i="1"/>
  <c r="E720" i="1"/>
  <c r="A712" i="1"/>
  <c r="B712" i="1"/>
  <c r="C712" i="1"/>
  <c r="D712" i="1"/>
  <c r="E712" i="1"/>
  <c r="A310" i="1"/>
  <c r="B310" i="1"/>
  <c r="C310" i="1"/>
  <c r="D310" i="1"/>
  <c r="E310" i="1"/>
  <c r="A44" i="1"/>
  <c r="B44" i="1"/>
  <c r="C44" i="1"/>
  <c r="D44" i="1"/>
  <c r="E44" i="1"/>
  <c r="A23" i="1"/>
  <c r="B23" i="1"/>
  <c r="C23" i="1"/>
  <c r="D23" i="1"/>
  <c r="E23" i="1"/>
  <c r="A772" i="1"/>
  <c r="B772" i="1"/>
  <c r="C772" i="1"/>
  <c r="D772" i="1"/>
  <c r="E772" i="1"/>
  <c r="A711" i="1"/>
  <c r="B711" i="1"/>
  <c r="C711" i="1"/>
  <c r="D711" i="1"/>
  <c r="E711" i="1"/>
  <c r="A721" i="1"/>
  <c r="B721" i="1"/>
  <c r="C721" i="1"/>
  <c r="D721" i="1"/>
  <c r="E721" i="1"/>
  <c r="A722" i="1"/>
  <c r="B722" i="1"/>
  <c r="C722" i="1"/>
  <c r="D722" i="1"/>
  <c r="E722" i="1"/>
  <c r="A664" i="1"/>
  <c r="B664" i="1"/>
  <c r="C664" i="1"/>
  <c r="D664" i="1"/>
  <c r="E664" i="1"/>
  <c r="A648" i="1"/>
  <c r="B648" i="1"/>
  <c r="C648" i="1"/>
  <c r="D648" i="1"/>
  <c r="E648" i="1"/>
  <c r="A1018" i="1"/>
  <c r="B1018" i="1"/>
  <c r="C1018" i="1"/>
  <c r="D1018" i="1"/>
  <c r="E1018" i="1"/>
  <c r="A716" i="1"/>
  <c r="B716" i="1"/>
  <c r="C716" i="1"/>
  <c r="D716" i="1"/>
  <c r="E716" i="1"/>
  <c r="A717" i="1"/>
  <c r="B717" i="1"/>
  <c r="C717" i="1"/>
  <c r="D717" i="1"/>
  <c r="E717" i="1"/>
  <c r="A718" i="1"/>
  <c r="B718" i="1"/>
  <c r="C718" i="1"/>
  <c r="D718" i="1"/>
  <c r="E718" i="1"/>
  <c r="A771" i="1"/>
  <c r="B771" i="1"/>
  <c r="C771" i="1"/>
  <c r="D771" i="1"/>
  <c r="E771" i="1"/>
  <c r="A865" i="1"/>
  <c r="B865" i="1"/>
  <c r="C865" i="1"/>
  <c r="D865" i="1"/>
  <c r="E865" i="1"/>
  <c r="A571" i="1"/>
  <c r="B571" i="1"/>
  <c r="C571" i="1"/>
  <c r="D571" i="1"/>
  <c r="E571" i="1"/>
  <c r="A306" i="1"/>
  <c r="B306" i="1"/>
  <c r="C306" i="1"/>
  <c r="D306" i="1"/>
  <c r="E306" i="1"/>
  <c r="A307" i="1"/>
  <c r="B307" i="1"/>
  <c r="C307" i="1"/>
  <c r="D307" i="1"/>
  <c r="E307" i="1"/>
  <c r="A308" i="1"/>
  <c r="B308" i="1"/>
  <c r="C308" i="1"/>
  <c r="D308" i="1"/>
  <c r="E308" i="1"/>
  <c r="A309" i="1"/>
  <c r="B309" i="1"/>
  <c r="C309" i="1"/>
  <c r="D309" i="1"/>
  <c r="E309" i="1"/>
  <c r="A514" i="1"/>
  <c r="B514" i="1"/>
  <c r="C514" i="1"/>
  <c r="D514" i="1"/>
  <c r="E514" i="1"/>
  <c r="A506" i="1"/>
  <c r="B506" i="1"/>
  <c r="C506" i="1"/>
  <c r="D506" i="1"/>
  <c r="E506" i="1"/>
  <c r="A507" i="1"/>
  <c r="B507" i="1"/>
  <c r="C507" i="1"/>
  <c r="D507" i="1"/>
  <c r="E507" i="1"/>
  <c r="A508" i="1"/>
  <c r="B508" i="1"/>
  <c r="C508" i="1"/>
  <c r="D508" i="1"/>
  <c r="E508" i="1"/>
  <c r="A499" i="1"/>
  <c r="B499" i="1"/>
  <c r="C499" i="1"/>
  <c r="D499" i="1"/>
  <c r="E499" i="1"/>
  <c r="A494" i="1"/>
  <c r="B494" i="1"/>
  <c r="C494" i="1"/>
  <c r="D494" i="1"/>
  <c r="E494" i="1"/>
  <c r="A362" i="1"/>
  <c r="B362" i="1"/>
  <c r="C362" i="1"/>
  <c r="D362" i="1"/>
  <c r="E362" i="1"/>
  <c r="A447" i="1"/>
  <c r="B447" i="1"/>
  <c r="C447" i="1"/>
  <c r="D447" i="1"/>
  <c r="E447" i="1"/>
  <c r="A580" i="1"/>
  <c r="B580" i="1"/>
  <c r="C580" i="1"/>
  <c r="D580" i="1"/>
  <c r="E580" i="1"/>
  <c r="A713" i="1"/>
  <c r="B713" i="1"/>
  <c r="C713" i="1"/>
  <c r="D713" i="1"/>
  <c r="E713" i="1"/>
  <c r="A612" i="1"/>
  <c r="B612" i="1"/>
  <c r="C612" i="1"/>
  <c r="D612" i="1"/>
  <c r="E612" i="1"/>
  <c r="A8" i="1"/>
  <c r="B8" i="1"/>
  <c r="C8" i="1"/>
  <c r="D8" i="1"/>
  <c r="E8" i="1"/>
  <c r="A35" i="1"/>
  <c r="B35" i="1"/>
  <c r="C35" i="1"/>
  <c r="D35" i="1"/>
  <c r="E35" i="1"/>
  <c r="A246" i="1"/>
  <c r="B246" i="1"/>
  <c r="C246" i="1"/>
  <c r="D246" i="1"/>
  <c r="E246" i="1"/>
  <c r="A241" i="1"/>
  <c r="B241" i="1"/>
  <c r="C241" i="1"/>
  <c r="D241" i="1"/>
  <c r="E241" i="1"/>
  <c r="A240" i="1"/>
  <c r="B240" i="1"/>
  <c r="C240" i="1"/>
  <c r="D240" i="1"/>
  <c r="E240" i="1"/>
  <c r="A315" i="1"/>
  <c r="B315" i="1"/>
  <c r="C315" i="1"/>
  <c r="D315" i="1"/>
  <c r="E315" i="1"/>
  <c r="A609" i="1"/>
  <c r="B609" i="1"/>
  <c r="C609" i="1"/>
  <c r="D609" i="1"/>
  <c r="E609" i="1"/>
  <c r="A510" i="1"/>
  <c r="B510" i="1"/>
  <c r="C510" i="1"/>
  <c r="D510" i="1"/>
  <c r="E510" i="1"/>
  <c r="A513" i="1"/>
  <c r="B513" i="1"/>
  <c r="C513" i="1"/>
  <c r="D513" i="1"/>
  <c r="E513" i="1"/>
  <c r="A615" i="1"/>
  <c r="B615" i="1"/>
  <c r="C615" i="1"/>
  <c r="D615" i="1"/>
  <c r="E615" i="1"/>
  <c r="A616" i="1"/>
  <c r="B616" i="1"/>
  <c r="C616" i="1"/>
  <c r="D616" i="1"/>
  <c r="E616" i="1"/>
  <c r="A1127" i="1"/>
  <c r="B1127" i="1"/>
  <c r="C1127" i="1"/>
  <c r="D1127" i="1"/>
  <c r="E1127" i="1"/>
  <c r="A1132" i="1"/>
  <c r="B1132" i="1"/>
  <c r="C1132" i="1"/>
  <c r="D1132" i="1"/>
  <c r="E1132" i="1"/>
  <c r="A364" i="1"/>
  <c r="B364" i="1"/>
  <c r="C364" i="1"/>
  <c r="D364" i="1"/>
  <c r="E364" i="1"/>
  <c r="A600" i="1"/>
  <c r="B600" i="1"/>
  <c r="C600" i="1"/>
  <c r="D600" i="1"/>
  <c r="E600" i="1"/>
  <c r="A581" i="1"/>
  <c r="B581" i="1"/>
  <c r="C581" i="1"/>
  <c r="D581" i="1"/>
  <c r="E581" i="1"/>
  <c r="A602" i="1"/>
  <c r="B602" i="1"/>
  <c r="C602" i="1"/>
  <c r="D602" i="1"/>
  <c r="E602" i="1"/>
  <c r="A594" i="1"/>
  <c r="B594" i="1"/>
  <c r="C594" i="1"/>
  <c r="D594" i="1"/>
  <c r="E594" i="1"/>
  <c r="A595" i="1"/>
  <c r="B595" i="1"/>
  <c r="C595" i="1"/>
  <c r="D595" i="1"/>
  <c r="E595" i="1"/>
  <c r="A864" i="1"/>
  <c r="B864" i="1"/>
  <c r="C864" i="1"/>
  <c r="D864" i="1"/>
  <c r="E864" i="1"/>
  <c r="A867" i="1"/>
  <c r="B867" i="1"/>
  <c r="C867" i="1"/>
  <c r="D867" i="1"/>
  <c r="E867" i="1"/>
  <c r="A766" i="1"/>
  <c r="B766" i="1"/>
  <c r="C766" i="1"/>
  <c r="D766" i="1"/>
  <c r="E766" i="1"/>
  <c r="A769" i="1"/>
  <c r="B769" i="1"/>
  <c r="C769" i="1"/>
  <c r="D769" i="1"/>
  <c r="E769" i="1"/>
  <c r="A770" i="1"/>
  <c r="B770" i="1"/>
  <c r="C770" i="1"/>
  <c r="D770" i="1"/>
  <c r="E770" i="1"/>
  <c r="A756" i="1"/>
  <c r="B756" i="1"/>
  <c r="C756" i="1"/>
  <c r="D756" i="1"/>
  <c r="E756" i="1"/>
  <c r="A871" i="1"/>
  <c r="B871" i="1"/>
  <c r="C871" i="1"/>
  <c r="D871" i="1"/>
  <c r="E871" i="1"/>
  <c r="A738" i="1"/>
  <c r="B738" i="1"/>
  <c r="C738" i="1"/>
  <c r="D738" i="1"/>
  <c r="E738" i="1"/>
  <c r="A632" i="1"/>
  <c r="B632" i="1"/>
  <c r="C632" i="1"/>
  <c r="D632" i="1"/>
  <c r="E632" i="1"/>
  <c r="A610" i="1"/>
  <c r="B610" i="1"/>
  <c r="C610" i="1"/>
  <c r="D610" i="1"/>
  <c r="E610" i="1"/>
  <c r="A719" i="1"/>
  <c r="B719" i="1"/>
  <c r="C719" i="1"/>
  <c r="D719" i="1"/>
  <c r="E719" i="1"/>
  <c r="A764" i="1"/>
  <c r="B764" i="1"/>
  <c r="C764" i="1"/>
  <c r="D764" i="1"/>
  <c r="E764" i="1"/>
  <c r="A760" i="1"/>
  <c r="B760" i="1"/>
  <c r="C760" i="1"/>
  <c r="D760" i="1"/>
  <c r="E760" i="1"/>
  <c r="A761" i="1"/>
  <c r="B761" i="1"/>
  <c r="C761" i="1"/>
  <c r="D761" i="1"/>
  <c r="E761" i="1"/>
  <c r="A747" i="1"/>
  <c r="B747" i="1"/>
  <c r="C747" i="1"/>
  <c r="D747" i="1"/>
  <c r="E747" i="1"/>
  <c r="A745" i="1"/>
  <c r="B745" i="1"/>
  <c r="C745" i="1"/>
  <c r="D745" i="1"/>
  <c r="E745" i="1"/>
  <c r="A734" i="1"/>
  <c r="B734" i="1"/>
  <c r="C734" i="1"/>
  <c r="D734" i="1"/>
  <c r="E734" i="1"/>
  <c r="A742" i="1"/>
  <c r="B742" i="1"/>
  <c r="C742" i="1"/>
  <c r="D742" i="1"/>
  <c r="E742" i="1"/>
  <c r="A739" i="1"/>
  <c r="B739" i="1"/>
  <c r="C739" i="1"/>
  <c r="D739" i="1"/>
  <c r="E739" i="1"/>
  <c r="A740" i="1"/>
  <c r="B740" i="1"/>
  <c r="C740" i="1"/>
  <c r="D740" i="1"/>
  <c r="E740" i="1"/>
  <c r="A1044" i="1"/>
  <c r="B1044" i="1"/>
  <c r="C1044" i="1"/>
  <c r="D1044" i="1"/>
  <c r="E1044" i="1"/>
  <c r="A1011" i="1"/>
  <c r="B1011" i="1"/>
  <c r="C1011" i="1"/>
  <c r="D1011" i="1"/>
  <c r="E1011" i="1"/>
  <c r="A1009" i="1"/>
  <c r="B1009" i="1"/>
  <c r="C1009" i="1"/>
  <c r="D1009" i="1"/>
  <c r="E1009" i="1"/>
  <c r="A1017" i="1"/>
  <c r="B1017" i="1"/>
  <c r="C1017" i="1"/>
  <c r="D1017" i="1"/>
  <c r="E1017" i="1"/>
  <c r="A1022" i="1"/>
  <c r="B1022" i="1"/>
  <c r="C1022" i="1"/>
  <c r="D1022" i="1"/>
  <c r="E1022" i="1"/>
  <c r="A614" i="1"/>
  <c r="B614" i="1"/>
  <c r="C614" i="1"/>
  <c r="D614" i="1"/>
  <c r="E614" i="1"/>
  <c r="A608" i="1"/>
  <c r="B608" i="1"/>
  <c r="C608" i="1"/>
  <c r="D608" i="1"/>
  <c r="E608" i="1"/>
  <c r="A583" i="1"/>
  <c r="B583" i="1"/>
  <c r="C583" i="1"/>
  <c r="D583" i="1"/>
  <c r="E583" i="1"/>
  <c r="A584" i="1"/>
  <c r="B584" i="1"/>
  <c r="C584" i="1"/>
  <c r="D584" i="1"/>
  <c r="E584" i="1"/>
  <c r="A631" i="1"/>
  <c r="B631" i="1"/>
  <c r="C631" i="1"/>
  <c r="D631" i="1"/>
  <c r="E631" i="1"/>
  <c r="A997" i="1"/>
  <c r="B997" i="1"/>
  <c r="C997" i="1"/>
  <c r="D997" i="1"/>
  <c r="E997" i="1"/>
  <c r="A1004" i="1"/>
  <c r="B1004" i="1"/>
  <c r="C1004" i="1"/>
  <c r="D1004" i="1"/>
  <c r="E1004" i="1"/>
  <c r="A993" i="1"/>
  <c r="B993" i="1"/>
  <c r="C993" i="1"/>
  <c r="D993" i="1"/>
  <c r="E993" i="1"/>
  <c r="A1045" i="1"/>
  <c r="B1045" i="1"/>
  <c r="C1045" i="1"/>
  <c r="D1045" i="1"/>
  <c r="E1045" i="1"/>
  <c r="A1031" i="1"/>
  <c r="B1031" i="1"/>
  <c r="C1031" i="1"/>
  <c r="D1031" i="1"/>
  <c r="E1031" i="1"/>
  <c r="A1039" i="1"/>
  <c r="B1039" i="1"/>
  <c r="C1039" i="1"/>
  <c r="D1039" i="1"/>
  <c r="E1039" i="1"/>
  <c r="A1026" i="1"/>
  <c r="B1026" i="1"/>
  <c r="C1026" i="1"/>
  <c r="D1026" i="1"/>
  <c r="E1026" i="1"/>
  <c r="A1028" i="1"/>
  <c r="B1028" i="1"/>
  <c r="C1028" i="1"/>
  <c r="D1028" i="1"/>
  <c r="E1028" i="1"/>
  <c r="A1041" i="1"/>
  <c r="B1041" i="1"/>
  <c r="C1041" i="1"/>
  <c r="D1041" i="1"/>
  <c r="E1041" i="1"/>
  <c r="A1043" i="1"/>
  <c r="B1043" i="1"/>
  <c r="C1043" i="1"/>
  <c r="D1043" i="1"/>
  <c r="E1043" i="1"/>
  <c r="A575" i="1"/>
  <c r="B575" i="1"/>
  <c r="C575" i="1"/>
  <c r="D575" i="1"/>
  <c r="E575" i="1"/>
  <c r="A552" i="1"/>
  <c r="B552" i="1"/>
  <c r="C552" i="1"/>
  <c r="D552" i="1"/>
  <c r="E552" i="1"/>
  <c r="A518" i="1"/>
  <c r="B518" i="1"/>
  <c r="C518" i="1"/>
  <c r="D518" i="1"/>
  <c r="E518" i="1"/>
  <c r="A348" i="1"/>
  <c r="B348" i="1"/>
  <c r="C348" i="1"/>
  <c r="D348" i="1"/>
  <c r="E348" i="1"/>
  <c r="A451" i="1"/>
  <c r="B451" i="1"/>
  <c r="C451" i="1"/>
  <c r="D451" i="1"/>
  <c r="E451" i="1"/>
  <c r="A938" i="1"/>
  <c r="B938" i="1"/>
  <c r="C938" i="1"/>
  <c r="D938" i="1"/>
  <c r="E938" i="1"/>
  <c r="A972" i="1"/>
  <c r="B972" i="1"/>
  <c r="C972" i="1"/>
  <c r="D972" i="1"/>
  <c r="E972" i="1"/>
  <c r="A975" i="1"/>
  <c r="B975" i="1"/>
  <c r="C975" i="1"/>
  <c r="D975" i="1"/>
  <c r="E975" i="1"/>
  <c r="A967" i="1"/>
  <c r="B967" i="1"/>
  <c r="C967" i="1"/>
  <c r="D967" i="1"/>
  <c r="E967" i="1"/>
  <c r="A996" i="1"/>
  <c r="B996" i="1"/>
  <c r="C996" i="1"/>
  <c r="D996" i="1"/>
  <c r="E996" i="1"/>
  <c r="A169" i="1"/>
  <c r="B169" i="1"/>
  <c r="C169" i="1"/>
  <c r="D169" i="1"/>
  <c r="E169" i="1"/>
  <c r="A123" i="1"/>
  <c r="B123" i="1"/>
  <c r="C123" i="1"/>
  <c r="D123" i="1"/>
  <c r="E123" i="1"/>
  <c r="A17" i="1"/>
  <c r="B17" i="1"/>
  <c r="C17" i="1"/>
  <c r="D17" i="1"/>
  <c r="E17" i="1"/>
  <c r="A16" i="1"/>
  <c r="B16" i="1"/>
  <c r="C16" i="1"/>
  <c r="D16" i="1"/>
  <c r="E16" i="1"/>
  <c r="A15" i="1"/>
  <c r="B15" i="1"/>
  <c r="C15" i="1"/>
  <c r="D15" i="1"/>
  <c r="E15" i="1"/>
  <c r="A603" i="1"/>
  <c r="B603" i="1"/>
  <c r="C603" i="1"/>
  <c r="D603" i="1"/>
  <c r="E603" i="1"/>
  <c r="A604" i="1"/>
  <c r="B604" i="1"/>
  <c r="C604" i="1"/>
  <c r="D604" i="1"/>
  <c r="E604" i="1"/>
  <c r="A611" i="1"/>
  <c r="B611" i="1"/>
  <c r="C611" i="1"/>
  <c r="D611" i="1"/>
  <c r="E611" i="1"/>
  <c r="A601" i="1"/>
  <c r="B601" i="1"/>
  <c r="C601" i="1"/>
  <c r="D601" i="1"/>
  <c r="E601" i="1"/>
  <c r="A589" i="1"/>
  <c r="B589" i="1"/>
  <c r="C589" i="1"/>
  <c r="D589" i="1"/>
  <c r="E589" i="1"/>
  <c r="A300" i="1"/>
  <c r="B300" i="1"/>
  <c r="C300" i="1"/>
  <c r="D300" i="1"/>
  <c r="E300" i="1"/>
  <c r="A316" i="1"/>
  <c r="B316" i="1"/>
  <c r="C316" i="1"/>
  <c r="D316" i="1"/>
  <c r="E316" i="1"/>
  <c r="A314" i="1"/>
  <c r="B314" i="1"/>
  <c r="C314" i="1"/>
  <c r="D314" i="1"/>
  <c r="E314" i="1"/>
  <c r="A195" i="1"/>
  <c r="B195" i="1"/>
  <c r="C195" i="1"/>
  <c r="D195" i="1"/>
  <c r="E195" i="1"/>
  <c r="A313" i="1"/>
  <c r="B313" i="1"/>
  <c r="C313" i="1"/>
  <c r="D313" i="1"/>
  <c r="E313" i="1"/>
  <c r="A268" i="1"/>
  <c r="B268" i="1"/>
  <c r="C268" i="1"/>
  <c r="D268" i="1"/>
  <c r="E268" i="1"/>
  <c r="A243" i="1"/>
  <c r="B243" i="1"/>
  <c r="C243" i="1"/>
  <c r="D243" i="1"/>
  <c r="E243" i="1"/>
  <c r="A247" i="1"/>
  <c r="B247" i="1"/>
  <c r="C247" i="1"/>
  <c r="D247" i="1"/>
  <c r="E247" i="1"/>
  <c r="A244" i="1"/>
  <c r="B244" i="1"/>
  <c r="C244" i="1"/>
  <c r="D244" i="1"/>
  <c r="E244" i="1"/>
  <c r="A245" i="1"/>
  <c r="B245" i="1"/>
  <c r="C245" i="1"/>
  <c r="D245" i="1"/>
  <c r="E245" i="1"/>
  <c r="A599" i="1"/>
  <c r="B599" i="1"/>
  <c r="C599" i="1"/>
  <c r="D599" i="1"/>
  <c r="E599" i="1"/>
  <c r="A607" i="1"/>
  <c r="B607" i="1"/>
  <c r="C607" i="1"/>
  <c r="D607" i="1"/>
  <c r="E607" i="1"/>
  <c r="A11" i="1"/>
  <c r="B11" i="1"/>
  <c r="C11" i="1"/>
  <c r="D11" i="1"/>
  <c r="E11" i="1"/>
  <c r="A18" i="1"/>
  <c r="B18" i="1"/>
  <c r="C18" i="1"/>
  <c r="D18" i="1"/>
  <c r="E18" i="1"/>
  <c r="A12" i="1"/>
  <c r="B12" i="1"/>
  <c r="C12" i="1"/>
  <c r="D12" i="1"/>
  <c r="E12" i="1"/>
  <c r="A3" i="1"/>
  <c r="B3" i="1"/>
  <c r="C3" i="1"/>
  <c r="D3" i="1"/>
  <c r="E3" i="1"/>
  <c r="A49" i="1"/>
  <c r="B49" i="1"/>
  <c r="C49" i="1"/>
  <c r="D49" i="1"/>
  <c r="E49" i="1"/>
  <c r="A29" i="1"/>
  <c r="B29" i="1"/>
  <c r="C29" i="1"/>
  <c r="D29" i="1"/>
  <c r="E29" i="1"/>
  <c r="A165" i="1"/>
  <c r="B165" i="1"/>
  <c r="C165" i="1"/>
  <c r="D165" i="1"/>
  <c r="E165" i="1"/>
  <c r="A242" i="1"/>
  <c r="B242" i="1"/>
  <c r="C242" i="1"/>
  <c r="D242" i="1"/>
  <c r="E242" i="1"/>
  <c r="A1128" i="1"/>
  <c r="B1128" i="1"/>
  <c r="C1128" i="1"/>
  <c r="D1128" i="1"/>
  <c r="E1128" i="1"/>
  <c r="A1129" i="1"/>
  <c r="B1129" i="1"/>
  <c r="C1129" i="1"/>
  <c r="D1129" i="1"/>
  <c r="E1129" i="1"/>
  <c r="A1125" i="1"/>
  <c r="B1125" i="1"/>
  <c r="C1125" i="1"/>
  <c r="D1125" i="1"/>
  <c r="E1125" i="1"/>
  <c r="A1126" i="1"/>
  <c r="B1126" i="1"/>
  <c r="C1126" i="1"/>
  <c r="D1126" i="1"/>
  <c r="E1126" i="1"/>
  <c r="A1087" i="1"/>
  <c r="B1087" i="1"/>
  <c r="C1087" i="1"/>
  <c r="D1087" i="1"/>
  <c r="E1087" i="1"/>
  <c r="A395" i="1"/>
  <c r="B395" i="1"/>
  <c r="C395" i="1"/>
  <c r="D395" i="1"/>
  <c r="E395" i="1"/>
  <c r="A347" i="1"/>
  <c r="B347" i="1"/>
  <c r="C347" i="1"/>
  <c r="D347" i="1"/>
  <c r="E347" i="1"/>
  <c r="A525" i="1"/>
  <c r="B525" i="1"/>
  <c r="C525" i="1"/>
  <c r="D525" i="1"/>
  <c r="E525" i="1"/>
  <c r="A590" i="1"/>
  <c r="B590" i="1"/>
  <c r="C590" i="1"/>
  <c r="D590" i="1"/>
  <c r="E590" i="1"/>
  <c r="A598" i="1"/>
  <c r="B598" i="1"/>
  <c r="C598" i="1"/>
  <c r="D598" i="1"/>
  <c r="E598" i="1"/>
  <c r="A964" i="1"/>
  <c r="B964" i="1"/>
  <c r="C964" i="1"/>
  <c r="D964" i="1"/>
  <c r="E964" i="1"/>
  <c r="A978" i="1"/>
  <c r="B978" i="1"/>
  <c r="C978" i="1"/>
  <c r="D978" i="1"/>
  <c r="E978" i="1"/>
  <c r="A974" i="1"/>
  <c r="B974" i="1"/>
  <c r="C974" i="1"/>
  <c r="D974" i="1"/>
  <c r="E974" i="1"/>
  <c r="A969" i="1"/>
  <c r="B969" i="1"/>
  <c r="C969" i="1"/>
  <c r="D969" i="1"/>
  <c r="E969" i="1"/>
  <c r="A970" i="1"/>
  <c r="B970" i="1"/>
  <c r="C970" i="1"/>
  <c r="D970" i="1"/>
  <c r="E970" i="1"/>
  <c r="A937" i="1"/>
  <c r="B937" i="1"/>
  <c r="C937" i="1"/>
  <c r="D937" i="1"/>
  <c r="E937" i="1"/>
  <c r="A936" i="1"/>
  <c r="B936" i="1"/>
  <c r="C936" i="1"/>
  <c r="D936" i="1"/>
  <c r="E936" i="1"/>
  <c r="A935" i="1"/>
  <c r="B935" i="1"/>
  <c r="C935" i="1"/>
  <c r="D935" i="1"/>
  <c r="E935" i="1"/>
  <c r="A932" i="1"/>
  <c r="B932" i="1"/>
  <c r="C932" i="1"/>
  <c r="D932" i="1"/>
  <c r="E932" i="1"/>
  <c r="A933" i="1"/>
  <c r="B933" i="1"/>
  <c r="C933" i="1"/>
  <c r="D933" i="1"/>
  <c r="E933" i="1"/>
  <c r="A998" i="1"/>
  <c r="B998" i="1"/>
  <c r="C998" i="1"/>
  <c r="D998" i="1"/>
  <c r="E998" i="1"/>
  <c r="A999" i="1"/>
  <c r="B999" i="1"/>
  <c r="C999" i="1"/>
  <c r="D999" i="1"/>
  <c r="E999" i="1"/>
  <c r="A994" i="1"/>
  <c r="B994" i="1"/>
  <c r="C994" i="1"/>
  <c r="D994" i="1"/>
  <c r="E994" i="1"/>
  <c r="A990" i="1"/>
  <c r="B990" i="1"/>
  <c r="C990" i="1"/>
  <c r="D990" i="1"/>
  <c r="E990" i="1"/>
  <c r="A988" i="1"/>
  <c r="B988" i="1"/>
  <c r="C988" i="1"/>
  <c r="D988" i="1"/>
  <c r="E988" i="1"/>
  <c r="A987" i="1"/>
  <c r="B987" i="1"/>
  <c r="C987" i="1"/>
  <c r="D987" i="1"/>
  <c r="E987" i="1"/>
  <c r="A989" i="1"/>
  <c r="B989" i="1"/>
  <c r="C989" i="1"/>
  <c r="D989" i="1"/>
  <c r="E989" i="1"/>
  <c r="A966" i="1"/>
  <c r="B966" i="1"/>
  <c r="C966" i="1"/>
  <c r="D966" i="1"/>
  <c r="E966" i="1"/>
  <c r="A981" i="1"/>
  <c r="B981" i="1"/>
  <c r="C981" i="1"/>
  <c r="D981" i="1"/>
  <c r="E981" i="1"/>
  <c r="A985" i="1"/>
  <c r="B985" i="1"/>
  <c r="C985" i="1"/>
  <c r="D985" i="1"/>
  <c r="E985" i="1"/>
  <c r="A587" i="1"/>
  <c r="B587" i="1"/>
  <c r="C587" i="1"/>
  <c r="D587" i="1"/>
  <c r="E587" i="1"/>
  <c r="A588" i="1"/>
  <c r="B588" i="1"/>
  <c r="C588" i="1"/>
  <c r="D588" i="1"/>
  <c r="E588" i="1"/>
  <c r="A1008" i="1"/>
  <c r="B1008" i="1"/>
  <c r="C1008" i="1"/>
  <c r="D1008" i="1"/>
  <c r="E1008" i="1"/>
  <c r="A1013" i="1"/>
  <c r="B1013" i="1"/>
  <c r="C1013" i="1"/>
  <c r="D1013" i="1"/>
  <c r="E1013" i="1"/>
  <c r="A1014" i="1"/>
  <c r="B1014" i="1"/>
  <c r="C1014" i="1"/>
  <c r="D1014" i="1"/>
  <c r="E1014" i="1"/>
  <c r="A1027" i="1"/>
  <c r="B1027" i="1"/>
  <c r="C1027" i="1"/>
  <c r="D1027" i="1"/>
  <c r="E1027" i="1"/>
  <c r="A1033" i="1"/>
  <c r="B1033" i="1"/>
  <c r="C1033" i="1"/>
  <c r="D1033" i="1"/>
  <c r="E1033" i="1"/>
  <c r="A1034" i="1"/>
  <c r="B1034" i="1"/>
  <c r="C1034" i="1"/>
  <c r="D1034" i="1"/>
  <c r="E1034" i="1"/>
  <c r="A1037" i="1"/>
  <c r="B1037" i="1"/>
  <c r="C1037" i="1"/>
  <c r="D1037" i="1"/>
  <c r="E1037" i="1"/>
  <c r="A1001" i="1"/>
  <c r="B1001" i="1"/>
  <c r="C1001" i="1"/>
  <c r="D1001" i="1"/>
  <c r="E1001" i="1"/>
  <c r="A744" i="1"/>
  <c r="B744" i="1"/>
  <c r="C744" i="1"/>
  <c r="D744" i="1"/>
  <c r="E744" i="1"/>
  <c r="A746" i="1"/>
  <c r="B746" i="1"/>
  <c r="C746" i="1"/>
  <c r="D746" i="1"/>
  <c r="E746" i="1"/>
  <c r="A763" i="1"/>
  <c r="B763" i="1"/>
  <c r="C763" i="1"/>
  <c r="D763" i="1"/>
  <c r="E763" i="1"/>
  <c r="A724" i="1"/>
  <c r="B724" i="1"/>
  <c r="C724" i="1"/>
  <c r="D724" i="1"/>
  <c r="E724" i="1"/>
  <c r="A725" i="1"/>
  <c r="B725" i="1"/>
  <c r="C725" i="1"/>
  <c r="D725" i="1"/>
  <c r="E725" i="1"/>
  <c r="A680" i="1"/>
  <c r="B680" i="1"/>
  <c r="C680" i="1"/>
  <c r="D680" i="1"/>
  <c r="E680" i="1"/>
  <c r="A582" i="1"/>
  <c r="B582" i="1"/>
  <c r="C582" i="1"/>
  <c r="D582" i="1"/>
  <c r="E582" i="1"/>
  <c r="A613" i="1"/>
  <c r="B613" i="1"/>
  <c r="C613" i="1"/>
  <c r="D613" i="1"/>
  <c r="E613" i="1"/>
  <c r="A585" i="1"/>
  <c r="B585" i="1"/>
  <c r="C585" i="1"/>
  <c r="D585" i="1"/>
  <c r="E585" i="1"/>
  <c r="A586" i="1"/>
  <c r="B586" i="1"/>
  <c r="C586" i="1"/>
  <c r="D586" i="1"/>
  <c r="E586" i="1"/>
  <c r="A1007" i="1"/>
  <c r="B1007" i="1"/>
  <c r="C1007" i="1"/>
  <c r="D1007" i="1"/>
  <c r="E1007" i="1"/>
  <c r="A754" i="1"/>
  <c r="B754" i="1"/>
  <c r="C754" i="1"/>
  <c r="D754" i="1"/>
  <c r="E754" i="1"/>
  <c r="A750" i="1"/>
  <c r="B750" i="1"/>
  <c r="C750" i="1"/>
  <c r="D750" i="1"/>
  <c r="E750" i="1"/>
  <c r="A735" i="1"/>
  <c r="B735" i="1"/>
  <c r="C735" i="1"/>
  <c r="D735" i="1"/>
  <c r="E735" i="1"/>
  <c r="A765" i="1"/>
  <c r="B765" i="1"/>
  <c r="C765" i="1"/>
  <c r="D765" i="1"/>
  <c r="E765" i="1"/>
  <c r="A912" i="1"/>
  <c r="B912" i="1"/>
  <c r="C912" i="1"/>
  <c r="D912" i="1"/>
  <c r="E912" i="1"/>
  <c r="A736" i="1"/>
  <c r="B736" i="1"/>
  <c r="C736" i="1"/>
  <c r="D736" i="1"/>
  <c r="E736" i="1"/>
  <c r="A733" i="1"/>
  <c r="B733" i="1"/>
  <c r="C733" i="1"/>
  <c r="D733" i="1"/>
  <c r="E733" i="1"/>
  <c r="A751" i="1"/>
  <c r="B751" i="1"/>
  <c r="C751" i="1"/>
  <c r="D751" i="1"/>
  <c r="E751" i="1"/>
  <c r="A749" i="1"/>
  <c r="B749" i="1"/>
  <c r="C749" i="1"/>
  <c r="D749" i="1"/>
  <c r="E749" i="1"/>
  <c r="A663" i="1"/>
  <c r="B663" i="1"/>
  <c r="C663" i="1"/>
  <c r="D663" i="1"/>
  <c r="E663" i="1"/>
  <c r="A762" i="1"/>
  <c r="B762" i="1"/>
  <c r="C762" i="1"/>
  <c r="D762" i="1"/>
  <c r="E762" i="1"/>
  <c r="A965" i="1"/>
  <c r="B965" i="1"/>
  <c r="C965" i="1"/>
  <c r="D965" i="1"/>
  <c r="E965" i="1"/>
  <c r="A962" i="1"/>
  <c r="B962" i="1"/>
  <c r="C962" i="1"/>
  <c r="D962" i="1"/>
  <c r="E962" i="1"/>
  <c r="A1135" i="1"/>
  <c r="B1135" i="1"/>
  <c r="C1135" i="1"/>
  <c r="D1135" i="1"/>
  <c r="E1135" i="1"/>
  <c r="A1002" i="1"/>
  <c r="B1002" i="1"/>
  <c r="C1002" i="1"/>
  <c r="D1002" i="1"/>
  <c r="E1002" i="1"/>
  <c r="A1003" i="1"/>
  <c r="B1003" i="1"/>
  <c r="C1003" i="1"/>
  <c r="D1003" i="1"/>
  <c r="E1003" i="1"/>
  <c r="A1021" i="1"/>
  <c r="B1021" i="1"/>
  <c r="C1021" i="1"/>
  <c r="D1021" i="1"/>
  <c r="E1021" i="1"/>
  <c r="A1019" i="1"/>
  <c r="B1019" i="1"/>
  <c r="C1019" i="1"/>
  <c r="D1019" i="1"/>
  <c r="E1019" i="1"/>
  <c r="A1015" i="1"/>
  <c r="B1015" i="1"/>
  <c r="C1015" i="1"/>
  <c r="D1015" i="1"/>
  <c r="E1015" i="1"/>
  <c r="A22" i="1"/>
  <c r="B22" i="1"/>
  <c r="C22" i="1"/>
  <c r="D22" i="1"/>
  <c r="E22" i="1"/>
  <c r="A5" i="1"/>
  <c r="B5" i="1"/>
  <c r="C5" i="1"/>
  <c r="D5" i="1"/>
  <c r="E5" i="1"/>
  <c r="A6" i="1"/>
  <c r="B6" i="1"/>
  <c r="C6" i="1"/>
  <c r="D6" i="1"/>
  <c r="E6" i="1"/>
  <c r="A45" i="1"/>
  <c r="B45" i="1"/>
  <c r="C45" i="1"/>
  <c r="D45" i="1"/>
  <c r="E45" i="1"/>
  <c r="A37" i="1"/>
  <c r="B37" i="1"/>
  <c r="C37" i="1"/>
  <c r="D37" i="1"/>
  <c r="E37" i="1"/>
  <c r="A321" i="1"/>
  <c r="B321" i="1"/>
  <c r="C321" i="1"/>
  <c r="D321" i="1"/>
  <c r="E321" i="1"/>
  <c r="A322" i="1"/>
  <c r="B322" i="1"/>
  <c r="C322" i="1"/>
  <c r="D322" i="1"/>
  <c r="E322" i="1"/>
  <c r="A344" i="1"/>
  <c r="B344" i="1"/>
  <c r="C344" i="1"/>
  <c r="D344" i="1"/>
  <c r="E344" i="1"/>
  <c r="A381" i="1"/>
  <c r="B381" i="1"/>
  <c r="C381" i="1"/>
  <c r="D381" i="1"/>
  <c r="E381" i="1"/>
  <c r="A382" i="1"/>
  <c r="B382" i="1"/>
  <c r="C382" i="1"/>
  <c r="D382" i="1"/>
  <c r="E382" i="1"/>
  <c r="A187" i="1"/>
  <c r="B187" i="1"/>
  <c r="C187" i="1"/>
  <c r="D187" i="1"/>
  <c r="E187" i="1"/>
  <c r="A189" i="1"/>
  <c r="B189" i="1"/>
  <c r="C189" i="1"/>
  <c r="D189" i="1"/>
  <c r="E189" i="1"/>
  <c r="A190" i="1"/>
  <c r="B190" i="1"/>
  <c r="C190" i="1"/>
  <c r="D190" i="1"/>
  <c r="E190" i="1"/>
  <c r="A191" i="1"/>
  <c r="B191" i="1"/>
  <c r="C191" i="1"/>
  <c r="D191" i="1"/>
  <c r="E191" i="1"/>
  <c r="A192" i="1"/>
  <c r="B192" i="1"/>
  <c r="C192" i="1"/>
  <c r="D192" i="1"/>
  <c r="E192" i="1"/>
  <c r="A299" i="1"/>
  <c r="B299" i="1"/>
  <c r="C299" i="1"/>
  <c r="D299" i="1"/>
  <c r="E299" i="1"/>
  <c r="A298" i="1"/>
  <c r="B298" i="1"/>
  <c r="C298" i="1"/>
  <c r="D298" i="1"/>
  <c r="E298" i="1"/>
  <c r="A55" i="1"/>
  <c r="B55" i="1"/>
  <c r="C55" i="1"/>
  <c r="D55" i="1"/>
  <c r="E55" i="1"/>
  <c r="A28" i="1"/>
  <c r="B28" i="1"/>
  <c r="C28" i="1"/>
  <c r="D28" i="1"/>
  <c r="E28" i="1"/>
  <c r="A26" i="1"/>
  <c r="B26" i="1"/>
  <c r="C26" i="1"/>
  <c r="D26" i="1"/>
  <c r="E26" i="1"/>
  <c r="A206" i="1"/>
  <c r="B206" i="1"/>
  <c r="C206" i="1"/>
  <c r="D206" i="1"/>
  <c r="E206" i="1"/>
  <c r="A200" i="1"/>
  <c r="B200" i="1"/>
  <c r="C200" i="1"/>
  <c r="D200" i="1"/>
  <c r="E200" i="1"/>
  <c r="A205" i="1"/>
  <c r="B205" i="1"/>
  <c r="C205" i="1"/>
  <c r="D205" i="1"/>
  <c r="E205" i="1"/>
  <c r="A204" i="1"/>
  <c r="B204" i="1"/>
  <c r="C204" i="1"/>
  <c r="D204" i="1"/>
  <c r="E204" i="1"/>
  <c r="A202" i="1"/>
  <c r="B202" i="1"/>
  <c r="C202" i="1"/>
  <c r="D202" i="1"/>
  <c r="E202" i="1"/>
  <c r="A203" i="1"/>
  <c r="B203" i="1"/>
  <c r="C203" i="1"/>
  <c r="D203" i="1"/>
  <c r="E203" i="1"/>
  <c r="A233" i="1"/>
  <c r="B233" i="1"/>
  <c r="C233" i="1"/>
  <c r="D233" i="1"/>
  <c r="E233" i="1"/>
  <c r="A186" i="1"/>
  <c r="B186" i="1"/>
  <c r="C186" i="1"/>
  <c r="D186" i="1"/>
  <c r="E186" i="1"/>
  <c r="A185" i="1"/>
  <c r="B185" i="1"/>
  <c r="C185" i="1"/>
  <c r="D185" i="1"/>
  <c r="E185" i="1"/>
  <c r="A182" i="1"/>
  <c r="B182" i="1"/>
  <c r="C182" i="1"/>
  <c r="D182" i="1"/>
  <c r="E182" i="1"/>
  <c r="A623" i="1"/>
  <c r="B623" i="1"/>
  <c r="C623" i="1"/>
  <c r="D623" i="1"/>
  <c r="E623" i="1"/>
  <c r="A624" i="1"/>
  <c r="B624" i="1"/>
  <c r="C624" i="1"/>
  <c r="D624" i="1"/>
  <c r="E624" i="1"/>
  <c r="A625" i="1"/>
  <c r="B625" i="1"/>
  <c r="C625" i="1"/>
  <c r="D625" i="1"/>
  <c r="E625" i="1"/>
  <c r="A626" i="1"/>
  <c r="B626" i="1"/>
  <c r="C626" i="1"/>
  <c r="D626" i="1"/>
  <c r="E626" i="1"/>
  <c r="A627" i="1"/>
  <c r="B627" i="1"/>
  <c r="C627" i="1"/>
  <c r="D627" i="1"/>
  <c r="E627" i="1"/>
  <c r="A628" i="1"/>
  <c r="B628" i="1"/>
  <c r="C628" i="1"/>
  <c r="D628" i="1"/>
  <c r="E628" i="1"/>
  <c r="A629" i="1"/>
  <c r="B629" i="1"/>
  <c r="C629" i="1"/>
  <c r="D629" i="1"/>
  <c r="E629" i="1"/>
  <c r="A649" i="1"/>
  <c r="B649" i="1"/>
  <c r="C649" i="1"/>
  <c r="D649" i="1"/>
  <c r="E649" i="1"/>
  <c r="A942" i="1"/>
  <c r="B942" i="1"/>
  <c r="C942" i="1"/>
  <c r="D942" i="1"/>
  <c r="E942" i="1"/>
  <c r="A201" i="1"/>
  <c r="B201" i="1"/>
  <c r="C201" i="1"/>
  <c r="D201" i="1"/>
  <c r="E201" i="1"/>
  <c r="A991" i="1"/>
  <c r="B991" i="1"/>
  <c r="C991" i="1"/>
  <c r="D991" i="1"/>
  <c r="E991" i="1"/>
  <c r="A929" i="1"/>
  <c r="B929" i="1"/>
  <c r="C929" i="1"/>
  <c r="D929" i="1"/>
  <c r="E929" i="1"/>
  <c r="A1124" i="1"/>
  <c r="B1124" i="1"/>
  <c r="C1124" i="1"/>
  <c r="D1124" i="1"/>
  <c r="E1124" i="1"/>
  <c r="A644" i="1"/>
  <c r="B644" i="1"/>
  <c r="C644" i="1"/>
  <c r="D644" i="1"/>
  <c r="E644" i="1"/>
  <c r="A645" i="1"/>
  <c r="B645" i="1"/>
  <c r="C645" i="1"/>
  <c r="D645" i="1"/>
  <c r="E645" i="1"/>
  <c r="A710" i="1"/>
  <c r="B710" i="1"/>
  <c r="C710" i="1"/>
  <c r="D710" i="1"/>
  <c r="E710" i="1"/>
  <c r="A741" i="1"/>
  <c r="B741" i="1"/>
  <c r="C741" i="1"/>
  <c r="D741" i="1"/>
  <c r="E741" i="1"/>
  <c r="A863" i="1"/>
  <c r="B863" i="1"/>
  <c r="C863" i="1"/>
  <c r="D863" i="1"/>
  <c r="E863" i="1"/>
  <c r="A661" i="1"/>
  <c r="B661" i="1"/>
  <c r="C661" i="1"/>
  <c r="D661" i="1"/>
  <c r="E661" i="1"/>
  <c r="A642" i="1"/>
  <c r="B642" i="1"/>
  <c r="C642" i="1"/>
  <c r="D642" i="1"/>
  <c r="E642" i="1"/>
  <c r="A450" i="1"/>
  <c r="B450" i="1"/>
  <c r="C450" i="1"/>
  <c r="D450" i="1"/>
  <c r="E450" i="1"/>
  <c r="A359" i="1"/>
  <c r="B359" i="1"/>
  <c r="C359" i="1"/>
  <c r="D359" i="1"/>
  <c r="E359" i="1"/>
  <c r="A331" i="1"/>
  <c r="B331" i="1"/>
  <c r="C331" i="1"/>
  <c r="D331" i="1"/>
  <c r="E331" i="1"/>
  <c r="A333" i="1"/>
  <c r="B333" i="1"/>
  <c r="C333" i="1"/>
  <c r="D333" i="1"/>
  <c r="E333" i="1"/>
  <c r="A561" i="1"/>
  <c r="B561" i="1"/>
  <c r="C561" i="1"/>
  <c r="D561" i="1"/>
  <c r="E561" i="1"/>
  <c r="A593" i="1"/>
  <c r="B593" i="1"/>
  <c r="C593" i="1"/>
  <c r="D593" i="1"/>
  <c r="E593" i="1"/>
  <c r="A459" i="1"/>
  <c r="B459" i="1"/>
  <c r="C459" i="1"/>
  <c r="D459" i="1"/>
  <c r="E459" i="1"/>
  <c r="A174" i="1"/>
  <c r="B174" i="1"/>
  <c r="C174" i="1"/>
  <c r="D174" i="1"/>
  <c r="E174" i="1"/>
  <c r="A175" i="1"/>
  <c r="B175" i="1"/>
  <c r="C175" i="1"/>
  <c r="D175" i="1"/>
  <c r="E175" i="1"/>
  <c r="A232" i="1"/>
  <c r="B232" i="1"/>
  <c r="C232" i="1"/>
  <c r="D232" i="1"/>
  <c r="E232" i="1"/>
  <c r="A1025" i="1"/>
  <c r="B1025" i="1"/>
  <c r="C1025" i="1"/>
  <c r="D1025" i="1"/>
  <c r="E1025" i="1"/>
  <c r="A1029" i="1"/>
  <c r="B1029" i="1"/>
  <c r="C1029" i="1"/>
  <c r="D1029" i="1"/>
  <c r="E1029" i="1"/>
  <c r="A1032" i="1"/>
  <c r="B1032" i="1"/>
  <c r="C1032" i="1"/>
  <c r="D1032" i="1"/>
  <c r="E1032" i="1"/>
  <c r="A1035" i="1"/>
  <c r="B1035" i="1"/>
  <c r="C1035" i="1"/>
  <c r="D1035" i="1"/>
  <c r="E1035" i="1"/>
  <c r="A1040" i="1"/>
  <c r="B1040" i="1"/>
  <c r="C1040" i="1"/>
  <c r="D1040" i="1"/>
  <c r="E1040" i="1"/>
  <c r="A363" i="1"/>
  <c r="B363" i="1"/>
  <c r="C363" i="1"/>
  <c r="D363" i="1"/>
  <c r="E363" i="1"/>
  <c r="A365" i="1"/>
  <c r="B365" i="1"/>
  <c r="C365" i="1"/>
  <c r="D365" i="1"/>
  <c r="E365" i="1"/>
  <c r="A366" i="1"/>
  <c r="B366" i="1"/>
  <c r="C366" i="1"/>
  <c r="D366" i="1"/>
  <c r="E366" i="1"/>
  <c r="A385" i="1"/>
  <c r="B385" i="1"/>
  <c r="C385" i="1"/>
  <c r="D385" i="1"/>
  <c r="E385" i="1"/>
  <c r="A449" i="1"/>
  <c r="B449" i="1"/>
  <c r="C449" i="1"/>
  <c r="D449" i="1"/>
  <c r="E449" i="1"/>
  <c r="A971" i="1"/>
  <c r="B971" i="1"/>
  <c r="C971" i="1"/>
  <c r="D971" i="1"/>
  <c r="E971" i="1"/>
  <c r="A973" i="1"/>
  <c r="B973" i="1"/>
  <c r="C973" i="1"/>
  <c r="D973" i="1"/>
  <c r="E973" i="1"/>
  <c r="A976" i="1"/>
  <c r="B976" i="1"/>
  <c r="C976" i="1"/>
  <c r="D976" i="1"/>
  <c r="E976" i="1"/>
  <c r="A977" i="1"/>
  <c r="B977" i="1"/>
  <c r="C977" i="1"/>
  <c r="D977" i="1"/>
  <c r="E977" i="1"/>
  <c r="A1030" i="1"/>
  <c r="B1030" i="1"/>
  <c r="C1030" i="1"/>
  <c r="D1030" i="1"/>
  <c r="E1030" i="1"/>
  <c r="A1042" i="1"/>
  <c r="B1042" i="1"/>
  <c r="C1042" i="1"/>
  <c r="D1042" i="1"/>
  <c r="E1042" i="1"/>
  <c r="A1010" i="1"/>
  <c r="B1010" i="1"/>
  <c r="C1010" i="1"/>
  <c r="D1010" i="1"/>
  <c r="E1010" i="1"/>
  <c r="A1005" i="1"/>
  <c r="B1005" i="1"/>
  <c r="C1005" i="1"/>
  <c r="D1005" i="1"/>
  <c r="E1005" i="1"/>
  <c r="A1020" i="1"/>
  <c r="B1020" i="1"/>
  <c r="C1020" i="1"/>
  <c r="D1020" i="1"/>
  <c r="E1020" i="1"/>
  <c r="A1023" i="1"/>
  <c r="B1023" i="1"/>
  <c r="C1023" i="1"/>
  <c r="D1023" i="1"/>
  <c r="E1023" i="1"/>
  <c r="A636" i="1"/>
  <c r="B636" i="1"/>
  <c r="C636" i="1"/>
  <c r="D636" i="1"/>
  <c r="E636" i="1"/>
  <c r="A637" i="1"/>
  <c r="B637" i="1"/>
  <c r="C637" i="1"/>
  <c r="D637" i="1"/>
  <c r="E637" i="1"/>
  <c r="A640" i="1"/>
  <c r="B640" i="1"/>
  <c r="C640" i="1"/>
  <c r="D640" i="1"/>
  <c r="E640" i="1"/>
  <c r="A638" i="1"/>
  <c r="B638" i="1"/>
  <c r="C638" i="1"/>
  <c r="D638" i="1"/>
  <c r="E638" i="1"/>
  <c r="A639" i="1"/>
  <c r="B639" i="1"/>
  <c r="C639" i="1"/>
  <c r="D639" i="1"/>
  <c r="E639" i="1"/>
  <c r="A979" i="1"/>
  <c r="B979" i="1"/>
  <c r="C979" i="1"/>
  <c r="D979" i="1"/>
  <c r="E979" i="1"/>
  <c r="A995" i="1"/>
  <c r="B995" i="1"/>
  <c r="C995" i="1"/>
  <c r="D995" i="1"/>
  <c r="E995" i="1"/>
  <c r="A1000" i="1"/>
  <c r="B1000" i="1"/>
  <c r="C1000" i="1"/>
  <c r="D1000" i="1"/>
  <c r="E1000" i="1"/>
  <c r="A963" i="1"/>
  <c r="B963" i="1"/>
  <c r="C963" i="1"/>
  <c r="D963" i="1"/>
  <c r="E963" i="1"/>
  <c r="A968" i="1"/>
  <c r="B968" i="1"/>
  <c r="C968" i="1"/>
  <c r="D968" i="1"/>
  <c r="E968" i="1"/>
  <c r="A516" i="1"/>
  <c r="B516" i="1"/>
  <c r="C516" i="1"/>
  <c r="D516" i="1"/>
  <c r="E516" i="1"/>
  <c r="A517" i="1"/>
  <c r="B517" i="1"/>
  <c r="C517" i="1"/>
  <c r="D517" i="1"/>
  <c r="E517" i="1"/>
  <c r="A324" i="1"/>
  <c r="B324" i="1"/>
  <c r="C324" i="1"/>
  <c r="D324" i="1"/>
  <c r="E324" i="1"/>
  <c r="A352" i="1"/>
  <c r="B352" i="1"/>
  <c r="C352" i="1"/>
  <c r="D352" i="1"/>
  <c r="E352" i="1"/>
  <c r="A597" i="1"/>
  <c r="B597" i="1"/>
  <c r="C597" i="1"/>
  <c r="D597" i="1"/>
  <c r="E597" i="1"/>
  <c r="A569" i="1"/>
  <c r="B569" i="1"/>
  <c r="C569" i="1"/>
  <c r="D569" i="1"/>
  <c r="E569" i="1"/>
  <c r="A874" i="1"/>
  <c r="B874" i="1"/>
  <c r="C874" i="1"/>
  <c r="D874" i="1"/>
  <c r="E874" i="1"/>
  <c r="A633" i="1"/>
  <c r="B633" i="1"/>
  <c r="C633" i="1"/>
  <c r="D633" i="1"/>
  <c r="E633" i="1"/>
  <c r="A634" i="1"/>
  <c r="B634" i="1"/>
  <c r="C634" i="1"/>
  <c r="D634" i="1"/>
  <c r="E634" i="1"/>
  <c r="A635" i="1"/>
  <c r="B635" i="1"/>
  <c r="C635" i="1"/>
  <c r="D635" i="1"/>
  <c r="E635" i="1"/>
  <c r="A173" i="1"/>
  <c r="B173" i="1"/>
  <c r="C173" i="1"/>
  <c r="D173" i="1"/>
  <c r="E173" i="1"/>
  <c r="A34" i="1"/>
  <c r="B34" i="1"/>
  <c r="C34" i="1"/>
  <c r="D34" i="1"/>
  <c r="E34" i="1"/>
  <c r="A4" i="1"/>
  <c r="B4" i="1"/>
  <c r="C4" i="1"/>
  <c r="D4" i="1"/>
  <c r="E4" i="1"/>
  <c r="A7" i="1"/>
  <c r="B7" i="1"/>
  <c r="C7" i="1"/>
  <c r="D7" i="1"/>
  <c r="E7" i="1"/>
  <c r="A38" i="1"/>
  <c r="B38" i="1"/>
  <c r="C38" i="1"/>
  <c r="D38" i="1"/>
  <c r="E38" i="1"/>
  <c r="A922" i="1"/>
  <c r="B922" i="1"/>
  <c r="C922" i="1"/>
  <c r="D922" i="1"/>
  <c r="E922" i="1"/>
  <c r="A14" i="1"/>
  <c r="B14" i="1"/>
  <c r="C14" i="1"/>
  <c r="D14" i="1"/>
  <c r="E14" i="1"/>
  <c r="A184" i="1"/>
  <c r="B184" i="1"/>
  <c r="C184" i="1"/>
  <c r="D184" i="1"/>
  <c r="E184" i="1"/>
  <c r="A505" i="1"/>
  <c r="B505" i="1"/>
  <c r="C505" i="1"/>
  <c r="D505" i="1"/>
  <c r="E505" i="1"/>
  <c r="A502" i="1"/>
  <c r="B502" i="1"/>
  <c r="C502" i="1"/>
  <c r="D502" i="1"/>
  <c r="E502" i="1"/>
  <c r="A786" i="1"/>
  <c r="B786" i="1"/>
  <c r="C786" i="1"/>
  <c r="D786" i="1"/>
  <c r="E786" i="1"/>
  <c r="A781" i="1"/>
  <c r="B781" i="1"/>
  <c r="C781" i="1"/>
  <c r="D781" i="1"/>
  <c r="E781" i="1"/>
  <c r="A817" i="1"/>
  <c r="B817" i="1"/>
  <c r="C817" i="1"/>
  <c r="D817" i="1"/>
  <c r="E817" i="1"/>
  <c r="A694" i="1"/>
  <c r="B694" i="1"/>
  <c r="C694" i="1"/>
  <c r="D694" i="1"/>
  <c r="E694" i="1"/>
  <c r="A669" i="1"/>
  <c r="B669" i="1"/>
  <c r="C669" i="1"/>
  <c r="D669" i="1"/>
  <c r="E669" i="1"/>
  <c r="A687" i="1"/>
  <c r="B687" i="1"/>
  <c r="C687" i="1"/>
  <c r="D687" i="1"/>
  <c r="E687" i="1"/>
  <c r="A688" i="1"/>
  <c r="B688" i="1"/>
  <c r="C688" i="1"/>
  <c r="D688" i="1"/>
  <c r="E688" i="1"/>
  <c r="A689" i="1"/>
  <c r="B689" i="1"/>
  <c r="C689" i="1"/>
  <c r="D689" i="1"/>
  <c r="E689" i="1"/>
  <c r="A682" i="1"/>
  <c r="B682" i="1"/>
  <c r="C682" i="1"/>
  <c r="D682" i="1"/>
  <c r="E682" i="1"/>
  <c r="A1089" i="1"/>
  <c r="B1089" i="1"/>
  <c r="C1089" i="1"/>
  <c r="D1089" i="1"/>
  <c r="E1089" i="1"/>
  <c r="A283" i="1"/>
  <c r="B283" i="1"/>
  <c r="C283" i="1"/>
  <c r="D283" i="1"/>
  <c r="E283" i="1"/>
  <c r="A1074" i="1"/>
  <c r="B1074" i="1"/>
  <c r="C1074" i="1"/>
  <c r="D1074" i="1"/>
  <c r="E1074" i="1"/>
  <c r="A1067" i="1"/>
  <c r="B1067" i="1"/>
  <c r="C1067" i="1"/>
  <c r="D1067" i="1"/>
  <c r="E1067" i="1"/>
  <c r="A1068" i="1"/>
  <c r="B1068" i="1"/>
  <c r="C1068" i="1"/>
  <c r="D1068" i="1"/>
  <c r="E1068" i="1"/>
  <c r="A1064" i="1"/>
  <c r="B1064" i="1"/>
  <c r="C1064" i="1"/>
  <c r="D1064" i="1"/>
  <c r="E1064" i="1"/>
  <c r="A1059" i="1"/>
  <c r="B1059" i="1"/>
  <c r="C1059" i="1"/>
  <c r="D1059" i="1"/>
  <c r="E1059" i="1"/>
  <c r="A950" i="1"/>
  <c r="B950" i="1"/>
  <c r="C950" i="1"/>
  <c r="D950" i="1"/>
  <c r="E950" i="1"/>
  <c r="A793" i="1"/>
  <c r="B793" i="1"/>
  <c r="C793" i="1"/>
  <c r="D793" i="1"/>
  <c r="E793" i="1"/>
  <c r="A788" i="1"/>
  <c r="B788" i="1"/>
  <c r="C788" i="1"/>
  <c r="D788" i="1"/>
  <c r="E788" i="1"/>
  <c r="A785" i="1"/>
  <c r="B785" i="1"/>
  <c r="C785" i="1"/>
  <c r="D785" i="1"/>
  <c r="E785" i="1"/>
  <c r="A110" i="1"/>
  <c r="B110" i="1"/>
  <c r="C110" i="1"/>
  <c r="D110" i="1"/>
  <c r="E110" i="1"/>
  <c r="A120" i="1"/>
  <c r="B120" i="1"/>
  <c r="C120" i="1"/>
  <c r="D120" i="1"/>
  <c r="E120" i="1"/>
  <c r="A167" i="1"/>
  <c r="B167" i="1"/>
  <c r="C167" i="1"/>
  <c r="D167" i="1"/>
  <c r="E167" i="1"/>
  <c r="A87" i="1"/>
  <c r="B87" i="1"/>
  <c r="C87" i="1"/>
  <c r="D87" i="1"/>
  <c r="E87" i="1"/>
  <c r="A158" i="1"/>
  <c r="B158" i="1"/>
  <c r="C158" i="1"/>
  <c r="D158" i="1"/>
  <c r="E158" i="1"/>
  <c r="A108" i="1"/>
  <c r="B108" i="1"/>
  <c r="C108" i="1"/>
  <c r="D108" i="1"/>
  <c r="E108" i="1"/>
  <c r="A138" i="1"/>
  <c r="B138" i="1"/>
  <c r="C138" i="1"/>
  <c r="D138" i="1"/>
  <c r="E138" i="1"/>
  <c r="A265" i="1"/>
  <c r="B265" i="1"/>
  <c r="C265" i="1"/>
  <c r="D265" i="1"/>
  <c r="E265" i="1"/>
  <c r="A252" i="1"/>
  <c r="B252" i="1"/>
  <c r="C252" i="1"/>
  <c r="D252" i="1"/>
  <c r="E252" i="1"/>
  <c r="A256" i="1"/>
  <c r="B256" i="1"/>
  <c r="C256" i="1"/>
  <c r="D256" i="1"/>
  <c r="E256" i="1"/>
  <c r="A163" i="1"/>
  <c r="B163" i="1"/>
  <c r="C163" i="1"/>
  <c r="D163" i="1"/>
  <c r="E163" i="1"/>
  <c r="A100" i="1"/>
  <c r="B100" i="1"/>
  <c r="C100" i="1"/>
  <c r="D100" i="1"/>
  <c r="E100" i="1"/>
  <c r="A82" i="1"/>
  <c r="B82" i="1"/>
  <c r="C82" i="1"/>
  <c r="D82" i="1"/>
  <c r="E82" i="1"/>
  <c r="A150" i="1"/>
  <c r="B150" i="1"/>
  <c r="C150" i="1"/>
  <c r="D150" i="1"/>
  <c r="E150" i="1"/>
  <c r="A112" i="1"/>
  <c r="B112" i="1"/>
  <c r="C112" i="1"/>
  <c r="D112" i="1"/>
  <c r="E112" i="1"/>
  <c r="A140" i="1"/>
  <c r="B140" i="1"/>
  <c r="C140" i="1"/>
  <c r="D140" i="1"/>
  <c r="E140" i="1"/>
  <c r="A145" i="1"/>
  <c r="B145" i="1"/>
  <c r="C145" i="1"/>
  <c r="D145" i="1"/>
  <c r="E145" i="1"/>
  <c r="A84" i="1"/>
  <c r="B84" i="1"/>
  <c r="C84" i="1"/>
  <c r="D84" i="1"/>
  <c r="E84" i="1"/>
  <c r="A106" i="1"/>
  <c r="B106" i="1"/>
  <c r="C106" i="1"/>
  <c r="D106" i="1"/>
  <c r="E106" i="1"/>
  <c r="A98" i="1"/>
  <c r="B98" i="1"/>
  <c r="C98" i="1"/>
  <c r="D98" i="1"/>
  <c r="E98" i="1"/>
  <c r="A439" i="1"/>
  <c r="B439" i="1"/>
  <c r="C439" i="1"/>
  <c r="D439" i="1"/>
  <c r="E439" i="1"/>
  <c r="A417" i="1"/>
  <c r="B417" i="1"/>
  <c r="C417" i="1"/>
  <c r="D417" i="1"/>
  <c r="E417" i="1"/>
  <c r="A412" i="1"/>
  <c r="B412" i="1"/>
  <c r="C412" i="1"/>
  <c r="D412" i="1"/>
  <c r="E412" i="1"/>
  <c r="A415" i="1"/>
  <c r="B415" i="1"/>
  <c r="C415" i="1"/>
  <c r="D415" i="1"/>
  <c r="E415" i="1"/>
  <c r="A425" i="1"/>
  <c r="B425" i="1"/>
  <c r="C425" i="1"/>
  <c r="D425" i="1"/>
  <c r="E425" i="1"/>
  <c r="A469" i="1"/>
  <c r="B469" i="1"/>
  <c r="C469" i="1"/>
  <c r="D469" i="1"/>
  <c r="E469" i="1"/>
  <c r="A472" i="1"/>
  <c r="B472" i="1"/>
  <c r="C472" i="1"/>
  <c r="D472" i="1"/>
  <c r="E472" i="1"/>
  <c r="A479" i="1"/>
  <c r="B479" i="1"/>
  <c r="C479" i="1"/>
  <c r="D479" i="1"/>
  <c r="E479" i="1"/>
  <c r="A490" i="1"/>
  <c r="B490" i="1"/>
  <c r="C490" i="1"/>
  <c r="D490" i="1"/>
  <c r="E490" i="1"/>
  <c r="A166" i="1"/>
  <c r="B166" i="1"/>
  <c r="C166" i="1"/>
  <c r="D166" i="1"/>
  <c r="E166" i="1"/>
  <c r="A1052" i="1"/>
  <c r="B1052" i="1"/>
  <c r="C1052" i="1"/>
  <c r="D1052" i="1"/>
  <c r="E1052" i="1"/>
  <c r="A129" i="1"/>
  <c r="B129" i="1"/>
  <c r="C129" i="1"/>
  <c r="D129" i="1"/>
  <c r="E129" i="1"/>
  <c r="A376" i="1"/>
  <c r="B376" i="1"/>
  <c r="C376" i="1"/>
  <c r="D376" i="1"/>
  <c r="E376" i="1"/>
  <c r="A399" i="1"/>
  <c r="B399" i="1"/>
  <c r="C399" i="1"/>
  <c r="D399" i="1"/>
  <c r="E399" i="1"/>
  <c r="A402" i="1"/>
  <c r="B402" i="1"/>
  <c r="C402" i="1"/>
  <c r="D402" i="1"/>
  <c r="E402" i="1"/>
  <c r="A410" i="1"/>
  <c r="B410" i="1"/>
  <c r="C410" i="1"/>
  <c r="D410" i="1"/>
  <c r="E410" i="1"/>
  <c r="A405" i="1"/>
  <c r="B405" i="1"/>
  <c r="C405" i="1"/>
  <c r="D405" i="1"/>
  <c r="E405" i="1"/>
  <c r="A406" i="1"/>
  <c r="B406" i="1"/>
  <c r="C406" i="1"/>
  <c r="D406" i="1"/>
  <c r="E406" i="1"/>
  <c r="A435" i="1"/>
  <c r="B435" i="1"/>
  <c r="C435" i="1"/>
  <c r="D435" i="1"/>
  <c r="E435" i="1"/>
  <c r="A441" i="1"/>
  <c r="B441" i="1"/>
  <c r="C441" i="1"/>
  <c r="D441" i="1"/>
  <c r="E441" i="1"/>
  <c r="A940" i="1"/>
  <c r="B940" i="1"/>
  <c r="C940" i="1"/>
  <c r="D940" i="1"/>
  <c r="E940" i="1"/>
  <c r="A923" i="1"/>
  <c r="B923" i="1"/>
  <c r="C923" i="1"/>
  <c r="D923" i="1"/>
  <c r="E923" i="1"/>
  <c r="A924" i="1"/>
  <c r="B924" i="1"/>
  <c r="C924" i="1"/>
  <c r="D924" i="1"/>
  <c r="E924" i="1"/>
  <c r="A925" i="1"/>
  <c r="B925" i="1"/>
  <c r="C925" i="1"/>
  <c r="D925" i="1"/>
  <c r="E925" i="1"/>
  <c r="A926" i="1"/>
  <c r="B926" i="1"/>
  <c r="C926" i="1"/>
  <c r="D926" i="1"/>
  <c r="E926" i="1"/>
  <c r="A927" i="1"/>
  <c r="B927" i="1"/>
  <c r="C927" i="1"/>
  <c r="D927" i="1"/>
  <c r="E927" i="1"/>
  <c r="A928" i="1"/>
  <c r="B928" i="1"/>
  <c r="C928" i="1"/>
  <c r="D928" i="1"/>
  <c r="E928" i="1"/>
  <c r="A958" i="1"/>
  <c r="B958" i="1"/>
  <c r="C958" i="1"/>
  <c r="D958" i="1"/>
  <c r="E958" i="1"/>
  <c r="A986" i="1"/>
  <c r="B986" i="1"/>
  <c r="C986" i="1"/>
  <c r="D986" i="1"/>
  <c r="E986" i="1"/>
  <c r="A1051" i="1"/>
  <c r="B1051" i="1"/>
  <c r="C1051" i="1"/>
  <c r="D1051" i="1"/>
  <c r="E1051" i="1"/>
  <c r="A830" i="1"/>
  <c r="B830" i="1"/>
  <c r="C830" i="1"/>
  <c r="D830" i="1"/>
  <c r="E830" i="1"/>
  <c r="A831" i="1"/>
  <c r="B831" i="1"/>
  <c r="C831" i="1"/>
  <c r="D831" i="1"/>
  <c r="E831" i="1"/>
  <c r="A832" i="1"/>
  <c r="B832" i="1"/>
  <c r="C832" i="1"/>
  <c r="D832" i="1"/>
  <c r="E832" i="1"/>
  <c r="A797" i="1"/>
  <c r="B797" i="1"/>
  <c r="C797" i="1"/>
  <c r="D797" i="1"/>
  <c r="E797" i="1"/>
  <c r="A798" i="1"/>
  <c r="B798" i="1"/>
  <c r="C798" i="1"/>
  <c r="D798" i="1"/>
  <c r="E798" i="1"/>
  <c r="A799" i="1"/>
  <c r="B799" i="1"/>
  <c r="C799" i="1"/>
  <c r="D799" i="1"/>
  <c r="E799" i="1"/>
  <c r="A800" i="1"/>
  <c r="B800" i="1"/>
  <c r="C800" i="1"/>
  <c r="D800" i="1"/>
  <c r="E800" i="1"/>
  <c r="A801" i="1"/>
  <c r="B801" i="1"/>
  <c r="C801" i="1"/>
  <c r="D801" i="1"/>
  <c r="E801" i="1"/>
  <c r="A1098" i="1"/>
  <c r="B1098" i="1"/>
  <c r="C1098" i="1"/>
  <c r="D1098" i="1"/>
  <c r="E1098" i="1"/>
  <c r="A939" i="1"/>
  <c r="B939" i="1"/>
  <c r="C939" i="1"/>
  <c r="D939" i="1"/>
  <c r="E939" i="1"/>
  <c r="A804" i="1"/>
  <c r="B804" i="1"/>
  <c r="C804" i="1"/>
  <c r="D804" i="1"/>
  <c r="E804" i="1"/>
  <c r="A805" i="1"/>
  <c r="B805" i="1"/>
  <c r="C805" i="1"/>
  <c r="D805" i="1"/>
  <c r="E805" i="1"/>
  <c r="A806" i="1"/>
  <c r="B806" i="1"/>
  <c r="C806" i="1"/>
  <c r="D806" i="1"/>
  <c r="E806" i="1"/>
  <c r="A807" i="1"/>
  <c r="B807" i="1"/>
  <c r="C807" i="1"/>
  <c r="D807" i="1"/>
  <c r="E807" i="1"/>
  <c r="A808" i="1"/>
  <c r="B808" i="1"/>
  <c r="C808" i="1"/>
  <c r="D808" i="1"/>
  <c r="E808" i="1"/>
  <c r="A825" i="1"/>
  <c r="B825" i="1"/>
  <c r="C825" i="1"/>
  <c r="D825" i="1"/>
  <c r="E825" i="1"/>
  <c r="A826" i="1"/>
  <c r="B826" i="1"/>
  <c r="C826" i="1"/>
  <c r="D826" i="1"/>
  <c r="E826" i="1"/>
  <c r="A827" i="1"/>
  <c r="B827" i="1"/>
  <c r="C827" i="1"/>
  <c r="D827" i="1"/>
  <c r="E827" i="1"/>
  <c r="A828" i="1"/>
  <c r="B828" i="1"/>
  <c r="C828" i="1"/>
  <c r="D828" i="1"/>
  <c r="E828" i="1"/>
  <c r="A829" i="1"/>
  <c r="B829" i="1"/>
  <c r="C829" i="1"/>
  <c r="D829" i="1"/>
  <c r="E829" i="1"/>
  <c r="A857" i="1"/>
  <c r="B857" i="1"/>
  <c r="C857" i="1"/>
  <c r="D857" i="1"/>
  <c r="E857" i="1"/>
  <c r="A858" i="1"/>
  <c r="B858" i="1"/>
  <c r="C858" i="1"/>
  <c r="D858" i="1"/>
  <c r="E858" i="1"/>
  <c r="A859" i="1"/>
  <c r="B859" i="1"/>
  <c r="C859" i="1"/>
  <c r="D859" i="1"/>
  <c r="E859" i="1"/>
  <c r="A860" i="1"/>
  <c r="B860" i="1"/>
  <c r="C860" i="1"/>
  <c r="D860" i="1"/>
  <c r="E860" i="1"/>
  <c r="A861" i="1"/>
  <c r="B861" i="1"/>
  <c r="C861" i="1"/>
  <c r="D861" i="1"/>
  <c r="E861" i="1"/>
  <c r="A862" i="1"/>
  <c r="B862" i="1"/>
  <c r="C862" i="1"/>
  <c r="D862" i="1"/>
  <c r="E862" i="1"/>
  <c r="A810" i="1"/>
  <c r="B810" i="1"/>
  <c r="C810" i="1"/>
  <c r="D810" i="1"/>
  <c r="E810" i="1"/>
  <c r="A811" i="1"/>
  <c r="B811" i="1"/>
  <c r="C811" i="1"/>
  <c r="D811" i="1"/>
  <c r="E811" i="1"/>
  <c r="A813" i="1"/>
  <c r="B813" i="1"/>
  <c r="C813" i="1"/>
  <c r="D813" i="1"/>
  <c r="E813" i="1"/>
  <c r="A814" i="1"/>
  <c r="B814" i="1"/>
  <c r="C814" i="1"/>
  <c r="D814" i="1"/>
  <c r="E814" i="1"/>
  <c r="A847" i="1"/>
  <c r="B847" i="1"/>
  <c r="C847" i="1"/>
  <c r="D847" i="1"/>
  <c r="E847" i="1"/>
  <c r="A848" i="1"/>
  <c r="B848" i="1"/>
  <c r="C848" i="1"/>
  <c r="D848" i="1"/>
  <c r="E848" i="1"/>
  <c r="A849" i="1"/>
  <c r="B849" i="1"/>
  <c r="C849" i="1"/>
  <c r="D849" i="1"/>
  <c r="E849" i="1"/>
  <c r="A850" i="1"/>
  <c r="B850" i="1"/>
  <c r="C850" i="1"/>
  <c r="D850" i="1"/>
  <c r="E850" i="1"/>
  <c r="A851" i="1"/>
  <c r="B851" i="1"/>
  <c r="C851" i="1"/>
  <c r="D851" i="1"/>
  <c r="E851" i="1"/>
  <c r="A852" i="1"/>
  <c r="B852" i="1"/>
  <c r="C852" i="1"/>
  <c r="D852" i="1"/>
  <c r="E852" i="1"/>
  <c r="A853" i="1"/>
  <c r="B853" i="1"/>
  <c r="C853" i="1"/>
  <c r="D853" i="1"/>
  <c r="E853" i="1"/>
  <c r="A854" i="1"/>
  <c r="B854" i="1"/>
  <c r="C854" i="1"/>
  <c r="D854" i="1"/>
  <c r="E854" i="1"/>
  <c r="A855" i="1"/>
  <c r="B855" i="1"/>
  <c r="C855" i="1"/>
  <c r="D855" i="1"/>
  <c r="E855" i="1"/>
  <c r="A856" i="1"/>
  <c r="B856" i="1"/>
  <c r="C856" i="1"/>
  <c r="D856" i="1"/>
  <c r="E856" i="1"/>
  <c r="A821" i="1"/>
  <c r="B821" i="1"/>
  <c r="C821" i="1"/>
  <c r="D821" i="1"/>
  <c r="E821" i="1"/>
  <c r="A822" i="1"/>
  <c r="B822" i="1"/>
  <c r="C822" i="1"/>
  <c r="D822" i="1"/>
  <c r="E822" i="1"/>
  <c r="A823" i="1"/>
  <c r="B823" i="1"/>
  <c r="C823" i="1"/>
  <c r="D823" i="1"/>
  <c r="E823" i="1"/>
  <c r="A840" i="1"/>
  <c r="B840" i="1"/>
  <c r="C840" i="1"/>
  <c r="D840" i="1"/>
  <c r="E840" i="1"/>
  <c r="A841" i="1"/>
  <c r="B841" i="1"/>
  <c r="C841" i="1"/>
  <c r="D841" i="1"/>
  <c r="E841" i="1"/>
  <c r="A842" i="1"/>
  <c r="B842" i="1"/>
  <c r="C842" i="1"/>
  <c r="D842" i="1"/>
  <c r="E842" i="1"/>
  <c r="A843" i="1"/>
  <c r="B843" i="1"/>
  <c r="C843" i="1"/>
  <c r="D843" i="1"/>
  <c r="E843" i="1"/>
  <c r="A844" i="1"/>
  <c r="B844" i="1"/>
  <c r="C844" i="1"/>
  <c r="D844" i="1"/>
  <c r="E844" i="1"/>
  <c r="A845" i="1"/>
  <c r="B845" i="1"/>
  <c r="C845" i="1"/>
  <c r="D845" i="1"/>
  <c r="E845" i="1"/>
  <c r="A846" i="1"/>
  <c r="B846" i="1"/>
  <c r="C846" i="1"/>
  <c r="D846" i="1"/>
  <c r="E846" i="1"/>
  <c r="A921" i="1"/>
  <c r="B921" i="1"/>
  <c r="C921" i="1"/>
  <c r="D921" i="1"/>
  <c r="E921" i="1"/>
  <c r="A816" i="1"/>
  <c r="B816" i="1"/>
  <c r="C816" i="1"/>
  <c r="D816" i="1"/>
  <c r="E816" i="1"/>
  <c r="A834" i="1"/>
  <c r="B834" i="1"/>
  <c r="C834" i="1"/>
  <c r="D834" i="1"/>
  <c r="E834" i="1"/>
  <c r="A835" i="1"/>
  <c r="B835" i="1"/>
  <c r="C835" i="1"/>
  <c r="D835" i="1"/>
  <c r="E835" i="1"/>
  <c r="A836" i="1"/>
  <c r="B836" i="1"/>
  <c r="C836" i="1"/>
  <c r="D836" i="1"/>
  <c r="E836" i="1"/>
  <c r="A837" i="1"/>
  <c r="B837" i="1"/>
  <c r="C837" i="1"/>
  <c r="D837" i="1"/>
  <c r="E837" i="1"/>
  <c r="A838" i="1"/>
  <c r="B838" i="1"/>
  <c r="C838" i="1"/>
  <c r="D838" i="1"/>
  <c r="E838" i="1"/>
  <c r="A818" i="1"/>
  <c r="B818" i="1"/>
  <c r="C818" i="1"/>
  <c r="D818" i="1"/>
  <c r="E818" i="1"/>
  <c r="A819" i="1"/>
  <c r="B819" i="1"/>
  <c r="C819" i="1"/>
  <c r="D819" i="1"/>
  <c r="E819" i="1"/>
  <c r="A820" i="1"/>
  <c r="B820" i="1"/>
  <c r="C820" i="1"/>
  <c r="D820" i="1"/>
  <c r="E820" i="1"/>
  <c r="A668" i="1"/>
  <c r="B668" i="1"/>
  <c r="C668" i="1"/>
  <c r="D668" i="1"/>
  <c r="E668" i="1"/>
  <c r="A1069" i="1"/>
  <c r="B1069" i="1"/>
  <c r="C1069" i="1"/>
  <c r="D1069" i="1"/>
  <c r="E1069" i="1"/>
  <c r="A222" i="1"/>
  <c r="B222" i="1"/>
  <c r="C222" i="1"/>
  <c r="D222" i="1"/>
  <c r="E222" i="1"/>
  <c r="A221" i="1"/>
  <c r="B221" i="1"/>
  <c r="C221" i="1"/>
  <c r="D221" i="1"/>
  <c r="E221" i="1"/>
  <c r="A220" i="1"/>
  <c r="B220" i="1"/>
  <c r="C220" i="1"/>
  <c r="D220" i="1"/>
  <c r="E220" i="1"/>
  <c r="A198" i="1"/>
  <c r="B198" i="1"/>
  <c r="C198" i="1"/>
  <c r="D198" i="1"/>
  <c r="E198" i="1"/>
  <c r="A697" i="1"/>
  <c r="B697" i="1"/>
  <c r="C697" i="1"/>
  <c r="D697" i="1"/>
  <c r="E697" i="1"/>
  <c r="A758" i="1"/>
  <c r="B758" i="1"/>
  <c r="C758" i="1"/>
  <c r="D758" i="1"/>
  <c r="E758" i="1"/>
  <c r="A919" i="1"/>
  <c r="B919" i="1"/>
  <c r="C919" i="1"/>
  <c r="D919" i="1"/>
  <c r="E919" i="1"/>
  <c r="A920" i="1"/>
  <c r="B920" i="1"/>
  <c r="C920" i="1"/>
  <c r="D920" i="1"/>
  <c r="E920" i="1"/>
  <c r="A483" i="1"/>
  <c r="B483" i="1"/>
  <c r="C483" i="1"/>
  <c r="D483" i="1"/>
  <c r="E483" i="1"/>
  <c r="A461" i="1"/>
  <c r="B461" i="1"/>
  <c r="C461" i="1"/>
  <c r="D461" i="1"/>
  <c r="E461" i="1"/>
  <c r="A944" i="1"/>
  <c r="B944" i="1"/>
  <c r="C944" i="1"/>
  <c r="D944" i="1"/>
  <c r="E944" i="1"/>
  <c r="A707" i="1"/>
  <c r="B707" i="1"/>
  <c r="C707" i="1"/>
  <c r="D707" i="1"/>
  <c r="E707" i="1"/>
  <c r="A702" i="1"/>
  <c r="B702" i="1"/>
  <c r="C702" i="1"/>
  <c r="D702" i="1"/>
  <c r="E702" i="1"/>
  <c r="A704" i="1"/>
  <c r="B704" i="1"/>
  <c r="C704" i="1"/>
  <c r="D704" i="1"/>
  <c r="E704" i="1"/>
  <c r="A695" i="1"/>
  <c r="B695" i="1"/>
  <c r="C695" i="1"/>
  <c r="D695" i="1"/>
  <c r="E695" i="1"/>
  <c r="A673" i="1"/>
  <c r="B673" i="1"/>
  <c r="C673" i="1"/>
  <c r="D673" i="1"/>
  <c r="E673" i="1"/>
  <c r="A674" i="1"/>
  <c r="B674" i="1"/>
  <c r="C674" i="1"/>
  <c r="D674" i="1"/>
  <c r="E674" i="1"/>
  <c r="A678" i="1"/>
  <c r="B678" i="1"/>
  <c r="C678" i="1"/>
  <c r="D678" i="1"/>
  <c r="E678" i="1"/>
  <c r="A1073" i="1"/>
  <c r="B1073" i="1"/>
  <c r="C1073" i="1"/>
  <c r="D1073" i="1"/>
  <c r="E1073" i="1"/>
  <c r="A1055" i="1"/>
  <c r="B1055" i="1"/>
  <c r="C1055" i="1"/>
  <c r="D1055" i="1"/>
  <c r="E1055" i="1"/>
  <c r="A1105" i="1"/>
  <c r="B1105" i="1"/>
  <c r="C1105" i="1"/>
  <c r="D1105" i="1"/>
  <c r="E1105" i="1"/>
  <c r="A1110" i="1"/>
  <c r="B1110" i="1"/>
  <c r="C1110" i="1"/>
  <c r="D1110" i="1"/>
  <c r="E1110" i="1"/>
  <c r="A1100" i="1"/>
  <c r="B1100" i="1"/>
  <c r="C1100" i="1"/>
  <c r="D1100" i="1"/>
  <c r="E1100" i="1"/>
  <c r="A1116" i="1"/>
  <c r="B1116" i="1"/>
  <c r="C1116" i="1"/>
  <c r="D1116" i="1"/>
  <c r="E1116" i="1"/>
  <c r="A1121" i="1"/>
  <c r="B1121" i="1"/>
  <c r="C1121" i="1"/>
  <c r="D1121" i="1"/>
  <c r="E1121" i="1"/>
  <c r="A1146" i="1"/>
  <c r="B1146" i="1"/>
  <c r="C1146" i="1"/>
  <c r="D1146" i="1"/>
  <c r="E1146" i="1"/>
  <c r="A1112" i="1"/>
  <c r="B1112" i="1"/>
  <c r="C1112" i="1"/>
  <c r="D1112" i="1"/>
  <c r="E1112" i="1"/>
  <c r="A294" i="1"/>
  <c r="B294" i="1"/>
  <c r="C294" i="1"/>
  <c r="D294" i="1"/>
  <c r="E294" i="1"/>
  <c r="A909" i="1"/>
  <c r="B909" i="1"/>
  <c r="C909" i="1"/>
  <c r="D909" i="1"/>
  <c r="E909" i="1"/>
  <c r="A897" i="1"/>
  <c r="B897" i="1"/>
  <c r="C897" i="1"/>
  <c r="D897" i="1"/>
  <c r="E897" i="1"/>
  <c r="A898" i="1"/>
  <c r="B898" i="1"/>
  <c r="C898" i="1"/>
  <c r="D898" i="1"/>
  <c r="E898" i="1"/>
  <c r="A899" i="1"/>
  <c r="B899" i="1"/>
  <c r="C899" i="1"/>
  <c r="D899" i="1"/>
  <c r="E899" i="1"/>
  <c r="A901" i="1"/>
  <c r="B901" i="1"/>
  <c r="C901" i="1"/>
  <c r="D901" i="1"/>
  <c r="E901" i="1"/>
  <c r="A895" i="1"/>
  <c r="B895" i="1"/>
  <c r="C895" i="1"/>
  <c r="D895" i="1"/>
  <c r="E895" i="1"/>
  <c r="A904" i="1"/>
  <c r="B904" i="1"/>
  <c r="C904" i="1"/>
  <c r="D904" i="1"/>
  <c r="E904" i="1"/>
  <c r="A905" i="1"/>
  <c r="B905" i="1"/>
  <c r="C905" i="1"/>
  <c r="D905" i="1"/>
  <c r="E905" i="1"/>
  <c r="A952" i="1"/>
  <c r="B952" i="1"/>
  <c r="C952" i="1"/>
  <c r="D952" i="1"/>
  <c r="E952" i="1"/>
  <c r="A915" i="1"/>
  <c r="B915" i="1"/>
  <c r="C915" i="1"/>
  <c r="D915" i="1"/>
  <c r="E915" i="1"/>
  <c r="A161" i="1"/>
  <c r="B161" i="1"/>
  <c r="C161" i="1"/>
  <c r="D161" i="1"/>
  <c r="E161" i="1"/>
  <c r="A274" i="1"/>
  <c r="B274" i="1"/>
  <c r="C274" i="1"/>
  <c r="D274" i="1"/>
  <c r="E274" i="1"/>
  <c r="A264" i="1"/>
  <c r="B264" i="1"/>
  <c r="C264" i="1"/>
  <c r="D264" i="1"/>
  <c r="E264" i="1"/>
  <c r="A258" i="1"/>
  <c r="B258" i="1"/>
  <c r="C258" i="1"/>
  <c r="D258" i="1"/>
  <c r="E258" i="1"/>
  <c r="A260" i="1"/>
  <c r="B260" i="1"/>
  <c r="C260" i="1"/>
  <c r="D260" i="1"/>
  <c r="E260" i="1"/>
  <c r="A255" i="1"/>
  <c r="B255" i="1"/>
  <c r="C255" i="1"/>
  <c r="D255" i="1"/>
  <c r="E255" i="1"/>
  <c r="A136" i="1"/>
  <c r="B136" i="1"/>
  <c r="C136" i="1"/>
  <c r="D136" i="1"/>
  <c r="E136" i="1"/>
  <c r="A839" i="1"/>
  <c r="B839" i="1"/>
  <c r="C839" i="1"/>
  <c r="D839" i="1"/>
  <c r="E839" i="1"/>
  <c r="A883" i="1"/>
  <c r="B883" i="1"/>
  <c r="C883" i="1"/>
  <c r="D883" i="1"/>
  <c r="E883" i="1"/>
  <c r="A889" i="1"/>
  <c r="B889" i="1"/>
  <c r="C889" i="1"/>
  <c r="D889" i="1"/>
  <c r="E889" i="1"/>
  <c r="A151" i="1"/>
  <c r="B151" i="1"/>
  <c r="C151" i="1"/>
  <c r="D151" i="1"/>
  <c r="E151" i="1"/>
  <c r="A94" i="1"/>
  <c r="B94" i="1"/>
  <c r="C94" i="1"/>
  <c r="D94" i="1"/>
  <c r="E94" i="1"/>
  <c r="A104" i="1"/>
  <c r="B104" i="1"/>
  <c r="C104" i="1"/>
  <c r="D104" i="1"/>
  <c r="E104" i="1"/>
  <c r="A141" i="1"/>
  <c r="B141" i="1"/>
  <c r="C141" i="1"/>
  <c r="D141" i="1"/>
  <c r="E141" i="1"/>
  <c r="A88" i="1"/>
  <c r="B88" i="1"/>
  <c r="C88" i="1"/>
  <c r="D88" i="1"/>
  <c r="E88" i="1"/>
  <c r="A118" i="1"/>
  <c r="B118" i="1"/>
  <c r="C118" i="1"/>
  <c r="D118" i="1"/>
  <c r="E118" i="1"/>
  <c r="A75" i="1"/>
  <c r="B75" i="1"/>
  <c r="C75" i="1"/>
  <c r="D75" i="1"/>
  <c r="E75" i="1"/>
  <c r="A69" i="1"/>
  <c r="B69" i="1"/>
  <c r="C69" i="1"/>
  <c r="D69" i="1"/>
  <c r="E69" i="1"/>
  <c r="A130" i="1"/>
  <c r="B130" i="1"/>
  <c r="C130" i="1"/>
  <c r="D130" i="1"/>
  <c r="E130" i="1"/>
  <c r="A59" i="1"/>
  <c r="B59" i="1"/>
  <c r="C59" i="1"/>
  <c r="D59" i="1"/>
  <c r="E59" i="1"/>
  <c r="A152" i="1"/>
  <c r="B152" i="1"/>
  <c r="C152" i="1"/>
  <c r="D152" i="1"/>
  <c r="E152" i="1"/>
  <c r="A153" i="1"/>
  <c r="B153" i="1"/>
  <c r="C153" i="1"/>
  <c r="D153" i="1"/>
  <c r="E153" i="1"/>
  <c r="A154" i="1"/>
  <c r="B154" i="1"/>
  <c r="C154" i="1"/>
  <c r="D154" i="1"/>
  <c r="E154" i="1"/>
  <c r="A71" i="1"/>
  <c r="B71" i="1"/>
  <c r="C71" i="1"/>
  <c r="D71" i="1"/>
  <c r="E71" i="1"/>
  <c r="A77" i="1"/>
  <c r="B77" i="1"/>
  <c r="C77" i="1"/>
  <c r="D77" i="1"/>
  <c r="E77" i="1"/>
  <c r="A58" i="1"/>
  <c r="B58" i="1"/>
  <c r="C58" i="1"/>
  <c r="D58" i="1"/>
  <c r="E58" i="1"/>
  <c r="A147" i="1"/>
  <c r="B147" i="1"/>
  <c r="C147" i="1"/>
  <c r="D147" i="1"/>
  <c r="E147" i="1"/>
  <c r="A57" i="1"/>
  <c r="B57" i="1"/>
  <c r="C57" i="1"/>
  <c r="D57" i="1"/>
  <c r="E57" i="1"/>
  <c r="A137" i="1"/>
  <c r="B137" i="1"/>
  <c r="C137" i="1"/>
  <c r="D137" i="1"/>
  <c r="E137" i="1"/>
  <c r="A62" i="1"/>
  <c r="B62" i="1"/>
  <c r="C62" i="1"/>
  <c r="D62" i="1"/>
  <c r="E62" i="1"/>
  <c r="A462" i="1"/>
  <c r="B462" i="1"/>
  <c r="C462" i="1"/>
  <c r="D462" i="1"/>
  <c r="E462" i="1"/>
  <c r="A466" i="1"/>
  <c r="B466" i="1"/>
  <c r="C466" i="1"/>
  <c r="D466" i="1"/>
  <c r="E466" i="1"/>
  <c r="A484" i="1"/>
  <c r="B484" i="1"/>
  <c r="C484" i="1"/>
  <c r="D484" i="1"/>
  <c r="E484" i="1"/>
  <c r="A388" i="1"/>
  <c r="B388" i="1"/>
  <c r="C388" i="1"/>
  <c r="D388" i="1"/>
  <c r="E388" i="1"/>
  <c r="A389" i="1"/>
  <c r="B389" i="1"/>
  <c r="C389" i="1"/>
  <c r="D389" i="1"/>
  <c r="E389" i="1"/>
  <c r="A437" i="1"/>
  <c r="B437" i="1"/>
  <c r="C437" i="1"/>
  <c r="D437" i="1"/>
  <c r="E437" i="1"/>
  <c r="A134" i="1"/>
  <c r="B134" i="1"/>
  <c r="C134" i="1"/>
  <c r="D134" i="1"/>
  <c r="E134" i="1"/>
  <c r="A111" i="1"/>
  <c r="B111" i="1"/>
  <c r="C111" i="1"/>
  <c r="D111" i="1"/>
  <c r="E111" i="1"/>
  <c r="A155" i="1"/>
  <c r="B155" i="1"/>
  <c r="C155" i="1"/>
  <c r="D155" i="1"/>
  <c r="E155" i="1"/>
  <c r="A127" i="1"/>
  <c r="B127" i="1"/>
  <c r="C127" i="1"/>
  <c r="D127" i="1"/>
  <c r="E127" i="1"/>
  <c r="A701" i="1"/>
  <c r="B701" i="1"/>
  <c r="C701" i="1"/>
  <c r="D701" i="1"/>
  <c r="E701" i="1"/>
  <c r="A706" i="1"/>
  <c r="B706" i="1"/>
  <c r="C706" i="1"/>
  <c r="D706" i="1"/>
  <c r="E706" i="1"/>
  <c r="A731" i="1"/>
  <c r="B731" i="1"/>
  <c r="C731" i="1"/>
  <c r="D731" i="1"/>
  <c r="E731" i="1"/>
  <c r="A795" i="1"/>
  <c r="B795" i="1"/>
  <c r="C795" i="1"/>
  <c r="D795" i="1"/>
  <c r="E795" i="1"/>
  <c r="A777" i="1"/>
  <c r="B777" i="1"/>
  <c r="C777" i="1"/>
  <c r="D777" i="1"/>
  <c r="E777" i="1"/>
  <c r="A564" i="1"/>
  <c r="B564" i="1"/>
  <c r="C564" i="1"/>
  <c r="D564" i="1"/>
  <c r="E564" i="1"/>
  <c r="A565" i="1"/>
  <c r="B565" i="1"/>
  <c r="C565" i="1"/>
  <c r="D565" i="1"/>
  <c r="E565" i="1"/>
  <c r="A566" i="1"/>
  <c r="B566" i="1"/>
  <c r="C566" i="1"/>
  <c r="D566" i="1"/>
  <c r="E566" i="1"/>
  <c r="A533" i="1"/>
  <c r="B533" i="1"/>
  <c r="C533" i="1"/>
  <c r="D533" i="1"/>
  <c r="E533" i="1"/>
  <c r="A606" i="1"/>
  <c r="B606" i="1"/>
  <c r="C606" i="1"/>
  <c r="D606" i="1"/>
  <c r="E606" i="1"/>
  <c r="A527" i="1"/>
  <c r="B527" i="1"/>
  <c r="C527" i="1"/>
  <c r="D527" i="1"/>
  <c r="E527" i="1"/>
  <c r="A475" i="1"/>
  <c r="B475" i="1"/>
  <c r="C475" i="1"/>
  <c r="D475" i="1"/>
  <c r="E475" i="1"/>
  <c r="A480" i="1"/>
  <c r="B480" i="1"/>
  <c r="C480" i="1"/>
  <c r="D480" i="1"/>
  <c r="E480" i="1"/>
  <c r="A468" i="1"/>
  <c r="B468" i="1"/>
  <c r="C468" i="1"/>
  <c r="D468" i="1"/>
  <c r="E468" i="1"/>
  <c r="A456" i="1"/>
  <c r="B456" i="1"/>
  <c r="C456" i="1"/>
  <c r="D456" i="1"/>
  <c r="E456" i="1"/>
  <c r="A66" i="1"/>
  <c r="B66" i="1"/>
  <c r="C66" i="1"/>
  <c r="D66" i="1"/>
  <c r="E66" i="1"/>
  <c r="A131" i="1"/>
  <c r="B131" i="1"/>
  <c r="C131" i="1"/>
  <c r="D131" i="1"/>
  <c r="E131" i="1"/>
  <c r="A671" i="1"/>
  <c r="B671" i="1"/>
  <c r="C671" i="1"/>
  <c r="D671" i="1"/>
  <c r="E671" i="1"/>
  <c r="A693" i="1"/>
  <c r="B693" i="1"/>
  <c r="C693" i="1"/>
  <c r="D693" i="1"/>
  <c r="E693" i="1"/>
  <c r="A692" i="1"/>
  <c r="B692" i="1"/>
  <c r="C692" i="1"/>
  <c r="D692" i="1"/>
  <c r="E692" i="1"/>
  <c r="A866" i="1"/>
  <c r="B866" i="1"/>
  <c r="C866" i="1"/>
  <c r="D866" i="1"/>
  <c r="E866" i="1"/>
  <c r="A621" i="1"/>
  <c r="B621" i="1"/>
  <c r="C621" i="1"/>
  <c r="D621" i="1"/>
  <c r="E621" i="1"/>
  <c r="A647" i="1"/>
  <c r="B647" i="1"/>
  <c r="C647" i="1"/>
  <c r="D647" i="1"/>
  <c r="E647" i="1"/>
  <c r="A329" i="1"/>
  <c r="B329" i="1"/>
  <c r="C329" i="1"/>
  <c r="D329" i="1"/>
  <c r="E329" i="1"/>
  <c r="A327" i="1"/>
  <c r="B327" i="1"/>
  <c r="C327" i="1"/>
  <c r="D327" i="1"/>
  <c r="E327" i="1"/>
  <c r="A430" i="1"/>
  <c r="B430" i="1"/>
  <c r="C430" i="1"/>
  <c r="D430" i="1"/>
  <c r="E430" i="1"/>
  <c r="A428" i="1"/>
  <c r="B428" i="1"/>
  <c r="C428" i="1"/>
  <c r="D428" i="1"/>
  <c r="E428" i="1"/>
  <c r="A419" i="1"/>
  <c r="B419" i="1"/>
  <c r="C419" i="1"/>
  <c r="D419" i="1"/>
  <c r="E419" i="1"/>
  <c r="A390" i="1"/>
  <c r="B390" i="1"/>
  <c r="C390" i="1"/>
  <c r="D390" i="1"/>
  <c r="E390" i="1"/>
  <c r="A386" i="1"/>
  <c r="B386" i="1"/>
  <c r="C386" i="1"/>
  <c r="D386" i="1"/>
  <c r="E386" i="1"/>
  <c r="A213" i="1"/>
  <c r="B213" i="1"/>
  <c r="C213" i="1"/>
  <c r="D213" i="1"/>
  <c r="E213" i="1"/>
  <c r="A216" i="1"/>
  <c r="B216" i="1"/>
  <c r="C216" i="1"/>
  <c r="D216" i="1"/>
  <c r="E216" i="1"/>
  <c r="A217" i="1"/>
  <c r="B217" i="1"/>
  <c r="C217" i="1"/>
  <c r="D217" i="1"/>
  <c r="E217" i="1"/>
  <c r="A234" i="1"/>
  <c r="B234" i="1"/>
  <c r="C234" i="1"/>
  <c r="D234" i="1"/>
  <c r="E234" i="1"/>
  <c r="A251" i="1"/>
  <c r="B251" i="1"/>
  <c r="C251" i="1"/>
  <c r="D251" i="1"/>
  <c r="E251" i="1"/>
  <c r="A290" i="1"/>
  <c r="B290" i="1"/>
  <c r="C290" i="1"/>
  <c r="D290" i="1"/>
  <c r="E290" i="1"/>
  <c r="A248" i="1"/>
  <c r="B248" i="1"/>
  <c r="C248" i="1"/>
  <c r="D248" i="1"/>
  <c r="E248" i="1"/>
  <c r="A946" i="1"/>
  <c r="B946" i="1"/>
  <c r="C946" i="1"/>
  <c r="D946" i="1"/>
  <c r="E946" i="1"/>
  <c r="A956" i="1"/>
  <c r="B956" i="1"/>
  <c r="C956" i="1"/>
  <c r="D956" i="1"/>
  <c r="E956" i="1"/>
  <c r="A869" i="1"/>
  <c r="B869" i="1"/>
  <c r="C869" i="1"/>
  <c r="D869" i="1"/>
  <c r="E869" i="1"/>
  <c r="A446" i="1"/>
  <c r="B446" i="1"/>
  <c r="C446" i="1"/>
  <c r="D446" i="1"/>
  <c r="E446" i="1"/>
  <c r="A286" i="1"/>
  <c r="B286" i="1"/>
  <c r="C286" i="1"/>
  <c r="D286" i="1"/>
  <c r="E286" i="1"/>
  <c r="A335" i="1"/>
  <c r="B335" i="1"/>
  <c r="C335" i="1"/>
  <c r="D335" i="1"/>
  <c r="E335" i="1"/>
  <c r="A332" i="1"/>
  <c r="B332" i="1"/>
  <c r="C332" i="1"/>
  <c r="D332" i="1"/>
  <c r="E332" i="1"/>
  <c r="A573" i="1"/>
  <c r="B573" i="1"/>
  <c r="C573" i="1"/>
  <c r="D573" i="1"/>
  <c r="E573" i="1"/>
  <c r="A579" i="1"/>
  <c r="B579" i="1"/>
  <c r="C579" i="1"/>
  <c r="D579" i="1"/>
  <c r="E579" i="1"/>
  <c r="A56" i="1"/>
  <c r="B56" i="1"/>
  <c r="C56" i="1"/>
  <c r="D56" i="1"/>
  <c r="E56" i="1"/>
  <c r="A79" i="1"/>
  <c r="B79" i="1"/>
  <c r="C79" i="1"/>
  <c r="D79" i="1"/>
  <c r="E79" i="1"/>
  <c r="A114" i="1"/>
  <c r="B114" i="1"/>
  <c r="C114" i="1"/>
  <c r="D114" i="1"/>
  <c r="E114" i="1"/>
  <c r="A214" i="1"/>
  <c r="B214" i="1"/>
  <c r="C214" i="1"/>
  <c r="D214" i="1"/>
  <c r="E214" i="1"/>
  <c r="A877" i="1"/>
  <c r="B877" i="1"/>
  <c r="C877" i="1"/>
  <c r="D877" i="1"/>
  <c r="E877" i="1"/>
  <c r="A1078" i="1"/>
  <c r="B1078" i="1"/>
  <c r="C1078" i="1"/>
  <c r="D1078" i="1"/>
  <c r="E1078" i="1"/>
  <c r="A947" i="1"/>
  <c r="B947" i="1"/>
  <c r="C947" i="1"/>
  <c r="D947" i="1"/>
  <c r="E947" i="1"/>
  <c r="A951" i="1"/>
  <c r="B951" i="1"/>
  <c r="C951" i="1"/>
  <c r="D951" i="1"/>
  <c r="E951" i="1"/>
  <c r="A238" i="1"/>
  <c r="B238" i="1"/>
  <c r="C238" i="1"/>
  <c r="D238" i="1"/>
  <c r="E238" i="1"/>
  <c r="A146" i="1"/>
  <c r="B146" i="1"/>
  <c r="C146" i="1"/>
  <c r="D146" i="1"/>
  <c r="E146" i="1"/>
  <c r="A63" i="1"/>
  <c r="B63" i="1"/>
  <c r="C63" i="1"/>
  <c r="D63" i="1"/>
  <c r="E63" i="1"/>
  <c r="A531" i="1"/>
  <c r="B531" i="1"/>
  <c r="C531" i="1"/>
  <c r="D531" i="1"/>
  <c r="E531" i="1"/>
  <c r="A542" i="1"/>
  <c r="B542" i="1"/>
  <c r="C542" i="1"/>
  <c r="D542" i="1"/>
  <c r="E542" i="1"/>
  <c r="A477" i="1"/>
  <c r="B477" i="1"/>
  <c r="C477" i="1"/>
  <c r="D477" i="1"/>
  <c r="E477" i="1"/>
  <c r="A280" i="1"/>
  <c r="B280" i="1"/>
  <c r="C280" i="1"/>
  <c r="D280" i="1"/>
  <c r="E280" i="1"/>
  <c r="A254" i="1"/>
  <c r="B254" i="1"/>
  <c r="C254" i="1"/>
  <c r="D254" i="1"/>
  <c r="E254" i="1"/>
  <c r="A267" i="1"/>
  <c r="B267" i="1"/>
  <c r="C267" i="1"/>
  <c r="D267" i="1"/>
  <c r="E267" i="1"/>
  <c r="A292" i="1"/>
  <c r="B292" i="1"/>
  <c r="C292" i="1"/>
  <c r="D292" i="1"/>
  <c r="E292" i="1"/>
  <c r="A117" i="1"/>
  <c r="B117" i="1"/>
  <c r="C117" i="1"/>
  <c r="D117" i="1"/>
  <c r="E117" i="1"/>
  <c r="A171" i="1"/>
  <c r="B171" i="1"/>
  <c r="C171" i="1"/>
  <c r="D171" i="1"/>
  <c r="E171" i="1"/>
  <c r="A237" i="1"/>
  <c r="B237" i="1"/>
  <c r="C237" i="1"/>
  <c r="D237" i="1"/>
  <c r="E237" i="1"/>
  <c r="A809" i="1"/>
  <c r="B809" i="1"/>
  <c r="C809" i="1"/>
  <c r="D809" i="1"/>
  <c r="E809" i="1"/>
  <c r="A815" i="1"/>
  <c r="B815" i="1"/>
  <c r="C815" i="1"/>
  <c r="D815" i="1"/>
  <c r="E815" i="1"/>
  <c r="A802" i="1"/>
  <c r="B802" i="1"/>
  <c r="C802" i="1"/>
  <c r="D802" i="1"/>
  <c r="E802" i="1"/>
  <c r="A91" i="1"/>
  <c r="B91" i="1"/>
  <c r="C91" i="1"/>
  <c r="D91" i="1"/>
  <c r="E91" i="1"/>
  <c r="A92" i="1"/>
  <c r="B92" i="1"/>
  <c r="C92" i="1"/>
  <c r="D92" i="1"/>
  <c r="E92" i="1"/>
  <c r="A61" i="1"/>
  <c r="B61" i="1"/>
  <c r="C61" i="1"/>
  <c r="D61" i="1"/>
  <c r="E61" i="1"/>
  <c r="A74" i="1"/>
  <c r="B74" i="1"/>
  <c r="C74" i="1"/>
  <c r="D74" i="1"/>
  <c r="E74" i="1"/>
  <c r="A30" i="1"/>
  <c r="B30" i="1"/>
  <c r="C30" i="1"/>
  <c r="D30" i="1"/>
  <c r="E30" i="1"/>
  <c r="A253" i="1"/>
  <c r="B253" i="1"/>
  <c r="C253" i="1"/>
  <c r="D253" i="1"/>
  <c r="E253" i="1"/>
  <c r="A291" i="1"/>
  <c r="B291" i="1"/>
  <c r="C291" i="1"/>
  <c r="D291" i="1"/>
  <c r="E291" i="1"/>
  <c r="A266" i="1"/>
  <c r="B266" i="1"/>
  <c r="C266" i="1"/>
  <c r="D266" i="1"/>
  <c r="E266" i="1"/>
  <c r="A249" i="1"/>
  <c r="B249" i="1"/>
  <c r="C249" i="1"/>
  <c r="D249" i="1"/>
  <c r="E249" i="1"/>
  <c r="A257" i="1"/>
  <c r="B257" i="1"/>
  <c r="C257" i="1"/>
  <c r="D257" i="1"/>
  <c r="E257" i="1"/>
  <c r="A528" i="1"/>
  <c r="B528" i="1"/>
  <c r="C528" i="1"/>
  <c r="D528" i="1"/>
  <c r="E528" i="1"/>
  <c r="A570" i="1"/>
  <c r="B570" i="1"/>
  <c r="C570" i="1"/>
  <c r="D570" i="1"/>
  <c r="E570" i="1"/>
  <c r="A591" i="1"/>
  <c r="B591" i="1"/>
  <c r="C591" i="1"/>
  <c r="D591" i="1"/>
  <c r="E591" i="1"/>
  <c r="A553" i="1"/>
  <c r="B553" i="1"/>
  <c r="C553" i="1"/>
  <c r="D553" i="1"/>
  <c r="E553" i="1"/>
  <c r="A558" i="1"/>
  <c r="B558" i="1"/>
  <c r="C558" i="1"/>
  <c r="D558" i="1"/>
  <c r="E558" i="1"/>
  <c r="A560" i="1"/>
  <c r="B560" i="1"/>
  <c r="C560" i="1"/>
  <c r="D560" i="1"/>
  <c r="E560" i="1"/>
  <c r="A557" i="1"/>
  <c r="B557" i="1"/>
  <c r="C557" i="1"/>
  <c r="D557" i="1"/>
  <c r="E557" i="1"/>
  <c r="A536" i="1"/>
  <c r="B536" i="1"/>
  <c r="C536" i="1"/>
  <c r="D536" i="1"/>
  <c r="E536" i="1"/>
  <c r="A541" i="1"/>
  <c r="B541" i="1"/>
  <c r="C541" i="1"/>
  <c r="D541" i="1"/>
  <c r="E541" i="1"/>
  <c r="A532" i="1"/>
  <c r="B532" i="1"/>
  <c r="C532" i="1"/>
  <c r="D532" i="1"/>
  <c r="E532" i="1"/>
  <c r="A409" i="1"/>
  <c r="B409" i="1"/>
  <c r="C409" i="1"/>
  <c r="D409" i="1"/>
  <c r="E409" i="1"/>
  <c r="A394" i="1"/>
  <c r="B394" i="1"/>
  <c r="C394" i="1"/>
  <c r="D394" i="1"/>
  <c r="E394" i="1"/>
  <c r="A473" i="1"/>
  <c r="B473" i="1"/>
  <c r="C473" i="1"/>
  <c r="D473" i="1"/>
  <c r="E473" i="1"/>
  <c r="A443" i="1"/>
  <c r="B443" i="1"/>
  <c r="C443" i="1"/>
  <c r="D443" i="1"/>
  <c r="E443" i="1"/>
  <c r="A444" i="1"/>
  <c r="B444" i="1"/>
  <c r="C444" i="1"/>
  <c r="D444" i="1"/>
  <c r="E444" i="1"/>
  <c r="A463" i="1"/>
  <c r="B463" i="1"/>
  <c r="C463" i="1"/>
  <c r="D463" i="1"/>
  <c r="E463" i="1"/>
  <c r="A464" i="1"/>
  <c r="B464" i="1"/>
  <c r="C464" i="1"/>
  <c r="D464" i="1"/>
  <c r="E464" i="1"/>
  <c r="A465" i="1"/>
  <c r="B465" i="1"/>
  <c r="C465" i="1"/>
  <c r="D465" i="1"/>
  <c r="E465" i="1"/>
  <c r="A467" i="1"/>
  <c r="B467" i="1"/>
  <c r="C467" i="1"/>
  <c r="D467" i="1"/>
  <c r="E467" i="1"/>
  <c r="A470" i="1"/>
  <c r="B470" i="1"/>
  <c r="C470" i="1"/>
  <c r="D470" i="1"/>
  <c r="E470" i="1"/>
  <c r="A434" i="1"/>
  <c r="B434" i="1"/>
  <c r="C434" i="1"/>
  <c r="D434" i="1"/>
  <c r="E434" i="1"/>
  <c r="A440" i="1"/>
  <c r="B440" i="1"/>
  <c r="C440" i="1"/>
  <c r="D440" i="1"/>
  <c r="E440" i="1"/>
  <c r="A416" i="1"/>
  <c r="B416" i="1"/>
  <c r="C416" i="1"/>
  <c r="D416" i="1"/>
  <c r="E416" i="1"/>
  <c r="A418" i="1"/>
  <c r="B418" i="1"/>
  <c r="C418" i="1"/>
  <c r="D418" i="1"/>
  <c r="E418" i="1"/>
  <c r="A426" i="1"/>
  <c r="B426" i="1"/>
  <c r="C426" i="1"/>
  <c r="D426" i="1"/>
  <c r="E426" i="1"/>
  <c r="A421" i="1"/>
  <c r="B421" i="1"/>
  <c r="C421" i="1"/>
  <c r="D421" i="1"/>
  <c r="E421" i="1"/>
  <c r="A422" i="1"/>
  <c r="B422" i="1"/>
  <c r="C422" i="1"/>
  <c r="D422" i="1"/>
  <c r="E422" i="1"/>
  <c r="A423" i="1"/>
  <c r="B423" i="1"/>
  <c r="C423" i="1"/>
  <c r="D423" i="1"/>
  <c r="E423" i="1"/>
  <c r="A392" i="1"/>
  <c r="B392" i="1"/>
  <c r="C392" i="1"/>
  <c r="D392" i="1"/>
  <c r="E392" i="1"/>
  <c r="A384" i="1"/>
  <c r="B384" i="1"/>
  <c r="C384" i="1"/>
  <c r="D384" i="1"/>
  <c r="E384" i="1"/>
  <c r="A317" i="1"/>
  <c r="B317" i="1"/>
  <c r="C317" i="1"/>
  <c r="D317" i="1"/>
  <c r="E317" i="1"/>
  <c r="A271" i="1"/>
  <c r="B271" i="1"/>
  <c r="C271" i="1"/>
  <c r="D271" i="1"/>
  <c r="E271" i="1"/>
  <c r="A272" i="1"/>
  <c r="B272" i="1"/>
  <c r="C272" i="1"/>
  <c r="D272" i="1"/>
  <c r="E272" i="1"/>
  <c r="A275" i="1"/>
  <c r="B275" i="1"/>
  <c r="C275" i="1"/>
  <c r="D275" i="1"/>
  <c r="E275" i="1"/>
  <c r="A276" i="1"/>
  <c r="B276" i="1"/>
  <c r="C276" i="1"/>
  <c r="D276" i="1"/>
  <c r="E276" i="1"/>
  <c r="A349" i="1"/>
  <c r="B349" i="1"/>
  <c r="C349" i="1"/>
  <c r="D349" i="1"/>
  <c r="E349" i="1"/>
  <c r="A343" i="1"/>
  <c r="B343" i="1"/>
  <c r="C343" i="1"/>
  <c r="D343" i="1"/>
  <c r="E343" i="1"/>
  <c r="A350" i="1"/>
  <c r="B350" i="1"/>
  <c r="C350" i="1"/>
  <c r="D350" i="1"/>
  <c r="E350" i="1"/>
  <c r="A432" i="1"/>
  <c r="B432" i="1"/>
  <c r="C432" i="1"/>
  <c r="D432" i="1"/>
  <c r="E432" i="1"/>
  <c r="A433" i="1"/>
  <c r="B433" i="1"/>
  <c r="C433" i="1"/>
  <c r="D433" i="1"/>
  <c r="E433" i="1"/>
  <c r="A888" i="1"/>
  <c r="B888" i="1"/>
  <c r="C888" i="1"/>
  <c r="D888" i="1"/>
  <c r="E888" i="1"/>
  <c r="A833" i="1"/>
  <c r="B833" i="1"/>
  <c r="C833" i="1"/>
  <c r="D833" i="1"/>
  <c r="E833" i="1"/>
  <c r="A891" i="1"/>
  <c r="B891" i="1"/>
  <c r="C891" i="1"/>
  <c r="D891" i="1"/>
  <c r="E891" i="1"/>
  <c r="A907" i="1"/>
  <c r="B907" i="1"/>
  <c r="C907" i="1"/>
  <c r="D907" i="1"/>
  <c r="E907" i="1"/>
  <c r="A913" i="1"/>
  <c r="B913" i="1"/>
  <c r="C913" i="1"/>
  <c r="D913" i="1"/>
  <c r="E913" i="1"/>
  <c r="A782" i="1"/>
  <c r="B782" i="1"/>
  <c r="C782" i="1"/>
  <c r="D782" i="1"/>
  <c r="E782" i="1"/>
  <c r="A783" i="1"/>
  <c r="B783" i="1"/>
  <c r="C783" i="1"/>
  <c r="D783" i="1"/>
  <c r="E783" i="1"/>
  <c r="A779" i="1"/>
  <c r="B779" i="1"/>
  <c r="C779" i="1"/>
  <c r="D779" i="1"/>
  <c r="E779" i="1"/>
  <c r="A824" i="1"/>
  <c r="B824" i="1"/>
  <c r="C824" i="1"/>
  <c r="D824" i="1"/>
  <c r="E824" i="1"/>
  <c r="A261" i="1"/>
  <c r="B261" i="1"/>
  <c r="C261" i="1"/>
  <c r="D261" i="1"/>
  <c r="E261" i="1"/>
  <c r="A953" i="1"/>
  <c r="B953" i="1"/>
  <c r="C953" i="1"/>
  <c r="D953" i="1"/>
  <c r="E953" i="1"/>
  <c r="A1092" i="1"/>
  <c r="B1092" i="1"/>
  <c r="C1092" i="1"/>
  <c r="D1092" i="1"/>
  <c r="E1092" i="1"/>
  <c r="A1084" i="1"/>
  <c r="B1084" i="1"/>
  <c r="C1084" i="1"/>
  <c r="D1084" i="1"/>
  <c r="E1084" i="1"/>
  <c r="A1095" i="1"/>
  <c r="B1095" i="1"/>
  <c r="C1095" i="1"/>
  <c r="D1095" i="1"/>
  <c r="E1095" i="1"/>
  <c r="A686" i="1"/>
  <c r="B686" i="1"/>
  <c r="C686" i="1"/>
  <c r="D686" i="1"/>
  <c r="E686" i="1"/>
  <c r="A665" i="1"/>
  <c r="B665" i="1"/>
  <c r="C665" i="1"/>
  <c r="D665" i="1"/>
  <c r="E665" i="1"/>
  <c r="A666" i="1"/>
  <c r="B666" i="1"/>
  <c r="C666" i="1"/>
  <c r="D666" i="1"/>
  <c r="E666" i="1"/>
  <c r="A696" i="1"/>
  <c r="B696" i="1"/>
  <c r="C696" i="1"/>
  <c r="D696" i="1"/>
  <c r="E696" i="1"/>
  <c r="A886" i="1"/>
  <c r="B886" i="1"/>
  <c r="C886" i="1"/>
  <c r="D886" i="1"/>
  <c r="E886" i="1"/>
  <c r="A887" i="1"/>
  <c r="B887" i="1"/>
  <c r="C887" i="1"/>
  <c r="D887" i="1"/>
  <c r="E887" i="1"/>
  <c r="A1115" i="1"/>
  <c r="B1115" i="1"/>
  <c r="C1115" i="1"/>
  <c r="D1115" i="1"/>
  <c r="E1115" i="1"/>
  <c r="A930" i="1"/>
  <c r="B930" i="1"/>
  <c r="C930" i="1"/>
  <c r="D930" i="1"/>
  <c r="E930" i="1"/>
  <c r="A961" i="1"/>
  <c r="B961" i="1"/>
  <c r="C961" i="1"/>
  <c r="D961" i="1"/>
  <c r="E961" i="1"/>
  <c r="A943" i="1"/>
  <c r="B943" i="1"/>
  <c r="C943" i="1"/>
  <c r="D943" i="1"/>
  <c r="E943" i="1"/>
  <c r="A957" i="1"/>
  <c r="B957" i="1"/>
  <c r="C957" i="1"/>
  <c r="D957" i="1"/>
  <c r="E957" i="1"/>
  <c r="A1046" i="1"/>
  <c r="B1046" i="1"/>
  <c r="C1046" i="1"/>
  <c r="D1046" i="1"/>
  <c r="E1046" i="1"/>
  <c r="A1047" i="1"/>
  <c r="B1047" i="1"/>
  <c r="C1047" i="1"/>
  <c r="D1047" i="1"/>
  <c r="E1047" i="1"/>
  <c r="A1049" i="1"/>
  <c r="B1049" i="1"/>
  <c r="C1049" i="1"/>
  <c r="D1049" i="1"/>
  <c r="E1049" i="1"/>
  <c r="A1050" i="1"/>
  <c r="B1050" i="1"/>
  <c r="C1050" i="1"/>
  <c r="D1050" i="1"/>
  <c r="E1050" i="1"/>
  <c r="A1066" i="1"/>
  <c r="B1066" i="1"/>
  <c r="C1066" i="1"/>
  <c r="D1066" i="1"/>
  <c r="E1066" i="1"/>
  <c r="A340" i="1"/>
  <c r="B340" i="1"/>
  <c r="C340" i="1"/>
  <c r="D340" i="1"/>
  <c r="E340" i="1"/>
  <c r="A882" i="1"/>
  <c r="B882" i="1"/>
  <c r="C882" i="1"/>
  <c r="D882" i="1"/>
  <c r="E882" i="1"/>
  <c r="A870" i="1"/>
  <c r="B870" i="1"/>
  <c r="C870" i="1"/>
  <c r="D870" i="1"/>
  <c r="E870" i="1"/>
  <c r="A876" i="1"/>
  <c r="B876" i="1"/>
  <c r="C876" i="1"/>
  <c r="D876" i="1"/>
  <c r="E876" i="1"/>
  <c r="A880" i="1"/>
  <c r="B880" i="1"/>
  <c r="C880" i="1"/>
  <c r="D880" i="1"/>
  <c r="E880" i="1"/>
  <c r="A875" i="1"/>
  <c r="B875" i="1"/>
  <c r="C875" i="1"/>
  <c r="D875" i="1"/>
  <c r="E875" i="1"/>
  <c r="A879" i="1"/>
  <c r="B879" i="1"/>
  <c r="C879" i="1"/>
  <c r="D879" i="1"/>
  <c r="E879" i="1"/>
  <c r="A726" i="1"/>
  <c r="B726" i="1"/>
  <c r="C726" i="1"/>
  <c r="D726" i="1"/>
  <c r="E726" i="1"/>
  <c r="A617" i="1"/>
  <c r="B617" i="1"/>
  <c r="C617" i="1"/>
  <c r="D617" i="1"/>
  <c r="E617" i="1"/>
  <c r="A1091" i="1"/>
  <c r="B1091" i="1"/>
  <c r="C1091" i="1"/>
  <c r="D1091" i="1"/>
  <c r="E1091" i="1"/>
  <c r="A576" i="1"/>
  <c r="B576" i="1"/>
  <c r="C576" i="1"/>
  <c r="D576" i="1"/>
  <c r="E576" i="1"/>
  <c r="A559" i="1"/>
  <c r="B559" i="1"/>
  <c r="C559" i="1"/>
  <c r="D559" i="1"/>
  <c r="E559" i="1"/>
  <c r="A524" i="1"/>
  <c r="B524" i="1"/>
  <c r="C524" i="1"/>
  <c r="D524" i="1"/>
  <c r="E524" i="1"/>
  <c r="A519" i="1"/>
  <c r="B519" i="1"/>
  <c r="C519" i="1"/>
  <c r="D519" i="1"/>
  <c r="E519" i="1"/>
  <c r="A520" i="1"/>
  <c r="B520" i="1"/>
  <c r="C520" i="1"/>
  <c r="D520" i="1"/>
  <c r="E520" i="1"/>
  <c r="A522" i="1"/>
  <c r="B522" i="1"/>
  <c r="C522" i="1"/>
  <c r="D522" i="1"/>
  <c r="E522" i="1"/>
  <c r="A471" i="1"/>
  <c r="B471" i="1"/>
  <c r="C471" i="1"/>
  <c r="D471" i="1"/>
  <c r="E471" i="1"/>
  <c r="A454" i="1"/>
  <c r="B454" i="1"/>
  <c r="C454" i="1"/>
  <c r="D454" i="1"/>
  <c r="E454" i="1"/>
  <c r="A445" i="1"/>
  <c r="B445" i="1"/>
  <c r="C445" i="1"/>
  <c r="D445" i="1"/>
  <c r="E445" i="1"/>
  <c r="A431" i="1"/>
  <c r="B431" i="1"/>
  <c r="C431" i="1"/>
  <c r="D431" i="1"/>
  <c r="E431" i="1"/>
  <c r="A67" i="1"/>
  <c r="B67" i="1"/>
  <c r="C67" i="1"/>
  <c r="D67" i="1"/>
  <c r="E67" i="1"/>
  <c r="A125" i="1"/>
  <c r="B125" i="1"/>
  <c r="C125" i="1"/>
  <c r="D125" i="1"/>
  <c r="E125" i="1"/>
  <c r="A99" i="1"/>
  <c r="B99" i="1"/>
  <c r="C99" i="1"/>
  <c r="D99" i="1"/>
  <c r="E99" i="1"/>
  <c r="A124" i="1"/>
  <c r="B124" i="1"/>
  <c r="C124" i="1"/>
  <c r="D124" i="1"/>
  <c r="E124" i="1"/>
  <c r="A157" i="1"/>
  <c r="B157" i="1"/>
  <c r="C157" i="1"/>
  <c r="D157" i="1"/>
  <c r="E157" i="1"/>
  <c r="A60" i="1"/>
  <c r="B60" i="1"/>
  <c r="C60" i="1"/>
  <c r="D60" i="1"/>
  <c r="E60" i="1"/>
  <c r="A149" i="1"/>
  <c r="B149" i="1"/>
  <c r="C149" i="1"/>
  <c r="D149" i="1"/>
  <c r="E149" i="1"/>
  <c r="A521" i="1"/>
  <c r="B521" i="1"/>
  <c r="C521" i="1"/>
  <c r="D521" i="1"/>
  <c r="E521" i="1"/>
  <c r="A562" i="1"/>
  <c r="B562" i="1"/>
  <c r="C562" i="1"/>
  <c r="D562" i="1"/>
  <c r="E562" i="1"/>
  <c r="A563" i="1"/>
  <c r="B563" i="1"/>
  <c r="C563" i="1"/>
  <c r="D563" i="1"/>
  <c r="E563" i="1"/>
  <c r="A132" i="1"/>
  <c r="B132" i="1"/>
  <c r="C132" i="1"/>
  <c r="D132" i="1"/>
  <c r="E132" i="1"/>
  <c r="A68" i="1"/>
  <c r="B68" i="1"/>
  <c r="C68" i="1"/>
  <c r="D68" i="1"/>
  <c r="E68" i="1"/>
  <c r="A81" i="1"/>
  <c r="B81" i="1"/>
  <c r="C81" i="1"/>
  <c r="D81" i="1"/>
  <c r="E81" i="1"/>
  <c r="A83" i="1"/>
  <c r="B83" i="1"/>
  <c r="C83" i="1"/>
  <c r="D83" i="1"/>
  <c r="E83" i="1"/>
  <c r="A223" i="1"/>
  <c r="B223" i="1"/>
  <c r="C223" i="1"/>
  <c r="D223" i="1"/>
  <c r="E223" i="1"/>
  <c r="A219" i="1"/>
  <c r="B219" i="1"/>
  <c r="C219" i="1"/>
  <c r="D219" i="1"/>
  <c r="E219" i="1"/>
  <c r="A224" i="1"/>
  <c r="B224" i="1"/>
  <c r="C224" i="1"/>
  <c r="D224" i="1"/>
  <c r="E224" i="1"/>
  <c r="A212" i="1"/>
  <c r="B212" i="1"/>
  <c r="C212" i="1"/>
  <c r="D212" i="1"/>
  <c r="E212" i="1"/>
  <c r="A80" i="1"/>
  <c r="B80" i="1"/>
  <c r="C80" i="1"/>
  <c r="D80" i="1"/>
  <c r="E80" i="1"/>
  <c r="A93" i="1"/>
  <c r="B93" i="1"/>
  <c r="C93" i="1"/>
  <c r="D93" i="1"/>
  <c r="E93" i="1"/>
  <c r="A103" i="1"/>
  <c r="B103" i="1"/>
  <c r="C103" i="1"/>
  <c r="D103" i="1"/>
  <c r="E103" i="1"/>
  <c r="A113" i="1"/>
  <c r="B113" i="1"/>
  <c r="C113" i="1"/>
  <c r="D113" i="1"/>
  <c r="E113" i="1"/>
  <c r="A72" i="1"/>
  <c r="B72" i="1"/>
  <c r="C72" i="1"/>
  <c r="D72" i="1"/>
  <c r="E72" i="1"/>
  <c r="A115" i="1"/>
  <c r="B115" i="1"/>
  <c r="C115" i="1"/>
  <c r="D115" i="1"/>
  <c r="E115" i="1"/>
  <c r="A65" i="1"/>
  <c r="B65" i="1"/>
  <c r="C65" i="1"/>
  <c r="D65" i="1"/>
  <c r="E65" i="1"/>
  <c r="A281" i="1"/>
  <c r="B281" i="1"/>
  <c r="C281" i="1"/>
  <c r="D281" i="1"/>
  <c r="E281" i="1"/>
  <c r="A273" i="1"/>
  <c r="B273" i="1"/>
  <c r="C273" i="1"/>
  <c r="D273" i="1"/>
  <c r="E273" i="1"/>
  <c r="A303" i="1"/>
  <c r="B303" i="1"/>
  <c r="C303" i="1"/>
  <c r="D303" i="1"/>
  <c r="E303" i="1"/>
  <c r="A302" i="1"/>
  <c r="B302" i="1"/>
  <c r="C302" i="1"/>
  <c r="D302" i="1"/>
  <c r="E302" i="1"/>
  <c r="A239" i="1"/>
  <c r="B239" i="1"/>
  <c r="C239" i="1"/>
  <c r="D239" i="1"/>
  <c r="E239" i="1"/>
  <c r="A526" i="1"/>
  <c r="B526" i="1"/>
  <c r="C526" i="1"/>
  <c r="D526" i="1"/>
  <c r="E526" i="1"/>
  <c r="A578" i="1"/>
  <c r="B578" i="1"/>
  <c r="C578" i="1"/>
  <c r="D578" i="1"/>
  <c r="E578" i="1"/>
  <c r="A554" i="1"/>
  <c r="B554" i="1"/>
  <c r="C554" i="1"/>
  <c r="D554" i="1"/>
  <c r="E554" i="1"/>
  <c r="A555" i="1"/>
  <c r="B555" i="1"/>
  <c r="C555" i="1"/>
  <c r="D555" i="1"/>
  <c r="E555" i="1"/>
  <c r="A556" i="1"/>
  <c r="B556" i="1"/>
  <c r="C556" i="1"/>
  <c r="D556" i="1"/>
  <c r="E556" i="1"/>
  <c r="A539" i="1"/>
  <c r="B539" i="1"/>
  <c r="C539" i="1"/>
  <c r="D539" i="1"/>
  <c r="E539" i="1"/>
  <c r="A537" i="1"/>
  <c r="B537" i="1"/>
  <c r="C537" i="1"/>
  <c r="D537" i="1"/>
  <c r="E537" i="1"/>
  <c r="A133" i="1"/>
  <c r="B133" i="1"/>
  <c r="C133" i="1"/>
  <c r="D133" i="1"/>
  <c r="E133" i="1"/>
  <c r="A101" i="1"/>
  <c r="B101" i="1"/>
  <c r="C101" i="1"/>
  <c r="D101" i="1"/>
  <c r="E101" i="1"/>
  <c r="A143" i="1"/>
  <c r="B143" i="1"/>
  <c r="C143" i="1"/>
  <c r="D143" i="1"/>
  <c r="E143" i="1"/>
  <c r="A397" i="1"/>
  <c r="B397" i="1"/>
  <c r="C397" i="1"/>
  <c r="D397" i="1"/>
  <c r="E397" i="1"/>
  <c r="A408" i="1"/>
  <c r="B408" i="1"/>
  <c r="C408" i="1"/>
  <c r="D408" i="1"/>
  <c r="E408" i="1"/>
  <c r="A455" i="1"/>
  <c r="B455" i="1"/>
  <c r="C455" i="1"/>
  <c r="D455" i="1"/>
  <c r="E455" i="1"/>
  <c r="A442" i="1"/>
  <c r="B442" i="1"/>
  <c r="C442" i="1"/>
  <c r="D442" i="1"/>
  <c r="E442" i="1"/>
  <c r="A487" i="1"/>
  <c r="B487" i="1"/>
  <c r="C487" i="1"/>
  <c r="D487" i="1"/>
  <c r="E487" i="1"/>
  <c r="A485" i="1"/>
  <c r="B485" i="1"/>
  <c r="C485" i="1"/>
  <c r="D485" i="1"/>
  <c r="E485" i="1"/>
  <c r="A482" i="1"/>
  <c r="B482" i="1"/>
  <c r="C482" i="1"/>
  <c r="D482" i="1"/>
  <c r="E482" i="1"/>
  <c r="A476" i="1"/>
  <c r="B476" i="1"/>
  <c r="C476" i="1"/>
  <c r="D476" i="1"/>
  <c r="E476" i="1"/>
  <c r="A474" i="1"/>
  <c r="B474" i="1"/>
  <c r="C474" i="1"/>
  <c r="D474" i="1"/>
  <c r="E474" i="1"/>
  <c r="A523" i="1"/>
  <c r="B523" i="1"/>
  <c r="C523" i="1"/>
  <c r="D523" i="1"/>
  <c r="E523" i="1"/>
  <c r="A319" i="1"/>
  <c r="B319" i="1"/>
  <c r="C319" i="1"/>
  <c r="D319" i="1"/>
  <c r="E319" i="1"/>
  <c r="A337" i="1"/>
  <c r="B337" i="1"/>
  <c r="C337" i="1"/>
  <c r="D337" i="1"/>
  <c r="E337" i="1"/>
  <c r="A345" i="1"/>
  <c r="B345" i="1"/>
  <c r="C345" i="1"/>
  <c r="D345" i="1"/>
  <c r="E345" i="1"/>
  <c r="A413" i="1"/>
  <c r="B413" i="1"/>
  <c r="C413" i="1"/>
  <c r="D413" i="1"/>
  <c r="E413" i="1"/>
  <c r="A427" i="1"/>
  <c r="B427" i="1"/>
  <c r="C427" i="1"/>
  <c r="D427" i="1"/>
  <c r="E427" i="1"/>
  <c r="A411" i="1"/>
  <c r="B411" i="1"/>
  <c r="C411" i="1"/>
  <c r="D411" i="1"/>
  <c r="E411" i="1"/>
  <c r="A429" i="1"/>
  <c r="B429" i="1"/>
  <c r="C429" i="1"/>
  <c r="D429" i="1"/>
  <c r="E429" i="1"/>
  <c r="A436" i="1"/>
  <c r="B436" i="1"/>
  <c r="C436" i="1"/>
  <c r="D436" i="1"/>
  <c r="E436" i="1"/>
  <c r="A438" i="1"/>
  <c r="B438" i="1"/>
  <c r="C438" i="1"/>
  <c r="D438" i="1"/>
  <c r="E438" i="1"/>
  <c r="A396" i="1"/>
  <c r="B396" i="1"/>
  <c r="C396" i="1"/>
  <c r="D396" i="1"/>
  <c r="E396" i="1"/>
  <c r="A900" i="1"/>
  <c r="B900" i="1"/>
  <c r="C900" i="1"/>
  <c r="D900" i="1"/>
  <c r="E900" i="1"/>
  <c r="A791" i="1"/>
  <c r="B791" i="1"/>
  <c r="C791" i="1"/>
  <c r="D791" i="1"/>
  <c r="E791" i="1"/>
  <c r="A789" i="1"/>
  <c r="B789" i="1"/>
  <c r="C789" i="1"/>
  <c r="D789" i="1"/>
  <c r="E789" i="1"/>
  <c r="A794" i="1"/>
  <c r="B794" i="1"/>
  <c r="C794" i="1"/>
  <c r="D794" i="1"/>
  <c r="E794" i="1"/>
  <c r="A778" i="1"/>
  <c r="B778" i="1"/>
  <c r="C778" i="1"/>
  <c r="D778" i="1"/>
  <c r="E778" i="1"/>
  <c r="A780" i="1"/>
  <c r="B780" i="1"/>
  <c r="C780" i="1"/>
  <c r="D780" i="1"/>
  <c r="E780" i="1"/>
  <c r="A293" i="1"/>
  <c r="B293" i="1"/>
  <c r="C293" i="1"/>
  <c r="D293" i="1"/>
  <c r="E293" i="1"/>
  <c r="A318" i="1"/>
  <c r="B318" i="1"/>
  <c r="C318" i="1"/>
  <c r="D318" i="1"/>
  <c r="E318" i="1"/>
  <c r="A288" i="1"/>
  <c r="B288" i="1"/>
  <c r="C288" i="1"/>
  <c r="D288" i="1"/>
  <c r="E288" i="1"/>
  <c r="A320" i="1"/>
  <c r="B320" i="1"/>
  <c r="C320" i="1"/>
  <c r="D320" i="1"/>
  <c r="E320" i="1"/>
  <c r="A679" i="1"/>
  <c r="B679" i="1"/>
  <c r="C679" i="1"/>
  <c r="D679" i="1"/>
  <c r="E679" i="1"/>
  <c r="A681" i="1"/>
  <c r="B681" i="1"/>
  <c r="C681" i="1"/>
  <c r="D681" i="1"/>
  <c r="E681" i="1"/>
  <c r="A699" i="1"/>
  <c r="B699" i="1"/>
  <c r="C699" i="1"/>
  <c r="D699" i="1"/>
  <c r="E699" i="1"/>
  <c r="A700" i="1"/>
  <c r="B700" i="1"/>
  <c r="C700" i="1"/>
  <c r="D700" i="1"/>
  <c r="E700" i="1"/>
  <c r="A690" i="1"/>
  <c r="B690" i="1"/>
  <c r="C690" i="1"/>
  <c r="D690" i="1"/>
  <c r="E690" i="1"/>
  <c r="A691" i="1"/>
  <c r="B691" i="1"/>
  <c r="C691" i="1"/>
  <c r="D691" i="1"/>
  <c r="E691" i="1"/>
  <c r="A683" i="1"/>
  <c r="B683" i="1"/>
  <c r="C683" i="1"/>
  <c r="D683" i="1"/>
  <c r="E683" i="1"/>
  <c r="A684" i="1"/>
  <c r="B684" i="1"/>
  <c r="C684" i="1"/>
  <c r="D684" i="1"/>
  <c r="E684" i="1"/>
  <c r="A708" i="1"/>
  <c r="B708" i="1"/>
  <c r="C708" i="1"/>
  <c r="D708" i="1"/>
  <c r="E708" i="1"/>
  <c r="A709" i="1"/>
  <c r="B709" i="1"/>
  <c r="C709" i="1"/>
  <c r="D709" i="1"/>
  <c r="E709" i="1"/>
  <c r="A949" i="1"/>
  <c r="B949" i="1"/>
  <c r="C949" i="1"/>
  <c r="D949" i="1"/>
  <c r="E949" i="1"/>
  <c r="A948" i="1"/>
  <c r="B948" i="1"/>
  <c r="C948" i="1"/>
  <c r="D948" i="1"/>
  <c r="E948" i="1"/>
  <c r="A945" i="1"/>
  <c r="B945" i="1"/>
  <c r="C945" i="1"/>
  <c r="D945" i="1"/>
  <c r="E945" i="1"/>
  <c r="A914" i="1"/>
  <c r="B914" i="1"/>
  <c r="C914" i="1"/>
  <c r="D914" i="1"/>
  <c r="E914" i="1"/>
  <c r="A1119" i="1"/>
  <c r="B1119" i="1"/>
  <c r="C1119" i="1"/>
  <c r="D1119" i="1"/>
  <c r="E1119" i="1"/>
  <c r="A1106" i="1"/>
  <c r="B1106" i="1"/>
  <c r="C1106" i="1"/>
  <c r="D1106" i="1"/>
  <c r="E1106" i="1"/>
  <c r="A1117" i="1"/>
  <c r="B1117" i="1"/>
  <c r="C1117" i="1"/>
  <c r="D1117" i="1"/>
  <c r="E1117" i="1"/>
  <c r="A1097" i="1"/>
  <c r="B1097" i="1"/>
  <c r="C1097" i="1"/>
  <c r="D1097" i="1"/>
  <c r="E1097" i="1"/>
  <c r="A670" i="1"/>
  <c r="B670" i="1"/>
  <c r="C670" i="1"/>
  <c r="D670" i="1"/>
  <c r="E670" i="1"/>
  <c r="A677" i="1"/>
  <c r="B677" i="1"/>
  <c r="C677" i="1"/>
  <c r="D677" i="1"/>
  <c r="E677" i="1"/>
  <c r="A1142" i="1"/>
  <c r="B1142" i="1"/>
  <c r="C1142" i="1"/>
  <c r="D1142" i="1"/>
  <c r="E1142" i="1"/>
  <c r="A1143" i="1"/>
  <c r="B1143" i="1"/>
  <c r="C1143" i="1"/>
  <c r="D1143" i="1"/>
  <c r="E1143" i="1"/>
  <c r="A1144" i="1"/>
  <c r="B1144" i="1"/>
  <c r="C1144" i="1"/>
  <c r="D1144" i="1"/>
  <c r="E1144" i="1"/>
  <c r="A1145" i="1"/>
  <c r="B1145" i="1"/>
  <c r="C1145" i="1"/>
  <c r="D1145" i="1"/>
  <c r="E1145" i="1"/>
  <c r="A954" i="1"/>
  <c r="B954" i="1"/>
  <c r="C954" i="1"/>
  <c r="D954" i="1"/>
  <c r="E954" i="1"/>
  <c r="A1058" i="1"/>
  <c r="B1058" i="1"/>
  <c r="C1058" i="1"/>
  <c r="D1058" i="1"/>
  <c r="E1058" i="1"/>
  <c r="A1056" i="1"/>
  <c r="B1056" i="1"/>
  <c r="C1056" i="1"/>
  <c r="D1056" i="1"/>
  <c r="E1056" i="1"/>
  <c r="A1061" i="1"/>
  <c r="B1061" i="1"/>
  <c r="C1061" i="1"/>
  <c r="D1061" i="1"/>
  <c r="E1061" i="1"/>
  <c r="A1048" i="1"/>
  <c r="B1048" i="1"/>
  <c r="C1048" i="1"/>
  <c r="D1048" i="1"/>
  <c r="E1048" i="1"/>
  <c r="A1054" i="1"/>
  <c r="B1054" i="1"/>
  <c r="C1054" i="1"/>
  <c r="D1054" i="1"/>
  <c r="E1054" i="1"/>
  <c r="A1108" i="1"/>
  <c r="B1108" i="1"/>
  <c r="C1108" i="1"/>
  <c r="D1108" i="1"/>
  <c r="E1108" i="1"/>
  <c r="A1109" i="1"/>
  <c r="B1109" i="1"/>
  <c r="C1109" i="1"/>
  <c r="D1109" i="1"/>
  <c r="E1109" i="1"/>
  <c r="A1113" i="1"/>
  <c r="B1113" i="1"/>
  <c r="C1113" i="1"/>
  <c r="D1113" i="1"/>
  <c r="E1113" i="1"/>
  <c r="A1114" i="1"/>
  <c r="B1114" i="1"/>
  <c r="C1114" i="1"/>
  <c r="D1114" i="1"/>
  <c r="E1114" i="1"/>
  <c r="A1118" i="1"/>
  <c r="B1118" i="1"/>
  <c r="C1118" i="1"/>
  <c r="D1118" i="1"/>
  <c r="E1118" i="1"/>
  <c r="A1137" i="1"/>
  <c r="B1137" i="1"/>
  <c r="C1137" i="1"/>
  <c r="D1137" i="1"/>
  <c r="E1137" i="1"/>
  <c r="A1138" i="1"/>
  <c r="B1138" i="1"/>
  <c r="C1138" i="1"/>
  <c r="D1138" i="1"/>
  <c r="E1138" i="1"/>
  <c r="A1139" i="1"/>
  <c r="B1139" i="1"/>
  <c r="C1139" i="1"/>
  <c r="D1139" i="1"/>
  <c r="E1139" i="1"/>
  <c r="A1140" i="1"/>
  <c r="B1140" i="1"/>
  <c r="C1140" i="1"/>
  <c r="D1140" i="1"/>
  <c r="E1140" i="1"/>
  <c r="A1141" i="1"/>
  <c r="B1141" i="1"/>
  <c r="C1141" i="1"/>
  <c r="D1141" i="1"/>
  <c r="E1141" i="1"/>
  <c r="A672" i="1"/>
  <c r="B672" i="1"/>
  <c r="C672" i="1"/>
  <c r="D672" i="1"/>
  <c r="E672" i="1"/>
  <c r="A1085" i="1"/>
  <c r="B1085" i="1"/>
  <c r="C1085" i="1"/>
  <c r="D1085" i="1"/>
  <c r="E1085" i="1"/>
  <c r="A1093" i="1"/>
  <c r="B1093" i="1"/>
  <c r="C1093" i="1"/>
  <c r="D1093" i="1"/>
  <c r="E1093" i="1"/>
  <c r="A1083" i="1"/>
  <c r="B1083" i="1"/>
  <c r="C1083" i="1"/>
  <c r="D1083" i="1"/>
  <c r="E1083" i="1"/>
  <c r="A1080" i="1"/>
  <c r="B1080" i="1"/>
  <c r="C1080" i="1"/>
  <c r="D1080" i="1"/>
  <c r="E1080" i="1"/>
  <c r="A1081" i="1"/>
  <c r="B1081" i="1"/>
  <c r="C1081" i="1"/>
  <c r="D1081" i="1"/>
  <c r="E1081" i="1"/>
  <c r="A1075" i="1"/>
  <c r="B1075" i="1"/>
  <c r="C1075" i="1"/>
  <c r="D1075" i="1"/>
  <c r="E1075" i="1"/>
  <c r="A1076" i="1"/>
  <c r="B1076" i="1"/>
  <c r="C1076" i="1"/>
  <c r="D1076" i="1"/>
  <c r="E1076" i="1"/>
  <c r="A1111" i="1"/>
  <c r="B1111" i="1"/>
  <c r="C1111" i="1"/>
  <c r="D1111" i="1"/>
  <c r="E1111" i="1"/>
  <c r="A1107" i="1"/>
  <c r="B1107" i="1"/>
  <c r="C1107" i="1"/>
  <c r="D1107" i="1"/>
  <c r="E1107" i="1"/>
  <c r="A144" i="1"/>
  <c r="B144" i="1"/>
  <c r="C144" i="1"/>
  <c r="D144" i="1"/>
  <c r="E144" i="1"/>
  <c r="A574" i="1"/>
  <c r="B574" i="1"/>
  <c r="C574" i="1"/>
  <c r="D574" i="1"/>
  <c r="E574" i="1"/>
  <c r="A488" i="1"/>
  <c r="B488" i="1"/>
  <c r="C488" i="1"/>
  <c r="D488" i="1"/>
  <c r="E488" i="1"/>
  <c r="A458" i="1"/>
  <c r="B458" i="1"/>
  <c r="C458" i="1"/>
  <c r="D458" i="1"/>
  <c r="E458" i="1"/>
  <c r="A287" i="1"/>
  <c r="B287" i="1"/>
  <c r="C287" i="1"/>
  <c r="D287" i="1"/>
  <c r="E287" i="1"/>
  <c r="A878" i="1"/>
  <c r="B878" i="1"/>
  <c r="C878" i="1"/>
  <c r="D878" i="1"/>
  <c r="E878" i="1"/>
  <c r="A881" i="1"/>
  <c r="B881" i="1"/>
  <c r="C881" i="1"/>
  <c r="D881" i="1"/>
  <c r="E881" i="1"/>
  <c r="A868" i="1"/>
  <c r="B868" i="1"/>
  <c r="C868" i="1"/>
  <c r="D868" i="1"/>
  <c r="E868" i="1"/>
  <c r="A890" i="1"/>
  <c r="B890" i="1"/>
  <c r="C890" i="1"/>
  <c r="D890" i="1"/>
  <c r="E890" i="1"/>
  <c r="A908" i="1"/>
  <c r="B908" i="1"/>
  <c r="C908" i="1"/>
  <c r="D908" i="1"/>
  <c r="E908" i="1"/>
  <c r="A64" i="1"/>
  <c r="B64" i="1"/>
  <c r="C64" i="1"/>
  <c r="D64" i="1"/>
  <c r="E64" i="1"/>
  <c r="A142" i="1"/>
  <c r="B142" i="1"/>
  <c r="C142" i="1"/>
  <c r="D142" i="1"/>
  <c r="E142" i="1"/>
  <c r="A109" i="1"/>
  <c r="B109" i="1"/>
  <c r="C109" i="1"/>
  <c r="D109" i="1"/>
  <c r="E109" i="1"/>
  <c r="A90" i="1"/>
  <c r="B90" i="1"/>
  <c r="C90" i="1"/>
  <c r="D90" i="1"/>
  <c r="E90" i="1"/>
  <c r="A70" i="1"/>
  <c r="B70" i="1"/>
  <c r="C70" i="1"/>
  <c r="D70" i="1"/>
  <c r="E70" i="1"/>
  <c r="A135" i="1"/>
  <c r="B135" i="1"/>
  <c r="C135" i="1"/>
  <c r="D135" i="1"/>
  <c r="E135" i="1"/>
  <c r="A85" i="1"/>
  <c r="B85" i="1"/>
  <c r="C85" i="1"/>
  <c r="D85" i="1"/>
  <c r="E85" i="1"/>
  <c r="A164" i="1"/>
  <c r="B164" i="1"/>
  <c r="C164" i="1"/>
  <c r="D164" i="1"/>
  <c r="E164" i="1"/>
  <c r="A168" i="1"/>
  <c r="B168" i="1"/>
  <c r="C168" i="1"/>
  <c r="D168" i="1"/>
  <c r="E168" i="1"/>
  <c r="A162" i="1"/>
  <c r="B162" i="1"/>
  <c r="C162" i="1"/>
  <c r="D162" i="1"/>
  <c r="E162" i="1"/>
  <c r="A289" i="1"/>
  <c r="B289" i="1"/>
  <c r="C289" i="1"/>
  <c r="D289" i="1"/>
  <c r="E289" i="1"/>
  <c r="A250" i="1"/>
  <c r="B250" i="1"/>
  <c r="C250" i="1"/>
  <c r="D250" i="1"/>
  <c r="E250" i="1"/>
  <c r="A262" i="1"/>
  <c r="B262" i="1"/>
  <c r="C262" i="1"/>
  <c r="D262" i="1"/>
  <c r="E262" i="1"/>
  <c r="A269" i="1"/>
  <c r="B269" i="1"/>
  <c r="C269" i="1"/>
  <c r="D269" i="1"/>
  <c r="E269" i="1"/>
  <c r="A277" i="1"/>
  <c r="B277" i="1"/>
  <c r="C277" i="1"/>
  <c r="D277" i="1"/>
  <c r="E277" i="1"/>
  <c r="A282" i="1"/>
  <c r="B282" i="1"/>
  <c r="C282" i="1"/>
  <c r="D282" i="1"/>
  <c r="E282" i="1"/>
  <c r="A285" i="1"/>
  <c r="B285" i="1"/>
  <c r="C285" i="1"/>
  <c r="D285" i="1"/>
  <c r="E285" i="1"/>
  <c r="A25" i="1"/>
  <c r="B25" i="1"/>
  <c r="C25" i="1"/>
  <c r="D25" i="1"/>
  <c r="E25" i="1"/>
  <c r="A89" i="1"/>
  <c r="B89" i="1"/>
  <c r="C89" i="1"/>
  <c r="D89" i="1"/>
  <c r="E89" i="1"/>
  <c r="A128" i="1"/>
  <c r="B128" i="1"/>
  <c r="C128" i="1"/>
  <c r="D128" i="1"/>
  <c r="E128" i="1"/>
  <c r="A534" i="1"/>
  <c r="B534" i="1"/>
  <c r="C534" i="1"/>
  <c r="D534" i="1"/>
  <c r="E534" i="1"/>
  <c r="A535" i="1"/>
  <c r="B535" i="1"/>
  <c r="C535" i="1"/>
  <c r="D535" i="1"/>
  <c r="E535" i="1"/>
  <c r="A538" i="1"/>
  <c r="B538" i="1"/>
  <c r="C538" i="1"/>
  <c r="D538" i="1"/>
  <c r="E538" i="1"/>
  <c r="A540" i="1"/>
  <c r="B540" i="1"/>
  <c r="C540" i="1"/>
  <c r="D540" i="1"/>
  <c r="E540" i="1"/>
  <c r="A543" i="1"/>
  <c r="B543" i="1"/>
  <c r="C543" i="1"/>
  <c r="D543" i="1"/>
  <c r="E543" i="1"/>
  <c r="A228" i="1"/>
  <c r="B228" i="1"/>
  <c r="C228" i="1"/>
  <c r="D228" i="1"/>
  <c r="E228" i="1"/>
  <c r="A95" i="1"/>
  <c r="B95" i="1"/>
  <c r="C95" i="1"/>
  <c r="D95" i="1"/>
  <c r="E95" i="1"/>
  <c r="A159" i="1"/>
  <c r="B159" i="1"/>
  <c r="C159" i="1"/>
  <c r="D159" i="1"/>
  <c r="E159" i="1"/>
  <c r="A263" i="1"/>
  <c r="B263" i="1"/>
  <c r="C263" i="1"/>
  <c r="D263" i="1"/>
  <c r="E263" i="1"/>
  <c r="A284" i="1"/>
  <c r="B284" i="1"/>
  <c r="C284" i="1"/>
  <c r="D284" i="1"/>
  <c r="E284" i="1"/>
  <c r="A478" i="1"/>
  <c r="B478" i="1"/>
  <c r="C478" i="1"/>
  <c r="D478" i="1"/>
  <c r="E478" i="1"/>
  <c r="A481" i="1"/>
  <c r="B481" i="1"/>
  <c r="C481" i="1"/>
  <c r="D481" i="1"/>
  <c r="E481" i="1"/>
  <c r="A486" i="1"/>
  <c r="B486" i="1"/>
  <c r="C486" i="1"/>
  <c r="D486" i="1"/>
  <c r="E486" i="1"/>
  <c r="A489" i="1"/>
  <c r="B489" i="1"/>
  <c r="C489" i="1"/>
  <c r="D489" i="1"/>
  <c r="E489" i="1"/>
  <c r="A548" i="1"/>
  <c r="B548" i="1"/>
  <c r="C548" i="1"/>
  <c r="D548" i="1"/>
  <c r="E548" i="1"/>
  <c r="A549" i="1"/>
  <c r="B549" i="1"/>
  <c r="C549" i="1"/>
  <c r="D549" i="1"/>
  <c r="E549" i="1"/>
  <c r="A544" i="1"/>
  <c r="B544" i="1"/>
  <c r="C544" i="1"/>
  <c r="D544" i="1"/>
  <c r="E544" i="1"/>
  <c r="A545" i="1"/>
  <c r="B545" i="1"/>
  <c r="C545" i="1"/>
  <c r="D545" i="1"/>
  <c r="E545" i="1"/>
  <c r="A529" i="1"/>
  <c r="B529" i="1"/>
  <c r="C529" i="1"/>
  <c r="D529" i="1"/>
  <c r="E529" i="1"/>
  <c r="A530" i="1"/>
  <c r="B530" i="1"/>
  <c r="C530" i="1"/>
  <c r="D530" i="1"/>
  <c r="E530" i="1"/>
  <c r="A393" i="1"/>
  <c r="B393" i="1"/>
  <c r="C393" i="1"/>
  <c r="D393" i="1"/>
  <c r="E393" i="1"/>
  <c r="A400" i="1"/>
  <c r="B400" i="1"/>
  <c r="C400" i="1"/>
  <c r="D400" i="1"/>
  <c r="E400" i="1"/>
  <c r="A387" i="1"/>
  <c r="B387" i="1"/>
  <c r="C387" i="1"/>
  <c r="D387" i="1"/>
  <c r="E387" i="1"/>
  <c r="A414" i="1"/>
  <c r="B414" i="1"/>
  <c r="C414" i="1"/>
  <c r="D414" i="1"/>
  <c r="E414" i="1"/>
  <c r="A424" i="1"/>
  <c r="B424" i="1"/>
  <c r="C424" i="1"/>
  <c r="D424" i="1"/>
  <c r="E424" i="1"/>
  <c r="A270" i="1"/>
  <c r="B270" i="1"/>
  <c r="C270" i="1"/>
  <c r="D270" i="1"/>
  <c r="E270" i="1"/>
  <c r="A278" i="1"/>
  <c r="B278" i="1"/>
  <c r="C278" i="1"/>
  <c r="D278" i="1"/>
  <c r="E278" i="1"/>
  <c r="A279" i="1"/>
  <c r="B279" i="1"/>
  <c r="C279" i="1"/>
  <c r="D279" i="1"/>
  <c r="E279" i="1"/>
  <c r="A460" i="1"/>
  <c r="B460" i="1"/>
  <c r="C460" i="1"/>
  <c r="D460" i="1"/>
  <c r="E460" i="1"/>
  <c r="A453" i="1"/>
  <c r="B453" i="1"/>
  <c r="C453" i="1"/>
  <c r="D453" i="1"/>
  <c r="E453" i="1"/>
  <c r="A803" i="1"/>
  <c r="B803" i="1"/>
  <c r="C803" i="1"/>
  <c r="D803" i="1"/>
  <c r="E803" i="1"/>
  <c r="A784" i="1"/>
  <c r="B784" i="1"/>
  <c r="C784" i="1"/>
  <c r="D784" i="1"/>
  <c r="E784" i="1"/>
  <c r="A787" i="1"/>
  <c r="B787" i="1"/>
  <c r="C787" i="1"/>
  <c r="D787" i="1"/>
  <c r="E787" i="1"/>
  <c r="A894" i="1"/>
  <c r="B894" i="1"/>
  <c r="C894" i="1"/>
  <c r="D894" i="1"/>
  <c r="E894" i="1"/>
  <c r="A902" i="1"/>
  <c r="B902" i="1"/>
  <c r="C902" i="1"/>
  <c r="D902" i="1"/>
  <c r="E902" i="1"/>
  <c r="A903" i="1"/>
  <c r="B903" i="1"/>
  <c r="C903" i="1"/>
  <c r="D903" i="1"/>
  <c r="E903" i="1"/>
  <c r="A892" i="1"/>
  <c r="B892" i="1"/>
  <c r="C892" i="1"/>
  <c r="D892" i="1"/>
  <c r="E892" i="1"/>
  <c r="A896" i="1"/>
  <c r="B896" i="1"/>
  <c r="C896" i="1"/>
  <c r="D896" i="1"/>
  <c r="E896" i="1"/>
  <c r="A885" i="1"/>
  <c r="B885" i="1"/>
  <c r="C885" i="1"/>
  <c r="D885" i="1"/>
  <c r="E885" i="1"/>
  <c r="A407" i="1"/>
  <c r="B407" i="1"/>
  <c r="C407" i="1"/>
  <c r="D407" i="1"/>
  <c r="E407" i="1"/>
  <c r="A1077" i="1"/>
  <c r="B1077" i="1"/>
  <c r="C1077" i="1"/>
  <c r="D1077" i="1"/>
  <c r="E1077" i="1"/>
  <c r="A1079" i="1"/>
  <c r="B1079" i="1"/>
  <c r="C1079" i="1"/>
  <c r="D1079" i="1"/>
  <c r="E1079" i="1"/>
  <c r="A1082" i="1"/>
  <c r="B1082" i="1"/>
  <c r="C1082" i="1"/>
  <c r="D1082" i="1"/>
  <c r="E1082" i="1"/>
  <c r="A1086" i="1"/>
  <c r="B1086" i="1"/>
  <c r="C1086" i="1"/>
  <c r="D1086" i="1"/>
  <c r="E1086" i="1"/>
  <c r="A675" i="1"/>
  <c r="B675" i="1"/>
  <c r="C675" i="1"/>
  <c r="D675" i="1"/>
  <c r="E675" i="1"/>
  <c r="A676" i="1"/>
  <c r="B676" i="1"/>
  <c r="C676" i="1"/>
  <c r="D676" i="1"/>
  <c r="E676" i="1"/>
  <c r="A685" i="1"/>
  <c r="B685" i="1"/>
  <c r="C685" i="1"/>
  <c r="D685" i="1"/>
  <c r="E685" i="1"/>
  <c r="A698" i="1"/>
  <c r="B698" i="1"/>
  <c r="C698" i="1"/>
  <c r="D698" i="1"/>
  <c r="E698" i="1"/>
  <c r="A703" i="1"/>
  <c r="B703" i="1"/>
  <c r="C703" i="1"/>
  <c r="D703" i="1"/>
  <c r="E703" i="1"/>
  <c r="A705" i="1"/>
  <c r="B705" i="1"/>
  <c r="C705" i="1"/>
  <c r="D705" i="1"/>
  <c r="E705" i="1"/>
  <c r="A1065" i="1"/>
  <c r="B1065" i="1"/>
  <c r="C1065" i="1"/>
  <c r="D1065" i="1"/>
  <c r="E1065" i="1"/>
  <c r="A1063" i="1"/>
  <c r="B1063" i="1"/>
  <c r="C1063" i="1"/>
  <c r="D1063" i="1"/>
  <c r="E1063" i="1"/>
  <c r="A1060" i="1"/>
  <c r="B1060" i="1"/>
  <c r="C1060" i="1"/>
  <c r="D1060" i="1"/>
  <c r="E1060" i="1"/>
  <c r="A1057" i="1"/>
  <c r="B1057" i="1"/>
  <c r="C1057" i="1"/>
  <c r="D1057" i="1"/>
  <c r="E1057" i="1"/>
  <c r="A980" i="1"/>
  <c r="B980" i="1"/>
  <c r="C980" i="1"/>
  <c r="D980" i="1"/>
  <c r="E980" i="1"/>
  <c r="A1101" i="1"/>
  <c r="B1101" i="1"/>
  <c r="C1101" i="1"/>
  <c r="D1101" i="1"/>
  <c r="E1101" i="1"/>
  <c r="A1102" i="1"/>
  <c r="B1102" i="1"/>
  <c r="C1102" i="1"/>
  <c r="D1102" i="1"/>
  <c r="E1102" i="1"/>
  <c r="A1103" i="1"/>
  <c r="B1103" i="1"/>
  <c r="C1103" i="1"/>
  <c r="D1103" i="1"/>
  <c r="E1103" i="1"/>
  <c r="A1104" i="1"/>
  <c r="B1104" i="1"/>
  <c r="C1104" i="1"/>
  <c r="D1104" i="1"/>
  <c r="E1104" i="1"/>
  <c r="A1099" i="1"/>
  <c r="B1099" i="1"/>
  <c r="C1099" i="1"/>
  <c r="D1099" i="1"/>
  <c r="E1099" i="1"/>
  <c r="A792" i="1"/>
  <c r="B792" i="1"/>
  <c r="C792" i="1"/>
  <c r="D792" i="1"/>
  <c r="E792" i="1"/>
  <c r="A790" i="1"/>
  <c r="B790" i="1"/>
  <c r="C790" i="1"/>
  <c r="D790" i="1"/>
  <c r="E790" i="1"/>
  <c r="A812" i="1"/>
  <c r="B812" i="1"/>
  <c r="C812" i="1"/>
  <c r="D812" i="1"/>
  <c r="E812" i="1"/>
  <c r="A651" i="1"/>
  <c r="B651" i="1"/>
  <c r="C651" i="1"/>
  <c r="D651" i="1"/>
  <c r="E651" i="1"/>
  <c r="A1120" i="1"/>
  <c r="B1120" i="1"/>
  <c r="C1120" i="1"/>
  <c r="D1120" i="1"/>
  <c r="E1120" i="1"/>
  <c r="A1094" i="1"/>
  <c r="B1094" i="1"/>
  <c r="C1094" i="1"/>
  <c r="D1094" i="1"/>
  <c r="E1094" i="1"/>
  <c r="A1062" i="1"/>
  <c r="B1062" i="1"/>
  <c r="C1062" i="1"/>
  <c r="D1062" i="1"/>
  <c r="E1062" i="1"/>
  <c r="A1072" i="1"/>
  <c r="B1072" i="1"/>
  <c r="C1072" i="1"/>
  <c r="D1072" i="1"/>
  <c r="E1072" i="1"/>
  <c r="A1070" i="1"/>
  <c r="B1070" i="1"/>
  <c r="C1070" i="1"/>
  <c r="D1070" i="1"/>
  <c r="E1070" i="1"/>
  <c r="A1071" i="1"/>
  <c r="B1071" i="1"/>
  <c r="C1071" i="1"/>
  <c r="D1071" i="1"/>
  <c r="E1071" i="1"/>
  <c r="A236" i="1"/>
  <c r="B236" i="1"/>
  <c r="C236" i="1"/>
  <c r="D236" i="1"/>
  <c r="E236" i="1"/>
  <c r="A193" i="1"/>
  <c r="B193" i="1"/>
  <c r="C193" i="1"/>
  <c r="D193" i="1"/>
  <c r="E193" i="1"/>
  <c r="A210" i="1"/>
  <c r="B210" i="1"/>
  <c r="C210" i="1"/>
  <c r="D210" i="1"/>
  <c r="E210" i="1"/>
  <c r="A577" i="1"/>
  <c r="B577" i="1"/>
  <c r="C577" i="1"/>
  <c r="D577" i="1"/>
  <c r="E577" i="1"/>
  <c r="A457" i="1"/>
  <c r="B457" i="1"/>
  <c r="C457" i="1"/>
  <c r="D457" i="1"/>
  <c r="E457" i="1"/>
  <c r="A403" i="1"/>
  <c r="B403" i="1"/>
  <c r="C403" i="1"/>
  <c r="D403" i="1"/>
  <c r="E403" i="1"/>
  <c r="A404" i="1"/>
  <c r="B404" i="1"/>
  <c r="C404" i="1"/>
  <c r="D404" i="1"/>
  <c r="E404" i="1"/>
  <c r="A916" i="1"/>
  <c r="B916" i="1"/>
  <c r="C916" i="1"/>
  <c r="D916" i="1"/>
  <c r="E916" i="1"/>
  <c r="A917" i="1"/>
  <c r="B917" i="1"/>
  <c r="C917" i="1"/>
  <c r="D917" i="1"/>
  <c r="E917" i="1"/>
  <c r="A918" i="1"/>
  <c r="B918" i="1"/>
  <c r="C918" i="1"/>
  <c r="D918" i="1"/>
  <c r="E918" i="1"/>
  <c r="A86" i="1"/>
  <c r="B86" i="1"/>
  <c r="C86" i="1"/>
  <c r="D86" i="1"/>
  <c r="E86" i="1"/>
  <c r="A122" i="1"/>
  <c r="B122" i="1"/>
  <c r="C122" i="1"/>
  <c r="D122" i="1"/>
  <c r="E122" i="1"/>
  <c r="A160" i="1"/>
  <c r="B160" i="1"/>
  <c r="C160" i="1"/>
  <c r="D160" i="1"/>
  <c r="E160" i="1"/>
  <c r="A126" i="1"/>
  <c r="B126" i="1"/>
  <c r="C126" i="1"/>
  <c r="D126" i="1"/>
  <c r="E126" i="1"/>
  <c r="A97" i="1"/>
  <c r="B97" i="1"/>
  <c r="C97" i="1"/>
  <c r="D97" i="1"/>
  <c r="E97" i="1"/>
  <c r="A76" i="1"/>
  <c r="B76" i="1"/>
  <c r="C76" i="1"/>
  <c r="D76" i="1"/>
  <c r="E76" i="1"/>
  <c r="A78" i="1"/>
  <c r="B78" i="1"/>
  <c r="C78" i="1"/>
  <c r="D78" i="1"/>
  <c r="E78" i="1"/>
  <c r="A121" i="1"/>
  <c r="B121" i="1"/>
  <c r="C121" i="1"/>
  <c r="D121" i="1"/>
  <c r="E121" i="1"/>
  <c r="A31" i="1"/>
  <c r="B31" i="1"/>
  <c r="C31" i="1"/>
  <c r="D31" i="1"/>
  <c r="E31" i="1"/>
  <c r="A21" i="1"/>
  <c r="B21" i="1"/>
  <c r="C21" i="1"/>
  <c r="D21" i="1"/>
  <c r="E21" i="1"/>
  <c r="A1096" i="1"/>
  <c r="B1096" i="1"/>
  <c r="C1096" i="1"/>
  <c r="D1096" i="1"/>
  <c r="E1096" i="1"/>
  <c r="A941" i="1"/>
  <c r="B941" i="1"/>
  <c r="C941" i="1"/>
  <c r="D941" i="1"/>
  <c r="E941" i="1"/>
  <c r="A960" i="1"/>
  <c r="B960" i="1"/>
  <c r="C960" i="1"/>
  <c r="D960" i="1"/>
  <c r="E960" i="1"/>
  <c r="A1123" i="1"/>
  <c r="B1123" i="1"/>
  <c r="C1123" i="1"/>
  <c r="D1123" i="1"/>
  <c r="E1123" i="1"/>
  <c r="A884" i="1"/>
  <c r="B884" i="1"/>
  <c r="C884" i="1"/>
  <c r="D884" i="1"/>
  <c r="E884" i="1"/>
  <c r="A893" i="1"/>
  <c r="B893" i="1"/>
  <c r="C893" i="1"/>
  <c r="D893" i="1"/>
  <c r="E893" i="1"/>
  <c r="A906" i="1"/>
  <c r="B906" i="1"/>
  <c r="C906" i="1"/>
  <c r="D906" i="1"/>
  <c r="E906" i="1"/>
  <c r="A910" i="1"/>
  <c r="B910" i="1"/>
  <c r="C910" i="1"/>
  <c r="D910" i="1"/>
  <c r="E910" i="1"/>
  <c r="A550" i="1"/>
  <c r="B550" i="1"/>
  <c r="C550" i="1"/>
  <c r="D550" i="1"/>
  <c r="E550" i="1"/>
  <c r="A73" i="1"/>
  <c r="B73" i="1"/>
  <c r="C73" i="1"/>
  <c r="D73" i="1"/>
  <c r="E73" i="1"/>
  <c r="A13" i="1"/>
  <c r="B13" i="1"/>
  <c r="C13" i="1"/>
  <c r="D13" i="1"/>
  <c r="E13" i="1"/>
  <c r="A43" i="1"/>
  <c r="B43" i="1"/>
  <c r="C43" i="1"/>
  <c r="D43" i="1"/>
  <c r="E43" i="1"/>
  <c r="A46" i="1"/>
  <c r="B46" i="1"/>
  <c r="C46" i="1"/>
  <c r="D46" i="1"/>
  <c r="E46" i="1"/>
  <c r="A33" i="1"/>
  <c r="B33" i="1"/>
  <c r="C33" i="1"/>
  <c r="D33" i="1"/>
  <c r="E33" i="1"/>
  <c r="A40" i="1"/>
  <c r="B40" i="1"/>
  <c r="C40" i="1"/>
  <c r="D40" i="1"/>
  <c r="E40" i="1"/>
  <c r="A156" i="1"/>
  <c r="B156" i="1"/>
  <c r="C156" i="1"/>
  <c r="D156" i="1"/>
  <c r="E156" i="1"/>
  <c r="A139" i="1"/>
  <c r="B139" i="1"/>
  <c r="C139" i="1"/>
  <c r="D139" i="1"/>
  <c r="E139" i="1"/>
  <c r="A346" i="1"/>
  <c r="B346" i="1"/>
  <c r="C346" i="1"/>
  <c r="D346" i="1"/>
  <c r="E346" i="1"/>
  <c r="A662" i="1"/>
  <c r="B662" i="1"/>
  <c r="C662" i="1"/>
  <c r="D662" i="1"/>
  <c r="E662" i="1"/>
  <c r="A1136" i="1"/>
  <c r="B1136" i="1"/>
  <c r="C1136" i="1"/>
  <c r="D1136" i="1"/>
  <c r="E1136" i="1"/>
  <c r="A188" i="1"/>
  <c r="B188" i="1"/>
  <c r="C188" i="1"/>
  <c r="D188" i="1"/>
  <c r="E188" i="1"/>
  <c r="A181" i="1"/>
  <c r="B181" i="1"/>
  <c r="C181" i="1"/>
  <c r="D181" i="1"/>
  <c r="E181" i="1"/>
  <c r="A179" i="1"/>
  <c r="B179" i="1"/>
  <c r="C179" i="1"/>
  <c r="D179" i="1"/>
  <c r="E179" i="1"/>
  <c r="A178" i="1"/>
  <c r="B178" i="1"/>
  <c r="C178" i="1"/>
  <c r="D178" i="1"/>
  <c r="E178" i="1"/>
  <c r="A177" i="1"/>
  <c r="B177" i="1"/>
  <c r="C177" i="1"/>
  <c r="D177" i="1"/>
  <c r="E177" i="1"/>
  <c r="A176" i="1"/>
  <c r="B176" i="1"/>
  <c r="C176" i="1"/>
  <c r="D176" i="1"/>
  <c r="E176" i="1"/>
  <c r="A183" i="1"/>
  <c r="B183" i="1"/>
  <c r="C183" i="1"/>
  <c r="D183" i="1"/>
  <c r="E183" i="1"/>
  <c r="A295" i="1"/>
  <c r="B295" i="1"/>
  <c r="C295" i="1"/>
  <c r="D295" i="1"/>
  <c r="E295" i="1"/>
  <c r="A296" i="1"/>
  <c r="B296" i="1"/>
  <c r="C296" i="1"/>
  <c r="D296" i="1"/>
  <c r="E296" i="1"/>
  <c r="A297" i="1"/>
  <c r="B297" i="1"/>
  <c r="C297" i="1"/>
  <c r="D297" i="1"/>
  <c r="E297" i="1"/>
  <c r="A652" i="1"/>
  <c r="B652" i="1"/>
  <c r="C652" i="1"/>
  <c r="D652" i="1"/>
  <c r="E652" i="1"/>
  <c r="A992" i="1"/>
  <c r="B992" i="1"/>
  <c r="C992" i="1"/>
  <c r="D992" i="1"/>
  <c r="E992" i="1"/>
  <c r="A955" i="1"/>
  <c r="B955" i="1"/>
  <c r="C955" i="1"/>
  <c r="D955" i="1"/>
  <c r="E955" i="1"/>
  <c r="A1131" i="1"/>
  <c r="B1131" i="1"/>
  <c r="C1131" i="1"/>
  <c r="D1131" i="1"/>
  <c r="E1131" i="1"/>
  <c r="A630" i="1"/>
  <c r="B630" i="1"/>
  <c r="C630" i="1"/>
  <c r="D630" i="1"/>
  <c r="E630" i="1"/>
  <c r="A323" i="1"/>
  <c r="B323" i="1"/>
  <c r="C323" i="1"/>
  <c r="D323" i="1"/>
  <c r="E323" i="1"/>
  <c r="A330" i="1"/>
  <c r="B330" i="1"/>
  <c r="C330" i="1"/>
  <c r="D330" i="1"/>
  <c r="E330" i="1"/>
  <c r="A194" i="1"/>
  <c r="B194" i="1"/>
  <c r="C194" i="1"/>
  <c r="D194" i="1"/>
  <c r="E194" i="1"/>
  <c r="A235" i="1"/>
  <c r="B235" i="1"/>
  <c r="C235" i="1"/>
  <c r="D235" i="1"/>
  <c r="E235" i="1"/>
  <c r="A180" i="1"/>
  <c r="B180" i="1"/>
  <c r="C180" i="1"/>
  <c r="D180" i="1"/>
  <c r="E180" i="1"/>
  <c r="A796" i="1"/>
  <c r="B796" i="1"/>
  <c r="C796" i="1"/>
  <c r="D796" i="1"/>
  <c r="E796" i="1"/>
  <c r="A658" i="1"/>
  <c r="B658" i="1"/>
  <c r="C658" i="1"/>
  <c r="D658" i="1"/>
  <c r="E658" i="1"/>
  <c r="A659" i="1"/>
  <c r="B659" i="1"/>
  <c r="C659" i="1"/>
  <c r="D659" i="1"/>
  <c r="E659" i="1"/>
  <c r="A657" i="1"/>
  <c r="B657" i="1"/>
  <c r="C657" i="1"/>
  <c r="D657" i="1"/>
  <c r="E657" i="1"/>
  <c r="A656" i="1"/>
  <c r="B656" i="1"/>
  <c r="C656" i="1"/>
  <c r="D656" i="1"/>
  <c r="E656" i="1"/>
  <c r="A660" i="1"/>
  <c r="B660" i="1"/>
  <c r="C660" i="1"/>
  <c r="D660" i="1"/>
  <c r="E660" i="1"/>
  <c r="A650" i="1"/>
  <c r="B650" i="1"/>
  <c r="C650" i="1"/>
  <c r="D650" i="1"/>
  <c r="E650" i="1"/>
  <c r="A655" i="1"/>
  <c r="B655" i="1"/>
  <c r="C655" i="1"/>
  <c r="D655" i="1"/>
  <c r="E655" i="1"/>
  <c r="A654" i="1"/>
  <c r="B654" i="1"/>
  <c r="C654" i="1"/>
  <c r="D654" i="1"/>
  <c r="E654" i="1"/>
  <c r="A653" i="1"/>
  <c r="B653" i="1"/>
  <c r="C653" i="1"/>
  <c r="D653" i="1"/>
  <c r="E653" i="1"/>
  <c r="A209" i="1"/>
  <c r="B209" i="1"/>
  <c r="C209" i="1"/>
  <c r="D209" i="1"/>
  <c r="E209" i="1"/>
  <c r="A208" i="1"/>
  <c r="B208" i="1"/>
  <c r="C208" i="1"/>
  <c r="D208" i="1"/>
  <c r="E208" i="1"/>
  <c r="A353" i="1"/>
  <c r="B353" i="1"/>
  <c r="C353" i="1"/>
  <c r="D353" i="1"/>
  <c r="E353" i="1"/>
  <c r="A354" i="1"/>
  <c r="B354" i="1"/>
  <c r="C354" i="1"/>
  <c r="D354" i="1"/>
  <c r="E354" i="1"/>
  <c r="A355" i="1"/>
  <c r="B355" i="1"/>
  <c r="C355" i="1"/>
  <c r="D355" i="1"/>
  <c r="E355" i="1"/>
  <c r="A356" i="1"/>
  <c r="B356" i="1"/>
  <c r="C356" i="1"/>
  <c r="D356" i="1"/>
  <c r="E356" i="1"/>
  <c r="A357" i="1"/>
  <c r="B357" i="1"/>
  <c r="C357" i="1"/>
  <c r="D357" i="1"/>
  <c r="E357" i="1"/>
  <c r="A358" i="1"/>
  <c r="B358" i="1"/>
  <c r="C358" i="1"/>
  <c r="D358" i="1"/>
  <c r="E358" i="1"/>
  <c r="A379" i="1"/>
  <c r="B379" i="1"/>
  <c r="C379" i="1"/>
  <c r="D379" i="1"/>
  <c r="E379" i="1"/>
  <c r="A380" i="1"/>
  <c r="B380" i="1"/>
  <c r="C380" i="1"/>
  <c r="D380" i="1"/>
  <c r="E380" i="1"/>
  <c r="A39" i="1"/>
  <c r="B39" i="1"/>
  <c r="C39" i="1"/>
  <c r="D39" i="1"/>
  <c r="E39" i="1"/>
  <c r="A19" i="1"/>
  <c r="B19" i="1"/>
  <c r="C19" i="1"/>
  <c r="D19" i="1"/>
  <c r="E19" i="1"/>
  <c r="A9" i="1"/>
  <c r="B9" i="1"/>
  <c r="C9" i="1"/>
  <c r="D9" i="1"/>
  <c r="E9" i="1"/>
  <c r="A20" i="1"/>
  <c r="B20" i="1"/>
  <c r="C20" i="1"/>
  <c r="D20" i="1"/>
  <c r="E20" i="1"/>
  <c r="A27" i="1"/>
  <c r="B27" i="1"/>
  <c r="C27" i="1"/>
  <c r="D27" i="1"/>
  <c r="E27" i="1"/>
  <c r="A41" i="1"/>
  <c r="B41" i="1"/>
  <c r="C41" i="1"/>
  <c r="D41" i="1"/>
  <c r="E41" i="1"/>
  <c r="A52" i="1"/>
  <c r="B52" i="1"/>
  <c r="C52" i="1"/>
  <c r="D52" i="1"/>
  <c r="E52" i="1"/>
  <c r="A48" i="1"/>
  <c r="B48" i="1"/>
  <c r="C48" i="1"/>
  <c r="D48" i="1"/>
  <c r="E48" i="1"/>
  <c r="A211" i="1"/>
  <c r="B211" i="1"/>
  <c r="C211" i="1"/>
  <c r="D211" i="1"/>
  <c r="E211" i="1"/>
  <c r="A207" i="1"/>
  <c r="B207" i="1"/>
  <c r="C207" i="1"/>
  <c r="D207" i="1"/>
  <c r="E207" i="1"/>
  <c r="A231" i="1"/>
  <c r="B231" i="1"/>
  <c r="C231" i="1"/>
  <c r="D231" i="1"/>
  <c r="E231" i="1"/>
  <c r="A227" i="1"/>
  <c r="B227" i="1"/>
  <c r="C227" i="1"/>
  <c r="D227" i="1"/>
  <c r="E227" i="1"/>
  <c r="A225" i="1"/>
  <c r="B225" i="1"/>
  <c r="C225" i="1"/>
  <c r="D225" i="1"/>
  <c r="E225" i="1"/>
  <c r="A230" i="1"/>
  <c r="B230" i="1"/>
  <c r="C230" i="1"/>
  <c r="D230" i="1"/>
  <c r="E230" i="1"/>
  <c r="A226" i="1"/>
  <c r="B226" i="1"/>
  <c r="C226" i="1"/>
  <c r="D226" i="1"/>
  <c r="E226" i="1"/>
  <c r="A229" i="1"/>
  <c r="B229" i="1"/>
  <c r="C229" i="1"/>
  <c r="D229" i="1"/>
  <c r="E229" i="1"/>
  <c r="A311" i="1"/>
  <c r="B311" i="1"/>
  <c r="C311" i="1"/>
  <c r="D311" i="1"/>
  <c r="E311" i="1"/>
  <c r="A305" i="1"/>
  <c r="B305" i="1"/>
  <c r="C305" i="1"/>
  <c r="D305" i="1"/>
  <c r="E305" i="1"/>
  <c r="A199" i="1"/>
  <c r="B199" i="1"/>
  <c r="C199" i="1"/>
  <c r="D199" i="1"/>
  <c r="E199" i="1"/>
  <c r="A42" i="1"/>
  <c r="B42" i="1"/>
  <c r="C42" i="1"/>
  <c r="D42" i="1"/>
  <c r="E42" i="1"/>
  <c r="A10" i="1"/>
  <c r="B10" i="1"/>
  <c r="C10" i="1"/>
  <c r="D10" i="1"/>
  <c r="E10" i="1"/>
  <c r="A172" i="1"/>
  <c r="B172" i="1"/>
  <c r="C172" i="1"/>
  <c r="D172" i="1"/>
  <c r="E172" i="1"/>
  <c r="A218" i="1"/>
  <c r="B218" i="1"/>
  <c r="C218" i="1"/>
  <c r="D218" i="1"/>
  <c r="E218" i="1"/>
  <c r="A215" i="1"/>
  <c r="B215" i="1"/>
  <c r="C215" i="1"/>
  <c r="D215" i="1"/>
  <c r="E215" i="1"/>
  <c r="A326" i="1"/>
  <c r="B326" i="1"/>
  <c r="C326" i="1"/>
  <c r="D326" i="1"/>
  <c r="E326" i="1"/>
  <c r="A336" i="1"/>
  <c r="B336" i="1"/>
  <c r="C336" i="1"/>
  <c r="D336" i="1"/>
  <c r="E336" i="1"/>
  <c r="A334" i="1"/>
  <c r="B334" i="1"/>
  <c r="C334" i="1"/>
  <c r="D334" i="1"/>
  <c r="E334" i="1"/>
  <c r="A493" i="1"/>
  <c r="B493" i="1"/>
  <c r="C493" i="1"/>
  <c r="D493" i="1"/>
  <c r="E493" i="1"/>
  <c r="A496" i="1"/>
  <c r="B496" i="1"/>
  <c r="C496" i="1"/>
  <c r="D496" i="1"/>
  <c r="E496" i="1"/>
  <c r="A511" i="1"/>
  <c r="B511" i="1"/>
  <c r="C511" i="1"/>
  <c r="D511" i="1"/>
  <c r="E511" i="1"/>
  <c r="A737" i="1"/>
  <c r="B737" i="1"/>
  <c r="C737" i="1"/>
  <c r="D737" i="1"/>
  <c r="E737" i="1"/>
  <c r="A748" i="1"/>
  <c r="B748" i="1"/>
  <c r="C748" i="1"/>
  <c r="D748" i="1"/>
  <c r="E748" i="1"/>
  <c r="A753" i="1"/>
  <c r="B753" i="1"/>
  <c r="C753" i="1"/>
  <c r="D753" i="1"/>
  <c r="E753" i="1"/>
  <c r="A757" i="1"/>
  <c r="B757" i="1"/>
  <c r="C757" i="1"/>
  <c r="D757" i="1"/>
  <c r="E757" i="1"/>
  <c r="A759" i="1"/>
  <c r="B759" i="1"/>
  <c r="C759" i="1"/>
  <c r="D759" i="1"/>
  <c r="E759" i="1"/>
  <c r="A768" i="1"/>
  <c r="B768" i="1"/>
  <c r="C768" i="1"/>
  <c r="D768" i="1"/>
  <c r="E768" i="1"/>
  <c r="A872" i="1"/>
  <c r="B872" i="1"/>
  <c r="C872" i="1"/>
  <c r="D872" i="1"/>
  <c r="E872" i="1"/>
  <c r="A503" i="1"/>
  <c r="B503" i="1"/>
  <c r="C503" i="1"/>
  <c r="D503" i="1"/>
  <c r="E503" i="1"/>
  <c r="A36" i="1"/>
  <c r="B36" i="1"/>
  <c r="C36" i="1"/>
  <c r="D36" i="1"/>
  <c r="E36" i="1"/>
  <c r="A32" i="1"/>
  <c r="B32" i="1"/>
  <c r="C32" i="1"/>
  <c r="D32" i="1"/>
  <c r="E32" i="1"/>
  <c r="A102" i="1"/>
  <c r="B102" i="1"/>
  <c r="C102" i="1"/>
  <c r="D102" i="1"/>
  <c r="E102" i="1"/>
  <c r="A148" i="1"/>
  <c r="B148" i="1"/>
  <c r="C148" i="1"/>
  <c r="D148" i="1"/>
  <c r="E148" i="1"/>
  <c r="A96" i="1"/>
  <c r="B96" i="1"/>
  <c r="C96" i="1"/>
  <c r="D96" i="1"/>
  <c r="E96" i="1"/>
  <c r="A170" i="1"/>
  <c r="B170" i="1"/>
  <c r="C170" i="1"/>
  <c r="D170" i="1"/>
  <c r="E170" i="1"/>
  <c r="A259" i="1"/>
  <c r="B259" i="1"/>
  <c r="C259" i="1"/>
  <c r="D259" i="1"/>
  <c r="E259" i="1"/>
  <c r="A105" i="1"/>
  <c r="B105" i="1"/>
  <c r="C105" i="1"/>
  <c r="D105" i="1"/>
  <c r="E105" i="1"/>
  <c r="A391" i="1"/>
  <c r="B391" i="1"/>
  <c r="C391" i="1"/>
  <c r="D391" i="1"/>
  <c r="E391" i="1"/>
  <c r="A551" i="1"/>
  <c r="B551" i="1"/>
  <c r="C551" i="1"/>
  <c r="D551" i="1"/>
  <c r="E551" i="1"/>
  <c r="A959" i="1"/>
  <c r="B959" i="1"/>
  <c r="C959" i="1"/>
  <c r="D959" i="1"/>
  <c r="E959" i="1"/>
  <c r="A1006" i="1"/>
  <c r="B1006" i="1"/>
  <c r="C1006" i="1"/>
  <c r="D1006" i="1"/>
  <c r="E1006" i="1"/>
  <c r="A367" i="1"/>
  <c r="B367" i="1"/>
  <c r="C367" i="1"/>
  <c r="D367" i="1"/>
  <c r="E367" i="1"/>
  <c r="A368" i="1"/>
  <c r="B368" i="1"/>
  <c r="C368" i="1"/>
  <c r="D368" i="1"/>
  <c r="E368" i="1"/>
  <c r="A369" i="1"/>
  <c r="B369" i="1"/>
  <c r="C369" i="1"/>
  <c r="D369" i="1"/>
  <c r="E369" i="1"/>
  <c r="A370" i="1"/>
  <c r="B370" i="1"/>
  <c r="C370" i="1"/>
  <c r="D370" i="1"/>
  <c r="E370" i="1"/>
  <c r="A377" i="1"/>
  <c r="B377" i="1"/>
  <c r="C377" i="1"/>
  <c r="D377" i="1"/>
  <c r="E377" i="1"/>
  <c r="A378" i="1"/>
  <c r="B378" i="1"/>
  <c r="C378" i="1"/>
  <c r="D378" i="1"/>
  <c r="E378" i="1"/>
  <c r="A1130" i="1"/>
  <c r="B1130" i="1"/>
  <c r="C1130" i="1"/>
  <c r="D1130" i="1"/>
  <c r="E1130" i="1"/>
  <c r="A107" i="1"/>
  <c r="B107" i="1"/>
  <c r="C107" i="1"/>
  <c r="D107" i="1"/>
  <c r="E107" i="1"/>
  <c r="A119" i="1"/>
  <c r="B119" i="1"/>
  <c r="C119" i="1"/>
  <c r="D119" i="1"/>
  <c r="E119" i="1"/>
  <c r="A116" i="1"/>
  <c r="B116" i="1"/>
  <c r="C116" i="1"/>
  <c r="D116" i="1"/>
  <c r="E116" i="1"/>
  <c r="A339" i="1"/>
  <c r="B339" i="1"/>
  <c r="C339" i="1"/>
  <c r="D339" i="1"/>
  <c r="E339" i="1"/>
  <c r="A341" i="1"/>
  <c r="B341" i="1"/>
  <c r="C341" i="1"/>
  <c r="D341" i="1"/>
  <c r="E341" i="1"/>
  <c r="A342" i="1"/>
  <c r="B342" i="1"/>
  <c r="C342" i="1"/>
  <c r="D342" i="1"/>
  <c r="E342" i="1"/>
  <c r="A351" i="1"/>
  <c r="B351" i="1"/>
  <c r="C351" i="1"/>
  <c r="D351" i="1"/>
  <c r="E351" i="1"/>
  <c r="A325" i="1"/>
  <c r="B325" i="1"/>
  <c r="C325" i="1"/>
  <c r="D325" i="1"/>
  <c r="E325" i="1"/>
  <c r="A618" i="1"/>
  <c r="B618" i="1"/>
  <c r="C618" i="1"/>
  <c r="D618" i="1"/>
  <c r="E618" i="1"/>
  <c r="A619" i="1"/>
  <c r="B619" i="1"/>
  <c r="C619" i="1"/>
  <c r="D619" i="1"/>
  <c r="E619" i="1"/>
  <c r="A620" i="1"/>
  <c r="B620" i="1"/>
  <c r="C620" i="1"/>
  <c r="D620" i="1"/>
  <c r="E620" i="1"/>
  <c r="A301" i="1"/>
  <c r="B301" i="1"/>
  <c r="C301" i="1"/>
  <c r="D301" i="1"/>
  <c r="E301" i="1"/>
  <c r="A304" i="1"/>
  <c r="B304" i="1"/>
  <c r="C304" i="1"/>
  <c r="D304" i="1"/>
  <c r="E304" i="1"/>
  <c r="A51" i="1"/>
  <c r="B51" i="1"/>
  <c r="C51" i="1"/>
  <c r="D51" i="1"/>
  <c r="E51" i="1"/>
  <c r="A53" i="1"/>
  <c r="B53" i="1"/>
  <c r="C53" i="1"/>
  <c r="D53" i="1"/>
  <c r="E53" i="1"/>
  <c r="A54" i="1"/>
  <c r="B54" i="1"/>
  <c r="C54" i="1"/>
  <c r="D54" i="1"/>
  <c r="E54" i="1"/>
  <c r="A1134" i="1"/>
  <c r="B1134" i="1"/>
  <c r="C1134" i="1"/>
  <c r="D1134" i="1"/>
  <c r="E1134" i="1"/>
  <c r="A714" i="1"/>
  <c r="B714" i="1"/>
  <c r="C714" i="1"/>
  <c r="D714" i="1"/>
  <c r="E714" i="1"/>
  <c r="A715" i="1"/>
  <c r="B715" i="1"/>
  <c r="C715" i="1"/>
  <c r="D715" i="1"/>
  <c r="E715" i="1"/>
  <c r="A197" i="1"/>
  <c r="B197" i="1"/>
  <c r="C197" i="1"/>
  <c r="D197" i="1"/>
  <c r="E197" i="1"/>
  <c r="A196" i="1"/>
  <c r="B196" i="1"/>
  <c r="C196" i="1"/>
  <c r="D196" i="1"/>
  <c r="E196" i="1"/>
  <c r="A312" i="1"/>
  <c r="B312" i="1"/>
  <c r="C312" i="1"/>
  <c r="D312" i="1"/>
  <c r="E312" i="1"/>
  <c r="A338" i="1"/>
  <c r="B338" i="1"/>
  <c r="C338" i="1"/>
  <c r="D338" i="1"/>
  <c r="E338" i="1"/>
</calcChain>
</file>

<file path=xl/sharedStrings.xml><?xml version="1.0" encoding="utf-8"?>
<sst xmlns="http://schemas.openxmlformats.org/spreadsheetml/2006/main" count="46" uniqueCount="46">
  <si>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</si>
  <si>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</si>
  <si>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</si>
  <si>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</si>
  <si>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</si>
  <si>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</si>
  <si>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</si>
  <si>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</si>
  <si>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</si>
  <si>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</si>
  <si>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</si>
  <si>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</si>
  <si>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</si>
  <si>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</si>
  <si>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</si>
  <si>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</si>
  <si>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</si>
  <si>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</si>
  <si>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</si>
  <si>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</si>
  <si>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</si>
  <si>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كمك هزينه غذا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</si>
  <si>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</si>
  <si>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</si>
  <si>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</si>
  <si>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</si>
  <si>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</si>
  <si>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</si>
  <si>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</si>
  <si>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</si>
  <si>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</si>
  <si>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</si>
  <si>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</si>
  <si>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</si>
  <si>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</si>
  <si>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</si>
  <si>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</si>
  <si>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</si>
  <si>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</si>
  <si>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</si>
  <si>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</si>
  <si>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نوبت کاري 1</t>
  </si>
  <si>
    <t>مبلغ جمع حقوق و مزايا</t>
  </si>
  <si>
    <t>مبلغ جمع كسور</t>
  </si>
  <si>
    <t>مبلغ خالص پرداختي</t>
  </si>
  <si>
    <t xml:space="preserve">جمع هزینه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</si>
</sst>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46"/>
  <sheetViews>
    <sheetView rightToLeft="1" tabSelected="1" workbookViewId="0">
      <selection activeCell="F2" sqref="F2"/>
    </sheetView>
  </sheetViews>
  <sheetFormatPr defaultRowHeight="14.25" x14ac:dyDescent="0.2"/>
  <cols>
    <col min="1" max="1" width="12.5703125" style="1" bestFit="1" customWidth="1"/>
    <col min="2" max="2" width="16.42578125" style="1" bestFit="1" customWidth="1"/>
    <col min="3" max="3" width="22" style="1" bestFit="1" customWidth="1"/>
    <col min="4" max="4" width="17.42578125" style="1" bestFit="1" customWidth="1"/>
    <col min="5" max="5" width="28.85546875" style="1" bestFit="1" customWidth="1"/>
    <col min="6" max="6" width="16.7109375" style="1" bestFit="1" customWidth="1"/>
    <col min="7" max="7" width="18" style="1" bestFit="1" customWidth="1"/>
    <col min="8" max="8" width="19.28515625" style="1" bestFit="1" customWidth="1"/>
    <col min="9" max="9" width="22.7109375" style="1" bestFit="1" customWidth="1"/>
    <col min="10" max="10" width="19.5703125" style="1" bestFit="1" customWidth="1"/>
    <col min="11" max="11" width="19" style="1" bestFit="1" customWidth="1"/>
    <col min="12" max="12" width="19.85546875" style="1" bestFit="1" customWidth="1"/>
    <col min="13" max="13" width="25.140625" style="1" bestFit="1" customWidth="1"/>
    <col min="14" max="14" width="19.5703125" style="1" bestFit="1" customWidth="1"/>
    <col min="15" max="15" width="18.42578125" style="1" bestFit="1" customWidth="1"/>
    <col min="16" max="16" width="20.28515625" style="1" bestFit="1" customWidth="1"/>
    <col min="17" max="17" width="27.7109375" style="1" bestFit="1" customWidth="1"/>
    <col min="18" max="18" width="20.140625" style="1" bestFit="1" customWidth="1"/>
    <col min="19" max="19" width="22.85546875" style="1" bestFit="1" customWidth="1"/>
    <col min="20" max="20" width="21.42578125" style="1" bestFit="1" customWidth="1"/>
    <col min="21" max="21" width="29.42578125" style="1" bestFit="1" customWidth="1"/>
    <col min="22" max="22" width="19.7109375" style="1" bestFit="1" customWidth="1"/>
    <col min="23" max="23" width="9" style="1" bestFit="1" customWidth="1"/>
    <col min="24" max="24" width="15" style="1" bestFit="1" customWidth="1"/>
    <col min="25" max="25" width="15.140625" style="1" bestFit="1" customWidth="1"/>
    <col min="26" max="26" width="19.140625" style="1" bestFit="1" customWidth="1"/>
    <col min="27" max="27" width="24.42578125" style="1" bestFit="1" customWidth="1"/>
    <col min="28" max="28" width="16.42578125" style="1" bestFit="1" customWidth="1"/>
    <col min="29" max="29" width="20.42578125" style="1" bestFit="1" customWidth="1"/>
    <col min="30" max="30" width="18.7109375" style="1" bestFit="1" customWidth="1"/>
    <col min="31" max="31" width="27.42578125" style="1" bestFit="1" customWidth="1"/>
    <col min="32" max="32" width="17.85546875" style="1" bestFit="1" customWidth="1"/>
    <col min="33" max="33" width="26.28515625" style="1" bestFit="1" customWidth="1"/>
    <col min="34" max="34" width="11.28515625" style="1" bestFit="1" customWidth="1"/>
    <col min="35" max="35" width="28.42578125" style="1" bestFit="1" customWidth="1"/>
    <col min="36" max="36" width="17.85546875" style="1" bestFit="1" customWidth="1"/>
    <col min="37" max="37" width="22.140625" style="1" bestFit="1" customWidth="1"/>
    <col min="38" max="38" width="23.7109375" style="1" bestFit="1" customWidth="1"/>
    <col min="39" max="39" width="12.42578125" style="1" bestFit="1" customWidth="1"/>
    <col min="40" max="40" width="18.7109375" style="1" bestFit="1" customWidth="1"/>
    <col min="41" max="41" width="24.5703125" style="1" bestFit="1" customWidth="1"/>
    <col min="42" max="42" width="17.140625" style="1" bestFit="1" customWidth="1"/>
    <col min="43" max="43" width="21.85546875" style="1" bestFit="1" customWidth="1"/>
    <col min="44" max="44" width="40.7109375" style="1" bestFit="1" customWidth="1"/>
    <col min="45" max="45" width="18.28515625" style="1" bestFit="1" customWidth="1"/>
    <col min="46" max="46" width="11.28515625" style="1" bestFit="1" customWidth="1"/>
    <col min="47" max="16384" width="9.140625" style="1"/>
  </cols>
  <sheetData>
    <row r="1" spans="1:46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41</v>
      </c>
      <c r="AO1" s="2" t="s">
        <v>42</v>
      </c>
      <c r="AP1" s="2" t="s">
        <v>43</v>
      </c>
      <c r="AQ1" s="2" t="s">
        <v>44</v>
      </c>
      <c r="AR1" s="2" t="s">
        <v>5</v>
      </c>
      <c r="AS1" s="2" t="s">
        <v>6</v>
      </c>
      <c r="AT1" s="1" t="s">
        <v>45</v>
      </c>
    </row>
    <row r="2" spans="1:46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18543993</v>
      </c>
      <c r="G2" s="1">
        <v>1095323</v>
      </c>
      <c r="H2" s="1">
        <v>0</v>
      </c>
      <c r="I2" s="1">
        <v>20607835</v>
      </c>
      <c r="J2" s="1">
        <v>0</v>
      </c>
      <c r="K2" s="1">
        <v>4620000</v>
      </c>
      <c r="L2" s="1">
        <v>0</v>
      </c>
      <c r="M2" s="1">
        <v>1000000</v>
      </c>
      <c r="N2" s="1">
        <v>3611314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1387000</v>
      </c>
      <c r="U2" s="1">
        <v>0</v>
      </c>
      <c r="V2" s="1">
        <v>23808025</v>
      </c>
      <c r="W2" s="1">
        <v>1900000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2579510</v>
      </c>
      <c r="AF2" s="1">
        <v>3033762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8460793</v>
      </c>
      <c r="AM2" s="1">
        <v>0</v>
      </c>
      <c r="AN2" s="1">
        <v>0</v>
      </c>
      <c r="AO2" s="1">
        <v>90647555</v>
      </c>
      <c r="AP2" s="1">
        <v>38744763</v>
      </c>
      <c r="AQ2" s="1">
        <v>51902792</v>
      </c>
      <c r="AR2" s="1">
        <v>17522759</v>
      </c>
      <c r="AS2" s="1">
        <v>2628414</v>
      </c>
      <c r="AT2" s="1">
        <f>AO2+AR2+AS2</f>
        <v>110798728</v>
      </c>
    </row>
    <row r="3" spans="1:46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20" si="1">"قراردادي کارگري"</f>
        <v>قراردادي کارگري</v>
      </c>
      <c r="E3" s="1" t="str">
        <f t="shared" si="0"/>
        <v>پروژه تعميرات نيروگاه بوشهر</v>
      </c>
      <c r="F3" s="1">
        <v>10038085</v>
      </c>
      <c r="G3" s="1">
        <v>0</v>
      </c>
      <c r="H3" s="1">
        <v>0</v>
      </c>
      <c r="I3" s="1">
        <v>9435800</v>
      </c>
      <c r="J3" s="1">
        <v>0</v>
      </c>
      <c r="K3" s="1">
        <v>0</v>
      </c>
      <c r="L3" s="1">
        <v>7462913</v>
      </c>
      <c r="M3" s="1">
        <v>1000000</v>
      </c>
      <c r="N3" s="1">
        <v>5353645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11556528</v>
      </c>
      <c r="W3" s="1">
        <v>1900000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46746971</v>
      </c>
      <c r="AP3" s="1">
        <v>5657740</v>
      </c>
      <c r="AQ3" s="1">
        <v>41089231</v>
      </c>
      <c r="AR3" s="1">
        <v>9349394</v>
      </c>
      <c r="AS3" s="1">
        <v>1402409</v>
      </c>
      <c r="AT3" s="1">
        <f t="shared" ref="AT3:AT66" si="2">AO3+AR3+AS3</f>
        <v>57498774</v>
      </c>
    </row>
    <row r="4" spans="1:46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7599785</v>
      </c>
      <c r="G4" s="1">
        <v>9229074</v>
      </c>
      <c r="H4" s="1">
        <v>0</v>
      </c>
      <c r="I4" s="1">
        <v>7371792</v>
      </c>
      <c r="J4" s="1">
        <v>0</v>
      </c>
      <c r="K4" s="1">
        <v>0</v>
      </c>
      <c r="L4" s="1">
        <v>7672721</v>
      </c>
      <c r="M4" s="1">
        <v>1000000</v>
      </c>
      <c r="N4" s="1">
        <v>3999887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6891498</v>
      </c>
      <c r="W4" s="1">
        <v>1900000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3996628</v>
      </c>
      <c r="AE4" s="1">
        <v>0</v>
      </c>
      <c r="AF4" s="1">
        <v>3033762</v>
      </c>
      <c r="AG4" s="1">
        <v>0</v>
      </c>
      <c r="AH4" s="1">
        <v>0</v>
      </c>
      <c r="AI4" s="1">
        <v>0</v>
      </c>
      <c r="AJ4" s="1">
        <v>3029029</v>
      </c>
      <c r="AK4" s="1">
        <v>0</v>
      </c>
      <c r="AL4" s="1">
        <v>0</v>
      </c>
      <c r="AM4" s="1">
        <v>0</v>
      </c>
      <c r="AN4" s="1">
        <v>0</v>
      </c>
      <c r="AO4" s="1">
        <v>55724176</v>
      </c>
      <c r="AP4" s="1">
        <v>9277160</v>
      </c>
      <c r="AQ4" s="1">
        <v>46447016</v>
      </c>
      <c r="AR4" s="1">
        <v>10538083</v>
      </c>
      <c r="AS4" s="1">
        <v>1580712</v>
      </c>
      <c r="AT4" s="1">
        <f t="shared" si="2"/>
        <v>67842971</v>
      </c>
    </row>
    <row r="5" spans="1:46" x14ac:dyDescent="0.2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7915155</v>
      </c>
      <c r="G5" s="1">
        <v>1660924</v>
      </c>
      <c r="H5" s="1">
        <v>0</v>
      </c>
      <c r="I5" s="1">
        <v>6648730</v>
      </c>
      <c r="J5" s="1">
        <v>0</v>
      </c>
      <c r="K5" s="1">
        <v>0</v>
      </c>
      <c r="L5" s="1">
        <v>7653622</v>
      </c>
      <c r="M5" s="1">
        <v>1000000</v>
      </c>
      <c r="N5" s="1">
        <v>3957578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13054358</v>
      </c>
      <c r="W5" s="1">
        <v>1900000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3926263</v>
      </c>
      <c r="AE5" s="1">
        <v>0</v>
      </c>
      <c r="AF5" s="1">
        <v>3033762</v>
      </c>
      <c r="AG5" s="1">
        <v>0</v>
      </c>
      <c r="AH5" s="1">
        <v>0</v>
      </c>
      <c r="AI5" s="1">
        <v>0</v>
      </c>
      <c r="AJ5" s="1">
        <v>3543305</v>
      </c>
      <c r="AK5" s="1">
        <v>0</v>
      </c>
      <c r="AL5" s="1">
        <v>0</v>
      </c>
      <c r="AM5" s="1">
        <v>0</v>
      </c>
      <c r="AN5" s="1">
        <v>0</v>
      </c>
      <c r="AO5" s="1">
        <v>54293697</v>
      </c>
      <c r="AP5" s="1">
        <v>15474745</v>
      </c>
      <c r="AQ5" s="1">
        <v>38818952</v>
      </c>
      <c r="AR5" s="1">
        <v>10251987</v>
      </c>
      <c r="AS5" s="1">
        <v>1537798</v>
      </c>
      <c r="AT5" s="1">
        <f t="shared" si="2"/>
        <v>66083482</v>
      </c>
    </row>
    <row r="6" spans="1:46" x14ac:dyDescent="0.2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8199605</v>
      </c>
      <c r="G6" s="1">
        <v>1763631</v>
      </c>
      <c r="H6" s="1">
        <v>0</v>
      </c>
      <c r="I6" s="1">
        <v>7707629</v>
      </c>
      <c r="J6" s="1">
        <v>0</v>
      </c>
      <c r="K6" s="1">
        <v>0</v>
      </c>
      <c r="L6" s="1">
        <v>7628143</v>
      </c>
      <c r="M6" s="1">
        <v>1000000</v>
      </c>
      <c r="N6" s="1">
        <v>4315582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13804313</v>
      </c>
      <c r="W6" s="1">
        <v>1900000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4177644</v>
      </c>
      <c r="AE6" s="1">
        <v>0</v>
      </c>
      <c r="AF6" s="1">
        <v>4550643</v>
      </c>
      <c r="AG6" s="1">
        <v>0</v>
      </c>
      <c r="AH6" s="1">
        <v>0</v>
      </c>
      <c r="AI6" s="1">
        <v>0</v>
      </c>
      <c r="AJ6" s="1">
        <v>3762412</v>
      </c>
      <c r="AK6" s="1">
        <v>0</v>
      </c>
      <c r="AL6" s="1">
        <v>0</v>
      </c>
      <c r="AM6" s="1">
        <v>0</v>
      </c>
      <c r="AN6" s="1">
        <v>0</v>
      </c>
      <c r="AO6" s="1">
        <v>58809602</v>
      </c>
      <c r="AP6" s="1">
        <v>14377555</v>
      </c>
      <c r="AQ6" s="1">
        <v>44432047</v>
      </c>
      <c r="AR6" s="1">
        <v>10851792</v>
      </c>
      <c r="AS6" s="1">
        <v>1627769</v>
      </c>
      <c r="AT6" s="1">
        <f t="shared" si="2"/>
        <v>71289163</v>
      </c>
    </row>
    <row r="7" spans="1:46" x14ac:dyDescent="0.2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7719472</v>
      </c>
      <c r="G7" s="1">
        <v>7764789</v>
      </c>
      <c r="H7" s="1">
        <v>0</v>
      </c>
      <c r="I7" s="1">
        <v>7024720</v>
      </c>
      <c r="J7" s="1">
        <v>0</v>
      </c>
      <c r="K7" s="1">
        <v>0</v>
      </c>
      <c r="L7" s="1">
        <v>7628143</v>
      </c>
      <c r="M7" s="1">
        <v>1000000</v>
      </c>
      <c r="N7" s="1">
        <v>4117051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6855507</v>
      </c>
      <c r="W7" s="1">
        <v>1900000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3973408</v>
      </c>
      <c r="AE7" s="1">
        <v>0</v>
      </c>
      <c r="AF7" s="1">
        <v>3033762</v>
      </c>
      <c r="AG7" s="1">
        <v>0</v>
      </c>
      <c r="AH7" s="1">
        <v>0</v>
      </c>
      <c r="AI7" s="1">
        <v>0</v>
      </c>
      <c r="AJ7" s="1">
        <v>3011797</v>
      </c>
      <c r="AK7" s="1">
        <v>0</v>
      </c>
      <c r="AL7" s="1">
        <v>0</v>
      </c>
      <c r="AM7" s="1">
        <v>0</v>
      </c>
      <c r="AN7" s="1">
        <v>0</v>
      </c>
      <c r="AO7" s="1">
        <v>54028649</v>
      </c>
      <c r="AP7" s="1">
        <v>7872894</v>
      </c>
      <c r="AQ7" s="1">
        <v>46155755</v>
      </c>
      <c r="AR7" s="1">
        <v>10198977</v>
      </c>
      <c r="AS7" s="1">
        <v>1529847</v>
      </c>
      <c r="AT7" s="1">
        <f t="shared" si="2"/>
        <v>65757473</v>
      </c>
    </row>
    <row r="8" spans="1:46" x14ac:dyDescent="0.2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11028777</v>
      </c>
      <c r="G8" s="1">
        <v>6531924</v>
      </c>
      <c r="H8" s="1">
        <v>0</v>
      </c>
      <c r="I8" s="1">
        <v>9264173</v>
      </c>
      <c r="J8" s="1">
        <v>0</v>
      </c>
      <c r="K8" s="1">
        <v>0</v>
      </c>
      <c r="L8" s="1">
        <v>7628143</v>
      </c>
      <c r="M8" s="1">
        <v>1000000</v>
      </c>
      <c r="N8" s="1">
        <v>5692272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13478657</v>
      </c>
      <c r="W8" s="1">
        <v>1900000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1627293</v>
      </c>
      <c r="AD8" s="1">
        <v>0</v>
      </c>
      <c r="AE8" s="1">
        <v>0</v>
      </c>
      <c r="AF8" s="1">
        <v>4550643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62701882</v>
      </c>
      <c r="AP8" s="1">
        <v>16144178</v>
      </c>
      <c r="AQ8" s="1">
        <v>46557704</v>
      </c>
      <c r="AR8" s="1">
        <v>11630248</v>
      </c>
      <c r="AS8" s="1">
        <v>1744537</v>
      </c>
      <c r="AT8" s="1">
        <f t="shared" si="2"/>
        <v>76076667</v>
      </c>
    </row>
    <row r="9" spans="1:46" x14ac:dyDescent="0.2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7936798</v>
      </c>
      <c r="G9" s="1">
        <v>521036</v>
      </c>
      <c r="H9" s="1">
        <v>0</v>
      </c>
      <c r="I9" s="1">
        <v>7301854</v>
      </c>
      <c r="J9" s="1">
        <v>0</v>
      </c>
      <c r="K9" s="1">
        <v>0</v>
      </c>
      <c r="L9" s="1">
        <v>7628143</v>
      </c>
      <c r="M9" s="1">
        <v>1000000</v>
      </c>
      <c r="N9" s="1">
        <v>4204926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9847397</v>
      </c>
      <c r="W9" s="1">
        <v>1900000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1516881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41857035</v>
      </c>
      <c r="AP9" s="1">
        <v>7923797</v>
      </c>
      <c r="AQ9" s="1">
        <v>33933238</v>
      </c>
      <c r="AR9" s="1">
        <v>8068031</v>
      </c>
      <c r="AS9" s="1">
        <v>1210205</v>
      </c>
      <c r="AT9" s="1">
        <f t="shared" si="2"/>
        <v>51135271</v>
      </c>
    </row>
    <row r="10" spans="1:46" x14ac:dyDescent="0.2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8391382</v>
      </c>
      <c r="G10" s="1">
        <v>6596088</v>
      </c>
      <c r="H10" s="1">
        <v>0</v>
      </c>
      <c r="I10" s="1">
        <v>8139641</v>
      </c>
      <c r="J10" s="1">
        <v>0</v>
      </c>
      <c r="K10" s="1">
        <v>0</v>
      </c>
      <c r="L10" s="1">
        <v>7628143</v>
      </c>
      <c r="M10" s="1">
        <v>1000000</v>
      </c>
      <c r="N10" s="1">
        <v>4445766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7347372</v>
      </c>
      <c r="W10" s="1">
        <v>1900000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4290740</v>
      </c>
      <c r="AE10" s="1">
        <v>0</v>
      </c>
      <c r="AF10" s="1">
        <v>6067524</v>
      </c>
      <c r="AG10" s="1">
        <v>0</v>
      </c>
      <c r="AH10" s="1">
        <v>0</v>
      </c>
      <c r="AI10" s="1">
        <v>0</v>
      </c>
      <c r="AJ10" s="1">
        <v>4870957</v>
      </c>
      <c r="AK10" s="1">
        <v>0</v>
      </c>
      <c r="AL10" s="1">
        <v>0</v>
      </c>
      <c r="AM10" s="1">
        <v>0</v>
      </c>
      <c r="AN10" s="1">
        <v>0</v>
      </c>
      <c r="AO10" s="1">
        <v>60677613</v>
      </c>
      <c r="AP10" s="1">
        <v>7085750</v>
      </c>
      <c r="AQ10" s="1">
        <v>53591863</v>
      </c>
      <c r="AR10" s="1">
        <v>10922018</v>
      </c>
      <c r="AS10" s="1">
        <v>1638303</v>
      </c>
      <c r="AT10" s="1">
        <f t="shared" si="2"/>
        <v>73237934</v>
      </c>
    </row>
    <row r="11" spans="1:46" x14ac:dyDescent="0.2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7531764</v>
      </c>
      <c r="G11" s="1">
        <v>0</v>
      </c>
      <c r="H11" s="1">
        <v>0</v>
      </c>
      <c r="I11" s="1">
        <v>7004541</v>
      </c>
      <c r="J11" s="1">
        <v>0</v>
      </c>
      <c r="K11" s="1">
        <v>0</v>
      </c>
      <c r="L11" s="1">
        <v>7672721</v>
      </c>
      <c r="M11" s="1">
        <v>1000000</v>
      </c>
      <c r="N11" s="1">
        <v>3964086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9553103</v>
      </c>
      <c r="W11" s="1">
        <v>1900000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3033762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41659977</v>
      </c>
      <c r="AP11" s="1">
        <v>4915449</v>
      </c>
      <c r="AQ11" s="1">
        <v>36744528</v>
      </c>
      <c r="AR11" s="1">
        <v>7725243</v>
      </c>
      <c r="AS11" s="1">
        <v>1158786</v>
      </c>
      <c r="AT11" s="1">
        <f t="shared" si="2"/>
        <v>50544006</v>
      </c>
    </row>
    <row r="12" spans="1:46" x14ac:dyDescent="0.2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7875205</v>
      </c>
      <c r="G12" s="1">
        <v>2334562</v>
      </c>
      <c r="H12" s="1">
        <v>0</v>
      </c>
      <c r="I12" s="1">
        <v>7245189</v>
      </c>
      <c r="J12" s="1">
        <v>0</v>
      </c>
      <c r="K12" s="1">
        <v>0</v>
      </c>
      <c r="L12" s="1">
        <v>7628143</v>
      </c>
      <c r="M12" s="1">
        <v>1000000</v>
      </c>
      <c r="N12" s="1">
        <v>4091014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9920543</v>
      </c>
      <c r="W12" s="1">
        <v>1900000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4025933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3320267</v>
      </c>
      <c r="AK12" s="1">
        <v>0</v>
      </c>
      <c r="AL12" s="1">
        <v>0</v>
      </c>
      <c r="AM12" s="1">
        <v>0</v>
      </c>
      <c r="AN12" s="1">
        <v>0</v>
      </c>
      <c r="AO12" s="1">
        <v>49340856</v>
      </c>
      <c r="AP12" s="1">
        <v>5719645</v>
      </c>
      <c r="AQ12" s="1">
        <v>43621211</v>
      </c>
      <c r="AR12" s="1">
        <v>9868171</v>
      </c>
      <c r="AS12" s="1">
        <v>1480226</v>
      </c>
      <c r="AT12" s="1">
        <f t="shared" si="2"/>
        <v>60689253</v>
      </c>
    </row>
    <row r="13" spans="1:46" x14ac:dyDescent="0.2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9675748</v>
      </c>
      <c r="G13" s="1">
        <v>1491359</v>
      </c>
      <c r="H13" s="1">
        <v>0</v>
      </c>
      <c r="I13" s="1">
        <v>8611416</v>
      </c>
      <c r="J13" s="1">
        <v>0</v>
      </c>
      <c r="K13" s="1">
        <v>0</v>
      </c>
      <c r="L13" s="1">
        <v>7462913</v>
      </c>
      <c r="M13" s="1">
        <v>1000000</v>
      </c>
      <c r="N13" s="1">
        <v>5160398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11358893</v>
      </c>
      <c r="W13" s="1">
        <v>1900000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3033762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49694489</v>
      </c>
      <c r="AP13" s="1">
        <v>4725075</v>
      </c>
      <c r="AQ13" s="1">
        <v>44969414</v>
      </c>
      <c r="AR13" s="1">
        <v>9332145</v>
      </c>
      <c r="AS13" s="1">
        <v>1399822</v>
      </c>
      <c r="AT13" s="1">
        <f t="shared" si="2"/>
        <v>60426456</v>
      </c>
    </row>
    <row r="14" spans="1:46" x14ac:dyDescent="0.2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9803236</v>
      </c>
      <c r="G14" s="1">
        <v>1968549</v>
      </c>
      <c r="H14" s="1">
        <v>0</v>
      </c>
      <c r="I14" s="1">
        <v>6666201</v>
      </c>
      <c r="J14" s="1">
        <v>0</v>
      </c>
      <c r="K14" s="1">
        <v>0</v>
      </c>
      <c r="L14" s="1">
        <v>7462913</v>
      </c>
      <c r="M14" s="1">
        <v>1000000</v>
      </c>
      <c r="N14" s="1">
        <v>5228392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10692339</v>
      </c>
      <c r="W14" s="1">
        <v>1900000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44721630</v>
      </c>
      <c r="AP14" s="1">
        <v>11608015</v>
      </c>
      <c r="AQ14" s="1">
        <v>33113615</v>
      </c>
      <c r="AR14" s="1">
        <v>8944326</v>
      </c>
      <c r="AS14" s="1">
        <v>1341649</v>
      </c>
      <c r="AT14" s="1">
        <f t="shared" si="2"/>
        <v>55007605</v>
      </c>
    </row>
    <row r="15" spans="1:46" x14ac:dyDescent="0.2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7882609</v>
      </c>
      <c r="G15" s="1">
        <v>3544843</v>
      </c>
      <c r="H15" s="1">
        <v>0</v>
      </c>
      <c r="I15" s="1">
        <v>7488479</v>
      </c>
      <c r="J15" s="1">
        <v>0</v>
      </c>
      <c r="K15" s="1">
        <v>0</v>
      </c>
      <c r="L15" s="1">
        <v>7672721</v>
      </c>
      <c r="M15" s="1">
        <v>1000000</v>
      </c>
      <c r="N15" s="1">
        <v>3941305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7270087</v>
      </c>
      <c r="W15" s="1">
        <v>1900000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1627293</v>
      </c>
      <c r="AD15" s="1">
        <v>0</v>
      </c>
      <c r="AE15" s="1">
        <v>0</v>
      </c>
      <c r="AF15" s="1">
        <v>1516881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43844218</v>
      </c>
      <c r="AP15" s="1">
        <v>4678979</v>
      </c>
      <c r="AQ15" s="1">
        <v>39165239</v>
      </c>
      <c r="AR15" s="1">
        <v>8465467</v>
      </c>
      <c r="AS15" s="1">
        <v>1269820</v>
      </c>
      <c r="AT15" s="1">
        <f t="shared" si="2"/>
        <v>53579505</v>
      </c>
    </row>
    <row r="16" spans="1:46" x14ac:dyDescent="0.2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6307389</v>
      </c>
      <c r="G16" s="1">
        <v>0</v>
      </c>
      <c r="H16" s="1">
        <v>0</v>
      </c>
      <c r="I16" s="1">
        <v>5424354</v>
      </c>
      <c r="J16" s="1">
        <v>0</v>
      </c>
      <c r="K16" s="1">
        <v>0</v>
      </c>
      <c r="L16" s="1">
        <v>7672721</v>
      </c>
      <c r="M16" s="1">
        <v>1000000</v>
      </c>
      <c r="N16" s="1">
        <v>2956588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6593008</v>
      </c>
      <c r="W16" s="1">
        <v>1900000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3033762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34887822</v>
      </c>
      <c r="AP16" s="1">
        <v>6889967</v>
      </c>
      <c r="AQ16" s="1">
        <v>27997855</v>
      </c>
      <c r="AR16" s="1">
        <v>6370812</v>
      </c>
      <c r="AS16" s="1">
        <v>955622</v>
      </c>
      <c r="AT16" s="1">
        <f t="shared" si="2"/>
        <v>42214256</v>
      </c>
    </row>
    <row r="17" spans="1:46" x14ac:dyDescent="0.2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8397485</v>
      </c>
      <c r="G17" s="1">
        <v>4958292</v>
      </c>
      <c r="H17" s="1">
        <v>0</v>
      </c>
      <c r="I17" s="1">
        <v>7557736</v>
      </c>
      <c r="J17" s="1">
        <v>0</v>
      </c>
      <c r="K17" s="1">
        <v>0</v>
      </c>
      <c r="L17" s="1">
        <v>7628143</v>
      </c>
      <c r="M17" s="1">
        <v>1000000</v>
      </c>
      <c r="N17" s="1">
        <v>4419730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7129944</v>
      </c>
      <c r="W17" s="1">
        <v>1900000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3033762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46025092</v>
      </c>
      <c r="AP17" s="1">
        <v>4126963</v>
      </c>
      <c r="AQ17" s="1">
        <v>41898129</v>
      </c>
      <c r="AR17" s="1">
        <v>8598266</v>
      </c>
      <c r="AS17" s="1">
        <v>1289740</v>
      </c>
      <c r="AT17" s="1">
        <f t="shared" si="2"/>
        <v>55913098</v>
      </c>
    </row>
    <row r="18" spans="1:46" x14ac:dyDescent="0.2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 t="shared" si="1"/>
        <v>قراردادي کارگري</v>
      </c>
      <c r="E18" s="1" t="str">
        <f t="shared" si="0"/>
        <v>پروژه تعميرات نيروگاه بوشهر</v>
      </c>
      <c r="F18" s="1">
        <v>10608431</v>
      </c>
      <c r="G18" s="1">
        <v>0</v>
      </c>
      <c r="H18" s="1">
        <v>0</v>
      </c>
      <c r="I18" s="1">
        <v>8911082</v>
      </c>
      <c r="J18" s="1">
        <v>0</v>
      </c>
      <c r="K18" s="1">
        <v>4620000</v>
      </c>
      <c r="L18" s="1">
        <v>7462913</v>
      </c>
      <c r="M18" s="1">
        <v>1000000</v>
      </c>
      <c r="N18" s="1">
        <v>5475318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12197322</v>
      </c>
      <c r="W18" s="1">
        <v>1900000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1789320</v>
      </c>
      <c r="AD18" s="1">
        <v>0</v>
      </c>
      <c r="AE18" s="1">
        <v>0</v>
      </c>
      <c r="AF18" s="1">
        <v>1516881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55481267</v>
      </c>
      <c r="AP18" s="1">
        <v>8690077</v>
      </c>
      <c r="AQ18" s="1">
        <v>46791190</v>
      </c>
      <c r="AR18" s="1">
        <v>10792877</v>
      </c>
      <c r="AS18" s="1">
        <v>1618932</v>
      </c>
      <c r="AT18" s="1">
        <f t="shared" si="2"/>
        <v>67893076</v>
      </c>
    </row>
    <row r="19" spans="1:46" x14ac:dyDescent="0.2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 t="shared" si="1"/>
        <v>قراردادي کارگري</v>
      </c>
      <c r="E19" s="1" t="str">
        <f t="shared" si="0"/>
        <v>پروژه تعميرات نيروگاه بوشهر</v>
      </c>
      <c r="F19" s="1">
        <v>8885022</v>
      </c>
      <c r="G19" s="1">
        <v>2012961</v>
      </c>
      <c r="H19" s="1">
        <v>0</v>
      </c>
      <c r="I19" s="1">
        <v>8707321</v>
      </c>
      <c r="J19" s="1">
        <v>0</v>
      </c>
      <c r="K19" s="1">
        <v>0</v>
      </c>
      <c r="L19" s="1">
        <v>7628143</v>
      </c>
      <c r="M19" s="1">
        <v>1000000</v>
      </c>
      <c r="N19" s="1">
        <v>4738679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10793034</v>
      </c>
      <c r="W19" s="1">
        <v>1900000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3033762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48698922</v>
      </c>
      <c r="AP19" s="1">
        <v>6817044</v>
      </c>
      <c r="AQ19" s="1">
        <v>41881878</v>
      </c>
      <c r="AR19" s="1">
        <v>9133032</v>
      </c>
      <c r="AS19" s="1">
        <v>1369955</v>
      </c>
      <c r="AT19" s="1">
        <f t="shared" si="2"/>
        <v>59201909</v>
      </c>
    </row>
    <row r="20" spans="1:46" x14ac:dyDescent="0.2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 t="shared" si="1"/>
        <v>قراردادي کارگري</v>
      </c>
      <c r="E20" s="1" t="str">
        <f t="shared" si="0"/>
        <v>پروژه تعميرات نيروگاه بوشهر</v>
      </c>
      <c r="F20" s="1">
        <v>9282122</v>
      </c>
      <c r="G20" s="1">
        <v>4366610</v>
      </c>
      <c r="H20" s="1">
        <v>0</v>
      </c>
      <c r="I20" s="1">
        <v>8446731</v>
      </c>
      <c r="J20" s="1">
        <v>0</v>
      </c>
      <c r="K20" s="1">
        <v>0</v>
      </c>
      <c r="L20" s="1">
        <v>7628143</v>
      </c>
      <c r="M20" s="1">
        <v>1000000</v>
      </c>
      <c r="N20" s="1">
        <v>4917681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8401014</v>
      </c>
      <c r="W20" s="1">
        <v>1900000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1516881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47459182</v>
      </c>
      <c r="AP20" s="1">
        <v>8629973</v>
      </c>
      <c r="AQ20" s="1">
        <v>38829209</v>
      </c>
      <c r="AR20" s="1">
        <v>9188460</v>
      </c>
      <c r="AS20" s="1">
        <v>1378269</v>
      </c>
      <c r="AT20" s="1">
        <f t="shared" si="2"/>
        <v>58025911</v>
      </c>
    </row>
    <row r="21" spans="1:46" x14ac:dyDescent="0.2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17604197</v>
      </c>
      <c r="G21" s="1">
        <v>3649519</v>
      </c>
      <c r="H21" s="1">
        <v>0</v>
      </c>
      <c r="I21" s="1">
        <v>15061385</v>
      </c>
      <c r="J21" s="1">
        <v>0</v>
      </c>
      <c r="K21" s="1">
        <v>4620000</v>
      </c>
      <c r="L21" s="1">
        <v>0</v>
      </c>
      <c r="M21" s="1">
        <v>1000000</v>
      </c>
      <c r="N21" s="1">
        <v>3282385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1387000</v>
      </c>
      <c r="U21" s="1">
        <v>0</v>
      </c>
      <c r="V21" s="1">
        <v>11122343</v>
      </c>
      <c r="W21" s="1">
        <v>1900000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2344561</v>
      </c>
      <c r="AF21" s="1">
        <v>1516881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8050569</v>
      </c>
      <c r="AM21" s="1">
        <v>0</v>
      </c>
      <c r="AN21" s="1">
        <v>0</v>
      </c>
      <c r="AO21" s="1">
        <v>71538840</v>
      </c>
      <c r="AP21" s="1">
        <v>13538811</v>
      </c>
      <c r="AQ21" s="1">
        <v>58000029</v>
      </c>
      <c r="AR21" s="1">
        <v>14004392</v>
      </c>
      <c r="AS21" s="1">
        <v>2100659</v>
      </c>
      <c r="AT21" s="1">
        <f t="shared" si="2"/>
        <v>87643891</v>
      </c>
    </row>
    <row r="22" spans="1:46" x14ac:dyDescent="0.2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9112112</v>
      </c>
      <c r="G22" s="1">
        <v>1828335</v>
      </c>
      <c r="H22" s="1">
        <v>0</v>
      </c>
      <c r="I22" s="1">
        <v>7471932</v>
      </c>
      <c r="J22" s="1">
        <v>0</v>
      </c>
      <c r="K22" s="1">
        <v>0</v>
      </c>
      <c r="L22" s="1">
        <v>7462913</v>
      </c>
      <c r="M22" s="1">
        <v>1000000</v>
      </c>
      <c r="N22" s="1">
        <v>4859794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14276779</v>
      </c>
      <c r="W22" s="1">
        <v>1900000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4336013</v>
      </c>
      <c r="AE22" s="1">
        <v>0</v>
      </c>
      <c r="AF22" s="1">
        <v>4550643</v>
      </c>
      <c r="AG22" s="1">
        <v>0</v>
      </c>
      <c r="AH22" s="1">
        <v>0</v>
      </c>
      <c r="AI22" s="1">
        <v>0</v>
      </c>
      <c r="AJ22" s="1">
        <v>3900448</v>
      </c>
      <c r="AK22" s="1">
        <v>0</v>
      </c>
      <c r="AL22" s="1">
        <v>0</v>
      </c>
      <c r="AM22" s="1">
        <v>0</v>
      </c>
      <c r="AN22" s="1">
        <v>0</v>
      </c>
      <c r="AO22" s="1">
        <v>60698969</v>
      </c>
      <c r="AP22" s="1">
        <v>6953242</v>
      </c>
      <c r="AQ22" s="1">
        <v>53745727</v>
      </c>
      <c r="AR22" s="1">
        <v>11229665</v>
      </c>
      <c r="AS22" s="1">
        <v>1684450</v>
      </c>
      <c r="AT22" s="1">
        <f t="shared" si="2"/>
        <v>73613084</v>
      </c>
    </row>
    <row r="23" spans="1:46" x14ac:dyDescent="0.2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8618146</v>
      </c>
      <c r="G23" s="1">
        <v>4173030</v>
      </c>
      <c r="H23" s="1">
        <v>0</v>
      </c>
      <c r="I23" s="1">
        <v>8359602</v>
      </c>
      <c r="J23" s="1">
        <v>0</v>
      </c>
      <c r="K23" s="1">
        <v>0</v>
      </c>
      <c r="L23" s="1">
        <v>7672721</v>
      </c>
      <c r="M23" s="1">
        <v>1000000</v>
      </c>
      <c r="N23" s="1">
        <v>4309072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10465658</v>
      </c>
      <c r="W23" s="1">
        <v>1900000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3033762</v>
      </c>
      <c r="AG23" s="1">
        <v>0</v>
      </c>
      <c r="AH23" s="1">
        <v>0</v>
      </c>
      <c r="AI23" s="1">
        <v>0</v>
      </c>
      <c r="AJ23" s="1">
        <v>7121971</v>
      </c>
      <c r="AK23" s="1">
        <v>0</v>
      </c>
      <c r="AL23" s="1">
        <v>0</v>
      </c>
      <c r="AM23" s="1">
        <v>0</v>
      </c>
      <c r="AN23" s="1">
        <v>2895954</v>
      </c>
      <c r="AO23" s="1">
        <v>59549916</v>
      </c>
      <c r="AP23" s="1">
        <v>11161170</v>
      </c>
      <c r="AQ23" s="1">
        <v>48388746</v>
      </c>
      <c r="AR23" s="1">
        <v>11303231</v>
      </c>
      <c r="AS23" s="1">
        <v>1695485</v>
      </c>
      <c r="AT23" s="1">
        <f t="shared" si="2"/>
        <v>72548632</v>
      </c>
    </row>
    <row r="24" spans="1:46" x14ac:dyDescent="0.2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15523064</v>
      </c>
      <c r="G24" s="1">
        <v>0</v>
      </c>
      <c r="H24" s="1">
        <v>0</v>
      </c>
      <c r="I24" s="1">
        <v>13950694</v>
      </c>
      <c r="J24" s="1">
        <v>0</v>
      </c>
      <c r="K24" s="1">
        <v>4620000</v>
      </c>
      <c r="L24" s="1">
        <v>0</v>
      </c>
      <c r="M24" s="1">
        <v>1000000</v>
      </c>
      <c r="N24" s="1">
        <v>2910520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1387000</v>
      </c>
      <c r="U24" s="1">
        <v>0</v>
      </c>
      <c r="V24" s="1">
        <v>14797568</v>
      </c>
      <c r="W24" s="1">
        <v>1900000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2078943</v>
      </c>
      <c r="AF24" s="1">
        <v>3033762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5530207</v>
      </c>
      <c r="AM24" s="1">
        <v>0</v>
      </c>
      <c r="AN24" s="1">
        <v>0</v>
      </c>
      <c r="AO24" s="1">
        <v>66731758</v>
      </c>
      <c r="AP24" s="1">
        <v>25409141</v>
      </c>
      <c r="AQ24" s="1">
        <v>41322617</v>
      </c>
      <c r="AR24" s="1">
        <v>12739599</v>
      </c>
      <c r="AS24" s="1">
        <v>1910940</v>
      </c>
      <c r="AT24" s="1">
        <f t="shared" si="2"/>
        <v>81382297</v>
      </c>
    </row>
    <row r="25" spans="1:46" x14ac:dyDescent="0.2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15608500</v>
      </c>
      <c r="G25" s="1">
        <v>4814146</v>
      </c>
      <c r="H25" s="1">
        <v>0</v>
      </c>
      <c r="I25" s="1">
        <v>13906797</v>
      </c>
      <c r="J25" s="1">
        <v>0</v>
      </c>
      <c r="K25" s="1">
        <v>4620000</v>
      </c>
      <c r="L25" s="1">
        <v>0</v>
      </c>
      <c r="M25" s="1">
        <v>1000000</v>
      </c>
      <c r="N25" s="1">
        <v>2940422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1606000</v>
      </c>
      <c r="U25" s="1">
        <v>0</v>
      </c>
      <c r="V25" s="1">
        <v>14739607</v>
      </c>
      <c r="W25" s="1">
        <v>1900000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2100302</v>
      </c>
      <c r="AF25" s="1">
        <v>1516881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7557143</v>
      </c>
      <c r="AM25" s="1">
        <v>0</v>
      </c>
      <c r="AN25" s="1">
        <v>0</v>
      </c>
      <c r="AO25" s="1">
        <v>72309798</v>
      </c>
      <c r="AP25" s="1">
        <v>30809758</v>
      </c>
      <c r="AQ25" s="1">
        <v>41500040</v>
      </c>
      <c r="AR25" s="1">
        <v>14158583</v>
      </c>
      <c r="AS25" s="1">
        <v>2123788</v>
      </c>
      <c r="AT25" s="1">
        <f t="shared" si="2"/>
        <v>88592169</v>
      </c>
    </row>
    <row r="26" spans="1:46" x14ac:dyDescent="0.2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8143952</v>
      </c>
      <c r="G26" s="1">
        <v>2270732</v>
      </c>
      <c r="H26" s="1">
        <v>0</v>
      </c>
      <c r="I26" s="1">
        <v>6759481</v>
      </c>
      <c r="J26" s="1">
        <v>0</v>
      </c>
      <c r="K26" s="1">
        <v>0</v>
      </c>
      <c r="L26" s="1">
        <v>7672721</v>
      </c>
      <c r="M26" s="1">
        <v>1000000</v>
      </c>
      <c r="N26" s="1">
        <v>4286289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13361952</v>
      </c>
      <c r="W26" s="1">
        <v>1900000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4029367</v>
      </c>
      <c r="AE26" s="1">
        <v>0</v>
      </c>
      <c r="AF26" s="1">
        <v>6067524</v>
      </c>
      <c r="AG26" s="1">
        <v>0</v>
      </c>
      <c r="AH26" s="1">
        <v>0</v>
      </c>
      <c r="AI26" s="1">
        <v>0</v>
      </c>
      <c r="AJ26" s="1">
        <v>5449757</v>
      </c>
      <c r="AK26" s="1">
        <v>0</v>
      </c>
      <c r="AL26" s="1">
        <v>0</v>
      </c>
      <c r="AM26" s="1">
        <v>0</v>
      </c>
      <c r="AN26" s="1">
        <v>0</v>
      </c>
      <c r="AO26" s="1">
        <v>60941775</v>
      </c>
      <c r="AP26" s="1">
        <v>6367256</v>
      </c>
      <c r="AQ26" s="1">
        <v>54574519</v>
      </c>
      <c r="AR26" s="1">
        <v>10974850</v>
      </c>
      <c r="AS26" s="1">
        <v>1646228</v>
      </c>
      <c r="AT26" s="1">
        <f t="shared" si="2"/>
        <v>73562853</v>
      </c>
    </row>
    <row r="27" spans="1:46" x14ac:dyDescent="0.2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6678412</v>
      </c>
      <c r="G27" s="1">
        <v>227691</v>
      </c>
      <c r="H27" s="1">
        <v>0</v>
      </c>
      <c r="I27" s="1">
        <v>5877003</v>
      </c>
      <c r="J27" s="1">
        <v>0</v>
      </c>
      <c r="K27" s="1">
        <v>0</v>
      </c>
      <c r="L27" s="1">
        <v>7672721</v>
      </c>
      <c r="M27" s="1">
        <v>1000000</v>
      </c>
      <c r="N27" s="1">
        <v>3339204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8699713</v>
      </c>
      <c r="W27" s="1">
        <v>1900000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1516881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36911625</v>
      </c>
      <c r="AP27" s="1">
        <v>4187031</v>
      </c>
      <c r="AQ27" s="1">
        <v>32724594</v>
      </c>
      <c r="AR27" s="1">
        <v>7078949</v>
      </c>
      <c r="AS27" s="1">
        <v>1061842</v>
      </c>
      <c r="AT27" s="1">
        <f t="shared" si="2"/>
        <v>45052416</v>
      </c>
    </row>
    <row r="28" spans="1:46" x14ac:dyDescent="0.2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7876100</v>
      </c>
      <c r="G28" s="1">
        <v>2571624</v>
      </c>
      <c r="H28" s="1">
        <v>0</v>
      </c>
      <c r="I28" s="1">
        <v>7561056</v>
      </c>
      <c r="J28" s="1">
        <v>0</v>
      </c>
      <c r="K28" s="1">
        <v>0</v>
      </c>
      <c r="L28" s="1">
        <v>7672721</v>
      </c>
      <c r="M28" s="1">
        <v>1000000</v>
      </c>
      <c r="N28" s="1">
        <v>3938049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13444955</v>
      </c>
      <c r="W28" s="1">
        <v>1900000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4057189</v>
      </c>
      <c r="AE28" s="1">
        <v>0</v>
      </c>
      <c r="AF28" s="1">
        <v>1516881</v>
      </c>
      <c r="AG28" s="1">
        <v>0</v>
      </c>
      <c r="AH28" s="1">
        <v>0</v>
      </c>
      <c r="AI28" s="1">
        <v>0</v>
      </c>
      <c r="AJ28" s="1">
        <v>5486132</v>
      </c>
      <c r="AK28" s="1">
        <v>0</v>
      </c>
      <c r="AL28" s="1">
        <v>0</v>
      </c>
      <c r="AM28" s="1">
        <v>0</v>
      </c>
      <c r="AN28" s="1">
        <v>0</v>
      </c>
      <c r="AO28" s="1">
        <v>57024707</v>
      </c>
      <c r="AP28" s="1">
        <v>9267224</v>
      </c>
      <c r="AQ28" s="1">
        <v>47757483</v>
      </c>
      <c r="AR28" s="1">
        <v>11101565</v>
      </c>
      <c r="AS28" s="1">
        <v>1665235</v>
      </c>
      <c r="AT28" s="1">
        <f t="shared" si="2"/>
        <v>69791507</v>
      </c>
    </row>
    <row r="29" spans="1:46" x14ac:dyDescent="0.2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7198576</v>
      </c>
      <c r="G29" s="1">
        <v>0</v>
      </c>
      <c r="H29" s="1">
        <v>0</v>
      </c>
      <c r="I29" s="1">
        <v>6838648</v>
      </c>
      <c r="J29" s="1">
        <v>0</v>
      </c>
      <c r="K29" s="1">
        <v>0</v>
      </c>
      <c r="L29" s="1">
        <v>7672721</v>
      </c>
      <c r="M29" s="1">
        <v>1000000</v>
      </c>
      <c r="N29" s="1">
        <v>3739520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9316108</v>
      </c>
      <c r="W29" s="1">
        <v>1900000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3033762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40699335</v>
      </c>
      <c r="AP29" s="1">
        <v>3258865</v>
      </c>
      <c r="AQ29" s="1">
        <v>37440470</v>
      </c>
      <c r="AR29" s="1">
        <v>7533115</v>
      </c>
      <c r="AS29" s="1">
        <v>1129967</v>
      </c>
      <c r="AT29" s="1">
        <f t="shared" si="2"/>
        <v>49362417</v>
      </c>
    </row>
    <row r="30" spans="1:46" x14ac:dyDescent="0.2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15641360</v>
      </c>
      <c r="G30" s="1">
        <v>3195616</v>
      </c>
      <c r="H30" s="1">
        <v>0</v>
      </c>
      <c r="I30" s="1">
        <v>13367382</v>
      </c>
      <c r="J30" s="1">
        <v>0</v>
      </c>
      <c r="K30" s="1">
        <v>3465000</v>
      </c>
      <c r="L30" s="1">
        <v>0</v>
      </c>
      <c r="M30" s="1">
        <v>1000000</v>
      </c>
      <c r="N30" s="1">
        <v>2951923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1387000</v>
      </c>
      <c r="U30" s="1">
        <v>0</v>
      </c>
      <c r="V30" s="1">
        <v>10678598</v>
      </c>
      <c r="W30" s="1">
        <v>1900000</v>
      </c>
      <c r="X30" s="1">
        <v>2270520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2108517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11860269</v>
      </c>
      <c r="AM30" s="1">
        <v>0</v>
      </c>
      <c r="AN30" s="1">
        <v>0</v>
      </c>
      <c r="AO30" s="1">
        <v>69826185</v>
      </c>
      <c r="AP30" s="1">
        <v>27038976</v>
      </c>
      <c r="AQ30" s="1">
        <v>42787209</v>
      </c>
      <c r="AR30" s="1">
        <v>13965237</v>
      </c>
      <c r="AS30" s="1">
        <v>2094786</v>
      </c>
      <c r="AT30" s="1">
        <f t="shared" si="2"/>
        <v>85886208</v>
      </c>
    </row>
    <row r="31" spans="1:46" x14ac:dyDescent="0.2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16281035</v>
      </c>
      <c r="G31" s="1">
        <v>6829684</v>
      </c>
      <c r="H31" s="1">
        <v>0</v>
      </c>
      <c r="I31" s="1">
        <v>14930921</v>
      </c>
      <c r="J31" s="1">
        <v>0</v>
      </c>
      <c r="K31" s="1">
        <v>4620000</v>
      </c>
      <c r="L31" s="1">
        <v>0</v>
      </c>
      <c r="M31" s="1">
        <v>1000000</v>
      </c>
      <c r="N31" s="1">
        <v>3175809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1387000</v>
      </c>
      <c r="U31" s="1">
        <v>0</v>
      </c>
      <c r="V31" s="1">
        <v>15734646</v>
      </c>
      <c r="W31" s="1">
        <v>1900000</v>
      </c>
      <c r="X31" s="1">
        <v>2363376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2268435</v>
      </c>
      <c r="AF31" s="1">
        <v>1516881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12133402</v>
      </c>
      <c r="AM31" s="1">
        <v>0</v>
      </c>
      <c r="AN31" s="1">
        <v>0</v>
      </c>
      <c r="AO31" s="1">
        <v>84141189</v>
      </c>
      <c r="AP31" s="1">
        <v>30138093</v>
      </c>
      <c r="AQ31" s="1">
        <v>54003096</v>
      </c>
      <c r="AR31" s="1">
        <v>16524862</v>
      </c>
      <c r="AS31" s="1">
        <v>2478729</v>
      </c>
      <c r="AT31" s="1">
        <f t="shared" si="2"/>
        <v>103144780</v>
      </c>
    </row>
    <row r="32" spans="1:46" x14ac:dyDescent="0.2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6" si="3">"قراردادي کارگري"</f>
        <v>قراردادي کارگري</v>
      </c>
      <c r="E32" s="1" t="str">
        <f t="shared" ref="E32:E50" si="4">"پروژه تعميرات نيروگاه بوشهر"</f>
        <v>پروژه تعميرات نيروگاه بوشهر</v>
      </c>
      <c r="F32" s="1">
        <v>8440526</v>
      </c>
      <c r="G32" s="1">
        <v>8512229</v>
      </c>
      <c r="H32" s="1">
        <v>0</v>
      </c>
      <c r="I32" s="1">
        <v>7680879</v>
      </c>
      <c r="J32" s="1">
        <v>0</v>
      </c>
      <c r="K32" s="1">
        <v>0</v>
      </c>
      <c r="L32" s="1">
        <v>7628143</v>
      </c>
      <c r="M32" s="1">
        <v>1000000</v>
      </c>
      <c r="N32" s="1">
        <v>4471804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7258189</v>
      </c>
      <c r="W32" s="1">
        <v>1900000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4233203</v>
      </c>
      <c r="AE32" s="1">
        <v>0</v>
      </c>
      <c r="AF32" s="1">
        <v>1516881</v>
      </c>
      <c r="AG32" s="1">
        <v>0</v>
      </c>
      <c r="AH32" s="1">
        <v>0</v>
      </c>
      <c r="AI32" s="1">
        <v>0</v>
      </c>
      <c r="AJ32" s="1">
        <v>3204604</v>
      </c>
      <c r="AK32" s="1">
        <v>0</v>
      </c>
      <c r="AL32" s="1">
        <v>0</v>
      </c>
      <c r="AM32" s="1">
        <v>0</v>
      </c>
      <c r="AN32" s="1">
        <v>0</v>
      </c>
      <c r="AO32" s="1">
        <v>55846458</v>
      </c>
      <c r="AP32" s="1">
        <v>5823409</v>
      </c>
      <c r="AQ32" s="1">
        <v>50023049</v>
      </c>
      <c r="AR32" s="1">
        <v>10865915</v>
      </c>
      <c r="AS32" s="1">
        <v>1629887</v>
      </c>
      <c r="AT32" s="1">
        <f t="shared" si="2"/>
        <v>68342260</v>
      </c>
    </row>
    <row r="33" spans="1:46" x14ac:dyDescent="0.2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8075931</v>
      </c>
      <c r="G33" s="1">
        <v>2337566</v>
      </c>
      <c r="H33" s="1">
        <v>0</v>
      </c>
      <c r="I33" s="1">
        <v>6864542</v>
      </c>
      <c r="J33" s="1">
        <v>0</v>
      </c>
      <c r="K33" s="1">
        <v>0</v>
      </c>
      <c r="L33" s="1">
        <v>7628143</v>
      </c>
      <c r="M33" s="1">
        <v>1000000</v>
      </c>
      <c r="N33" s="1">
        <v>4250489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9988284</v>
      </c>
      <c r="W33" s="1">
        <v>1900000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1516881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43561836</v>
      </c>
      <c r="AP33" s="1">
        <v>4695091</v>
      </c>
      <c r="AQ33" s="1">
        <v>38866745</v>
      </c>
      <c r="AR33" s="1">
        <v>8408991</v>
      </c>
      <c r="AS33" s="1">
        <v>1261349</v>
      </c>
      <c r="AT33" s="1">
        <f t="shared" si="2"/>
        <v>53232176</v>
      </c>
    </row>
    <row r="34" spans="1:46" x14ac:dyDescent="0.2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8410878</v>
      </c>
      <c r="G34" s="1">
        <v>7802577</v>
      </c>
      <c r="H34" s="1">
        <v>0</v>
      </c>
      <c r="I34" s="1">
        <v>8074443</v>
      </c>
      <c r="J34" s="1">
        <v>0</v>
      </c>
      <c r="K34" s="1">
        <v>0</v>
      </c>
      <c r="L34" s="1">
        <v>7462913</v>
      </c>
      <c r="M34" s="1">
        <v>1000000</v>
      </c>
      <c r="N34" s="1">
        <v>4426777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7293915</v>
      </c>
      <c r="W34" s="1">
        <v>1900000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4256252</v>
      </c>
      <c r="AE34" s="1">
        <v>0</v>
      </c>
      <c r="AF34" s="1">
        <v>3033762</v>
      </c>
      <c r="AG34" s="1">
        <v>0</v>
      </c>
      <c r="AH34" s="1">
        <v>0</v>
      </c>
      <c r="AI34" s="1">
        <v>0</v>
      </c>
      <c r="AJ34" s="1">
        <v>3221709</v>
      </c>
      <c r="AK34" s="1">
        <v>0</v>
      </c>
      <c r="AL34" s="1">
        <v>0</v>
      </c>
      <c r="AM34" s="1">
        <v>0</v>
      </c>
      <c r="AN34" s="1">
        <v>0</v>
      </c>
      <c r="AO34" s="1">
        <v>56883226</v>
      </c>
      <c r="AP34" s="1">
        <v>5896838</v>
      </c>
      <c r="AQ34" s="1">
        <v>50986388</v>
      </c>
      <c r="AR34" s="1">
        <v>10769893</v>
      </c>
      <c r="AS34" s="1">
        <v>1615484</v>
      </c>
      <c r="AT34" s="1">
        <f t="shared" si="2"/>
        <v>69268603</v>
      </c>
    </row>
    <row r="35" spans="1:46" x14ac:dyDescent="0.2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7980246</v>
      </c>
      <c r="G35" s="1">
        <v>0</v>
      </c>
      <c r="H35" s="1">
        <v>0</v>
      </c>
      <c r="I35" s="1">
        <v>7421629</v>
      </c>
      <c r="J35" s="1">
        <v>0</v>
      </c>
      <c r="K35" s="1">
        <v>0</v>
      </c>
      <c r="L35" s="1">
        <v>7672721</v>
      </c>
      <c r="M35" s="1">
        <v>1000000</v>
      </c>
      <c r="N35" s="1">
        <v>3990122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10596639</v>
      </c>
      <c r="W35" s="1">
        <v>1900000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3033762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43595119</v>
      </c>
      <c r="AP35" s="1">
        <v>6181842</v>
      </c>
      <c r="AQ35" s="1">
        <v>37413277</v>
      </c>
      <c r="AR35" s="1">
        <v>8112271</v>
      </c>
      <c r="AS35" s="1">
        <v>1216841</v>
      </c>
      <c r="AT35" s="1">
        <f t="shared" si="2"/>
        <v>52924231</v>
      </c>
    </row>
    <row r="36" spans="1:46" x14ac:dyDescent="0.2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9005685</v>
      </c>
      <c r="G36" s="1">
        <v>0</v>
      </c>
      <c r="H36" s="1">
        <v>0</v>
      </c>
      <c r="I36" s="1">
        <v>8645458</v>
      </c>
      <c r="J36" s="1">
        <v>0</v>
      </c>
      <c r="K36" s="1">
        <v>0</v>
      </c>
      <c r="L36" s="1">
        <v>7628143</v>
      </c>
      <c r="M36" s="1">
        <v>1000000</v>
      </c>
      <c r="N36" s="1">
        <v>4771222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7683469</v>
      </c>
      <c r="W36" s="1">
        <v>1900000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4507576</v>
      </c>
      <c r="AE36" s="1">
        <v>0</v>
      </c>
      <c r="AF36" s="1">
        <v>1516881</v>
      </c>
      <c r="AG36" s="1">
        <v>0</v>
      </c>
      <c r="AH36" s="1">
        <v>0</v>
      </c>
      <c r="AI36" s="1">
        <v>0</v>
      </c>
      <c r="AJ36" s="1">
        <v>5112345</v>
      </c>
      <c r="AK36" s="1">
        <v>0</v>
      </c>
      <c r="AL36" s="1">
        <v>0</v>
      </c>
      <c r="AM36" s="1">
        <v>0</v>
      </c>
      <c r="AN36" s="1">
        <v>0</v>
      </c>
      <c r="AO36" s="1">
        <v>51770779</v>
      </c>
      <c r="AP36" s="1">
        <v>8184669</v>
      </c>
      <c r="AQ36" s="1">
        <v>43586110</v>
      </c>
      <c r="AR36" s="1">
        <v>10050780</v>
      </c>
      <c r="AS36" s="1">
        <v>1507617</v>
      </c>
      <c r="AT36" s="1">
        <f t="shared" si="2"/>
        <v>63329176</v>
      </c>
    </row>
    <row r="37" spans="1:46" x14ac:dyDescent="0.2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7581234</v>
      </c>
      <c r="G37" s="1">
        <v>1647144</v>
      </c>
      <c r="H37" s="1">
        <v>0</v>
      </c>
      <c r="I37" s="1">
        <v>7732859</v>
      </c>
      <c r="J37" s="1">
        <v>0</v>
      </c>
      <c r="K37" s="1">
        <v>0</v>
      </c>
      <c r="L37" s="1">
        <v>7628143</v>
      </c>
      <c r="M37" s="1">
        <v>1000000</v>
      </c>
      <c r="N37" s="1">
        <v>3990122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11971610</v>
      </c>
      <c r="W37" s="1">
        <v>1900000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4039854</v>
      </c>
      <c r="AE37" s="1">
        <v>0</v>
      </c>
      <c r="AF37" s="1">
        <v>3033762</v>
      </c>
      <c r="AG37" s="1">
        <v>0</v>
      </c>
      <c r="AH37" s="1">
        <v>0</v>
      </c>
      <c r="AI37" s="1">
        <v>0</v>
      </c>
      <c r="AJ37" s="1">
        <v>3513907</v>
      </c>
      <c r="AK37" s="1">
        <v>0</v>
      </c>
      <c r="AL37" s="1">
        <v>0</v>
      </c>
      <c r="AM37" s="1">
        <v>0</v>
      </c>
      <c r="AN37" s="1">
        <v>0</v>
      </c>
      <c r="AO37" s="1">
        <v>54038635</v>
      </c>
      <c r="AP37" s="1">
        <v>6379275</v>
      </c>
      <c r="AQ37" s="1">
        <v>47659360</v>
      </c>
      <c r="AR37" s="1">
        <v>10200975</v>
      </c>
      <c r="AS37" s="1">
        <v>1530146</v>
      </c>
      <c r="AT37" s="1">
        <f t="shared" si="2"/>
        <v>65769756</v>
      </c>
    </row>
    <row r="38" spans="1:46" x14ac:dyDescent="0.2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8904104</v>
      </c>
      <c r="G38" s="1">
        <v>8115587</v>
      </c>
      <c r="H38" s="1">
        <v>0</v>
      </c>
      <c r="I38" s="1">
        <v>7479448</v>
      </c>
      <c r="J38" s="1">
        <v>0</v>
      </c>
      <c r="K38" s="1">
        <v>0</v>
      </c>
      <c r="L38" s="1">
        <v>7462913</v>
      </c>
      <c r="M38" s="1">
        <v>1000000</v>
      </c>
      <c r="N38" s="1">
        <v>4748855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7345137</v>
      </c>
      <c r="W38" s="1">
        <v>1900000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4289298</v>
      </c>
      <c r="AE38" s="1">
        <v>0</v>
      </c>
      <c r="AF38" s="1">
        <v>4550643</v>
      </c>
      <c r="AG38" s="1">
        <v>0</v>
      </c>
      <c r="AH38" s="1">
        <v>0</v>
      </c>
      <c r="AI38" s="1">
        <v>0</v>
      </c>
      <c r="AJ38" s="1">
        <v>4869352</v>
      </c>
      <c r="AK38" s="1">
        <v>0</v>
      </c>
      <c r="AL38" s="1">
        <v>0</v>
      </c>
      <c r="AM38" s="1">
        <v>0</v>
      </c>
      <c r="AN38" s="1">
        <v>0</v>
      </c>
      <c r="AO38" s="1">
        <v>60665337</v>
      </c>
      <c r="AP38" s="1">
        <v>8940124</v>
      </c>
      <c r="AQ38" s="1">
        <v>51725213</v>
      </c>
      <c r="AR38" s="1">
        <v>11222939</v>
      </c>
      <c r="AS38" s="1">
        <v>1683441</v>
      </c>
      <c r="AT38" s="1">
        <f t="shared" si="2"/>
        <v>73571717</v>
      </c>
    </row>
    <row r="39" spans="1:46" x14ac:dyDescent="0.2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10865467</v>
      </c>
      <c r="G39" s="1">
        <v>1639296</v>
      </c>
      <c r="H39" s="1">
        <v>0</v>
      </c>
      <c r="I39" s="1">
        <v>10213539</v>
      </c>
      <c r="J39" s="1">
        <v>0</v>
      </c>
      <c r="K39" s="1">
        <v>0</v>
      </c>
      <c r="L39" s="1">
        <v>7462913</v>
      </c>
      <c r="M39" s="1">
        <v>1000000</v>
      </c>
      <c r="N39" s="1">
        <v>5718667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12201750</v>
      </c>
      <c r="W39" s="1">
        <v>1900000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3033762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54035394</v>
      </c>
      <c r="AP39" s="1">
        <v>5432642</v>
      </c>
      <c r="AQ39" s="1">
        <v>48602752</v>
      </c>
      <c r="AR39" s="1">
        <v>10200326</v>
      </c>
      <c r="AS39" s="1">
        <v>1530049</v>
      </c>
      <c r="AT39" s="1">
        <f t="shared" si="2"/>
        <v>65765769</v>
      </c>
    </row>
    <row r="40" spans="1:46" x14ac:dyDescent="0.2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8692391</v>
      </c>
      <c r="G40" s="1">
        <v>2799987</v>
      </c>
      <c r="H40" s="1">
        <v>0</v>
      </c>
      <c r="I40" s="1">
        <v>6780065</v>
      </c>
      <c r="J40" s="1">
        <v>0</v>
      </c>
      <c r="K40" s="1">
        <v>0</v>
      </c>
      <c r="L40" s="1">
        <v>7628143</v>
      </c>
      <c r="M40" s="1">
        <v>1000000</v>
      </c>
      <c r="N40" s="1">
        <v>4605241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11973977</v>
      </c>
      <c r="W40" s="1">
        <v>1900000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6067524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51447328</v>
      </c>
      <c r="AP40" s="1">
        <v>5319660</v>
      </c>
      <c r="AQ40" s="1">
        <v>46127668</v>
      </c>
      <c r="AR40" s="1">
        <v>9075961</v>
      </c>
      <c r="AS40" s="1">
        <v>1361394</v>
      </c>
      <c r="AT40" s="1">
        <f t="shared" si="2"/>
        <v>61884683</v>
      </c>
    </row>
    <row r="41" spans="1:46" x14ac:dyDescent="0.2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7319891</v>
      </c>
      <c r="G41" s="1">
        <v>970770</v>
      </c>
      <c r="H41" s="1">
        <v>0</v>
      </c>
      <c r="I41" s="1">
        <v>6661100</v>
      </c>
      <c r="J41" s="1">
        <v>0</v>
      </c>
      <c r="K41" s="1">
        <v>0</v>
      </c>
      <c r="L41" s="1">
        <v>7628143</v>
      </c>
      <c r="M41" s="1">
        <v>1000000</v>
      </c>
      <c r="N41" s="1">
        <v>3827394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8956457</v>
      </c>
      <c r="W41" s="1">
        <v>1900000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4550643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42814398</v>
      </c>
      <c r="AP41" s="1">
        <v>3508057</v>
      </c>
      <c r="AQ41" s="1">
        <v>39306341</v>
      </c>
      <c r="AR41" s="1">
        <v>7652751</v>
      </c>
      <c r="AS41" s="1">
        <v>1147913</v>
      </c>
      <c r="AT41" s="1">
        <f t="shared" si="2"/>
        <v>51615062</v>
      </c>
    </row>
    <row r="42" spans="1:46" x14ac:dyDescent="0.2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7853318</v>
      </c>
      <c r="G42" s="1">
        <v>3886222</v>
      </c>
      <c r="H42" s="1">
        <v>0</v>
      </c>
      <c r="I42" s="1">
        <v>7303586</v>
      </c>
      <c r="J42" s="1">
        <v>0</v>
      </c>
      <c r="K42" s="1">
        <v>0</v>
      </c>
      <c r="L42" s="1">
        <v>7628143</v>
      </c>
      <c r="M42" s="1">
        <v>1000000</v>
      </c>
      <c r="N42" s="1">
        <v>4133326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9797175</v>
      </c>
      <c r="W42" s="1">
        <v>1900000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1516881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45018651</v>
      </c>
      <c r="AP42" s="1">
        <v>4058477</v>
      </c>
      <c r="AQ42" s="1">
        <v>40960174</v>
      </c>
      <c r="AR42" s="1">
        <v>8700354</v>
      </c>
      <c r="AS42" s="1">
        <v>1305053</v>
      </c>
      <c r="AT42" s="1">
        <f t="shared" si="2"/>
        <v>55024058</v>
      </c>
    </row>
    <row r="43" spans="1:46" x14ac:dyDescent="0.2">
      <c r="A43" s="1" t="str">
        <f>"00048"</f>
        <v>00048</v>
      </c>
      <c r="B43" s="1" t="str">
        <f>"سعيد"</f>
        <v>سعيد</v>
      </c>
      <c r="C43" s="1" t="str">
        <f>"محمدپور"</f>
        <v>محمدپور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7062453</v>
      </c>
      <c r="G43" s="1">
        <v>3393100</v>
      </c>
      <c r="H43" s="1">
        <v>0</v>
      </c>
      <c r="I43" s="1">
        <v>6709330</v>
      </c>
      <c r="J43" s="1">
        <v>0</v>
      </c>
      <c r="K43" s="1">
        <v>0</v>
      </c>
      <c r="L43" s="1">
        <v>7672721</v>
      </c>
      <c r="M43" s="1">
        <v>1000000</v>
      </c>
      <c r="N43" s="1">
        <v>3531226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9370753</v>
      </c>
      <c r="W43" s="1">
        <v>1900000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3746359</v>
      </c>
      <c r="AE43" s="1">
        <v>0</v>
      </c>
      <c r="AF43" s="1">
        <v>3033762</v>
      </c>
      <c r="AG43" s="1">
        <v>0</v>
      </c>
      <c r="AH43" s="1">
        <v>0</v>
      </c>
      <c r="AI43" s="1">
        <v>0</v>
      </c>
      <c r="AJ43" s="1">
        <v>3102263</v>
      </c>
      <c r="AK43" s="1">
        <v>0</v>
      </c>
      <c r="AL43" s="1">
        <v>0</v>
      </c>
      <c r="AM43" s="1">
        <v>0</v>
      </c>
      <c r="AN43" s="1">
        <v>0</v>
      </c>
      <c r="AO43" s="1">
        <v>50521967</v>
      </c>
      <c r="AP43" s="1">
        <v>7825246</v>
      </c>
      <c r="AQ43" s="1">
        <v>42696721</v>
      </c>
      <c r="AR43" s="1">
        <v>9497641</v>
      </c>
      <c r="AS43" s="1">
        <v>1424646</v>
      </c>
      <c r="AT43" s="1">
        <f t="shared" si="2"/>
        <v>61444254</v>
      </c>
    </row>
    <row r="44" spans="1:46" x14ac:dyDescent="0.2">
      <c r="A44" s="1" t="str">
        <f>"00049"</f>
        <v>00049</v>
      </c>
      <c r="B44" s="1" t="str">
        <f>"محمود"</f>
        <v>محمود</v>
      </c>
      <c r="C44" s="1" t="str">
        <f>"مسعودي اصل"</f>
        <v>مسعودي اصل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11137317</v>
      </c>
      <c r="G44" s="1">
        <v>0</v>
      </c>
      <c r="H44" s="1">
        <v>0</v>
      </c>
      <c r="I44" s="1">
        <v>10246332</v>
      </c>
      <c r="J44" s="1">
        <v>0</v>
      </c>
      <c r="K44" s="1">
        <v>0</v>
      </c>
      <c r="L44" s="1">
        <v>7628143</v>
      </c>
      <c r="M44" s="1">
        <v>1000000</v>
      </c>
      <c r="N44" s="1">
        <v>5900565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13647249</v>
      </c>
      <c r="W44" s="1">
        <v>1900000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3033762</v>
      </c>
      <c r="AG44" s="1">
        <v>0</v>
      </c>
      <c r="AH44" s="1">
        <v>0</v>
      </c>
      <c r="AI44" s="1">
        <v>0</v>
      </c>
      <c r="AJ44" s="1">
        <v>6579043</v>
      </c>
      <c r="AK44" s="1">
        <v>0</v>
      </c>
      <c r="AL44" s="1">
        <v>0</v>
      </c>
      <c r="AM44" s="1">
        <v>0</v>
      </c>
      <c r="AN44" s="1">
        <v>3491236</v>
      </c>
      <c r="AO44" s="1">
        <v>64563647</v>
      </c>
      <c r="AP44" s="1">
        <v>11820222</v>
      </c>
      <c r="AQ44" s="1">
        <v>52743425</v>
      </c>
      <c r="AR44" s="1">
        <v>12305977</v>
      </c>
      <c r="AS44" s="1">
        <v>1845897</v>
      </c>
      <c r="AT44" s="1">
        <f t="shared" si="2"/>
        <v>78715521</v>
      </c>
    </row>
    <row r="45" spans="1:46" x14ac:dyDescent="0.2">
      <c r="A45" s="1" t="str">
        <f>"00050"</f>
        <v>00050</v>
      </c>
      <c r="B45" s="1" t="str">
        <f>"عباس"</f>
        <v>عباس</v>
      </c>
      <c r="C45" s="1" t="str">
        <f>"معرفاوي پور"</f>
        <v>معرفاوي پور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8616518</v>
      </c>
      <c r="G45" s="1">
        <v>2713844</v>
      </c>
      <c r="H45" s="1">
        <v>0</v>
      </c>
      <c r="I45" s="1">
        <v>7754866</v>
      </c>
      <c r="J45" s="1">
        <v>0</v>
      </c>
      <c r="K45" s="1">
        <v>0</v>
      </c>
      <c r="L45" s="1">
        <v>7628143</v>
      </c>
      <c r="M45" s="1">
        <v>1000000</v>
      </c>
      <c r="N45" s="1">
        <v>4595476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14137273</v>
      </c>
      <c r="W45" s="1">
        <v>1900000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4289251</v>
      </c>
      <c r="AE45" s="1">
        <v>0</v>
      </c>
      <c r="AF45" s="1">
        <v>3033762</v>
      </c>
      <c r="AG45" s="1">
        <v>0</v>
      </c>
      <c r="AH45" s="1">
        <v>0</v>
      </c>
      <c r="AI45" s="1">
        <v>0</v>
      </c>
      <c r="AJ45" s="1">
        <v>5789534</v>
      </c>
      <c r="AK45" s="1">
        <v>0</v>
      </c>
      <c r="AL45" s="1">
        <v>0</v>
      </c>
      <c r="AM45" s="1">
        <v>0</v>
      </c>
      <c r="AN45" s="1">
        <v>0</v>
      </c>
      <c r="AO45" s="1">
        <v>61458667</v>
      </c>
      <c r="AP45" s="1">
        <v>7743625</v>
      </c>
      <c r="AQ45" s="1">
        <v>53715042</v>
      </c>
      <c r="AR45" s="1">
        <v>11684981</v>
      </c>
      <c r="AS45" s="1">
        <v>1752747</v>
      </c>
      <c r="AT45" s="1">
        <f t="shared" si="2"/>
        <v>74896395</v>
      </c>
    </row>
    <row r="46" spans="1:46" x14ac:dyDescent="0.2">
      <c r="A46" s="1" t="str">
        <f>"00051"</f>
        <v>00051</v>
      </c>
      <c r="B46" s="1" t="str">
        <f>"عباس"</f>
        <v>عباس</v>
      </c>
      <c r="C46" s="1" t="str">
        <f>"ميركي"</f>
        <v>ميركي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8006283</v>
      </c>
      <c r="G46" s="1">
        <v>4166027</v>
      </c>
      <c r="H46" s="1">
        <v>0</v>
      </c>
      <c r="I46" s="1">
        <v>7205654</v>
      </c>
      <c r="J46" s="1">
        <v>0</v>
      </c>
      <c r="K46" s="1">
        <v>0</v>
      </c>
      <c r="L46" s="1">
        <v>7672721</v>
      </c>
      <c r="M46" s="1">
        <v>1000000</v>
      </c>
      <c r="N46" s="1">
        <v>4003143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10011297</v>
      </c>
      <c r="W46" s="1">
        <v>1900000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3033762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46998887</v>
      </c>
      <c r="AP46" s="1">
        <v>18400268</v>
      </c>
      <c r="AQ46" s="1">
        <v>28598619</v>
      </c>
      <c r="AR46" s="1">
        <v>8793025</v>
      </c>
      <c r="AS46" s="1">
        <v>1318954</v>
      </c>
      <c r="AT46" s="1">
        <f t="shared" si="2"/>
        <v>57110866</v>
      </c>
    </row>
    <row r="47" spans="1:46" x14ac:dyDescent="0.2">
      <c r="A47" s="1" t="str">
        <f>"00052"</f>
        <v>00052</v>
      </c>
      <c r="B47" s="1" t="str">
        <f>"شهرام"</f>
        <v>شهرام</v>
      </c>
      <c r="C47" s="1" t="str">
        <f>"نجارخورسند لنگرودي"</f>
        <v>نجارخورسند لنگرودي</v>
      </c>
      <c r="D47" s="1" t="str">
        <f>"قراردادي بهره بردار"</f>
        <v>قراردادي بهره بردار</v>
      </c>
      <c r="E47" s="1" t="str">
        <f t="shared" si="4"/>
        <v>پروژه تعميرات نيروگاه بوشهر</v>
      </c>
      <c r="F47" s="1">
        <v>17667727</v>
      </c>
      <c r="G47" s="1">
        <v>0</v>
      </c>
      <c r="H47" s="1">
        <v>0</v>
      </c>
      <c r="I47" s="1">
        <v>16156539</v>
      </c>
      <c r="J47" s="1">
        <v>0</v>
      </c>
      <c r="K47" s="1">
        <v>4620000</v>
      </c>
      <c r="L47" s="1">
        <v>0</v>
      </c>
      <c r="M47" s="1">
        <v>1000000</v>
      </c>
      <c r="N47" s="1">
        <v>3304621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1387000</v>
      </c>
      <c r="U47" s="1">
        <v>0</v>
      </c>
      <c r="V47" s="1">
        <v>16846864</v>
      </c>
      <c r="W47" s="1">
        <v>1900000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2360443</v>
      </c>
      <c r="AF47" s="1">
        <v>1516881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6042735</v>
      </c>
      <c r="AM47" s="1">
        <v>0</v>
      </c>
      <c r="AN47" s="1">
        <v>0</v>
      </c>
      <c r="AO47" s="1">
        <v>72802810</v>
      </c>
      <c r="AP47" s="1">
        <v>10118656</v>
      </c>
      <c r="AQ47" s="1">
        <v>62684154</v>
      </c>
      <c r="AR47" s="1">
        <v>14257186</v>
      </c>
      <c r="AS47" s="1">
        <v>2138578</v>
      </c>
      <c r="AT47" s="1">
        <f t="shared" si="2"/>
        <v>89198574</v>
      </c>
    </row>
    <row r="48" spans="1:46" x14ac:dyDescent="0.2">
      <c r="A48" s="1" t="str">
        <f>"00055"</f>
        <v>00055</v>
      </c>
      <c r="B48" s="1" t="str">
        <f>"سجاد"</f>
        <v>سجاد</v>
      </c>
      <c r="C48" s="1" t="str">
        <f>"نيسني"</f>
        <v>نيسني</v>
      </c>
      <c r="D48" s="1" t="str">
        <f>"قراردادي کارگري"</f>
        <v>قراردادي کارگري</v>
      </c>
      <c r="E48" s="1" t="str">
        <f t="shared" si="4"/>
        <v>پروژه تعميرات نيروگاه بوشهر</v>
      </c>
      <c r="F48" s="1">
        <v>12688516</v>
      </c>
      <c r="G48" s="1">
        <v>1076776</v>
      </c>
      <c r="H48" s="1">
        <v>0</v>
      </c>
      <c r="I48" s="1">
        <v>10658353</v>
      </c>
      <c r="J48" s="1">
        <v>0</v>
      </c>
      <c r="K48" s="1">
        <v>0</v>
      </c>
      <c r="L48" s="1">
        <v>7462913</v>
      </c>
      <c r="M48" s="1">
        <v>1000000</v>
      </c>
      <c r="N48" s="1">
        <v>6767209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13287872</v>
      </c>
      <c r="W48" s="1">
        <v>1900000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1516881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56358520</v>
      </c>
      <c r="AP48" s="1">
        <v>7256876</v>
      </c>
      <c r="AQ48" s="1">
        <v>49101644</v>
      </c>
      <c r="AR48" s="1">
        <v>10968328</v>
      </c>
      <c r="AS48" s="1">
        <v>1645249</v>
      </c>
      <c r="AT48" s="1">
        <f t="shared" si="2"/>
        <v>68972097</v>
      </c>
    </row>
    <row r="49" spans="1:46" x14ac:dyDescent="0.2">
      <c r="A49" s="1" t="str">
        <f>"00056"</f>
        <v>00056</v>
      </c>
      <c r="B49" s="1" t="str">
        <f>"حسن"</f>
        <v>حسن</v>
      </c>
      <c r="C49" s="1" t="str">
        <f>"عبدشاه"</f>
        <v>عبدشاه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7662193</v>
      </c>
      <c r="G49" s="1">
        <v>0</v>
      </c>
      <c r="H49" s="1">
        <v>0</v>
      </c>
      <c r="I49" s="1">
        <v>7125839</v>
      </c>
      <c r="J49" s="1">
        <v>0</v>
      </c>
      <c r="K49" s="1">
        <v>0</v>
      </c>
      <c r="L49" s="1">
        <v>7628143</v>
      </c>
      <c r="M49" s="1">
        <v>1000000</v>
      </c>
      <c r="N49" s="1">
        <v>3980361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9626273</v>
      </c>
      <c r="W49" s="1">
        <v>1900000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3033762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41956571</v>
      </c>
      <c r="AP49" s="1">
        <v>4300333</v>
      </c>
      <c r="AQ49" s="1">
        <v>37656238</v>
      </c>
      <c r="AR49" s="1">
        <v>7784562</v>
      </c>
      <c r="AS49" s="1">
        <v>1167684</v>
      </c>
      <c r="AT49" s="1">
        <f t="shared" si="2"/>
        <v>50908817</v>
      </c>
    </row>
    <row r="50" spans="1:46" x14ac:dyDescent="0.2">
      <c r="A50" s="1" t="str">
        <f>"00057"</f>
        <v>00057</v>
      </c>
      <c r="B50" s="1" t="str">
        <f>"بهنام"</f>
        <v>بهنام</v>
      </c>
      <c r="C50" s="1" t="str">
        <f>"خواره"</f>
        <v>خواره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7983827</v>
      </c>
      <c r="G50" s="1">
        <v>1027344</v>
      </c>
      <c r="H50" s="1">
        <v>0</v>
      </c>
      <c r="I50" s="1">
        <v>6945929</v>
      </c>
      <c r="J50" s="1">
        <v>0</v>
      </c>
      <c r="K50" s="1">
        <v>0</v>
      </c>
      <c r="L50" s="1">
        <v>7654642</v>
      </c>
      <c r="M50" s="1">
        <v>1000000</v>
      </c>
      <c r="N50" s="1">
        <v>4094269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9718672</v>
      </c>
      <c r="W50" s="1">
        <v>1900000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1516881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41841564</v>
      </c>
      <c r="AP50" s="1">
        <v>3540612</v>
      </c>
      <c r="AQ50" s="1">
        <v>38300952</v>
      </c>
      <c r="AR50" s="1">
        <v>8064937</v>
      </c>
      <c r="AS50" s="1">
        <v>1209740</v>
      </c>
      <c r="AT50" s="1">
        <f t="shared" si="2"/>
        <v>51116241</v>
      </c>
    </row>
    <row r="51" spans="1:46" x14ac:dyDescent="0.2">
      <c r="A51" s="1" t="str">
        <f>"00058"</f>
        <v>00058</v>
      </c>
      <c r="B51" s="1" t="str">
        <f>"سيدموسي"</f>
        <v>سيدموسي</v>
      </c>
      <c r="C51" s="1" t="str">
        <f>"ميرعباسي"</f>
        <v>ميرعباسي</v>
      </c>
      <c r="D51" s="1" t="str">
        <f>"قراردادي بهره بردار"</f>
        <v>قراردادي بهره بردار</v>
      </c>
      <c r="E51" s="1" t="str">
        <f>"پروژه دفتر مركزي"</f>
        <v>پروژه دفتر مركزي</v>
      </c>
      <c r="F51" s="1">
        <v>68426213</v>
      </c>
      <c r="G51" s="1">
        <v>6759848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1390000</v>
      </c>
      <c r="Q51" s="1">
        <v>0</v>
      </c>
      <c r="R51" s="1">
        <v>0</v>
      </c>
      <c r="S51" s="1">
        <v>0</v>
      </c>
      <c r="T51" s="1">
        <v>1680000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78256061</v>
      </c>
      <c r="AP51" s="1">
        <v>24407822</v>
      </c>
      <c r="AQ51" s="1">
        <v>53848239</v>
      </c>
      <c r="AR51" s="1">
        <v>0</v>
      </c>
      <c r="AS51" s="1">
        <v>0</v>
      </c>
      <c r="AT51" s="1">
        <f t="shared" si="2"/>
        <v>78256061</v>
      </c>
    </row>
    <row r="52" spans="1:46" x14ac:dyDescent="0.2">
      <c r="A52" s="1" t="str">
        <f>"00063"</f>
        <v>00063</v>
      </c>
      <c r="B52" s="1" t="str">
        <f>"سالم"</f>
        <v>سالم</v>
      </c>
      <c r="C52" s="1" t="str">
        <f>"تنگسيري"</f>
        <v>تنگسيري</v>
      </c>
      <c r="D52" s="1" t="str">
        <f>"قراردادي کارگري"</f>
        <v>قراردادي کارگري</v>
      </c>
      <c r="E52" s="1" t="str">
        <f>"پروژه تعميرات نيروگاه بوشهر"</f>
        <v>پروژه تعميرات نيروگاه بوشهر</v>
      </c>
      <c r="F52" s="1">
        <v>9535288</v>
      </c>
      <c r="G52" s="1">
        <v>2891216</v>
      </c>
      <c r="H52" s="1">
        <v>0</v>
      </c>
      <c r="I52" s="1">
        <v>7342172</v>
      </c>
      <c r="J52" s="1">
        <v>0</v>
      </c>
      <c r="K52" s="1">
        <v>0</v>
      </c>
      <c r="L52" s="1">
        <v>7628143</v>
      </c>
      <c r="M52" s="1">
        <v>1000000</v>
      </c>
      <c r="N52" s="1">
        <v>5018573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7723700</v>
      </c>
      <c r="W52" s="1">
        <v>1900000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3033762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46072854</v>
      </c>
      <c r="AP52" s="1">
        <v>4134748</v>
      </c>
      <c r="AQ52" s="1">
        <v>41938106</v>
      </c>
      <c r="AR52" s="1">
        <v>8607818</v>
      </c>
      <c r="AS52" s="1">
        <v>1291173</v>
      </c>
      <c r="AT52" s="1">
        <f t="shared" si="2"/>
        <v>55971845</v>
      </c>
    </row>
    <row r="53" spans="1:46" x14ac:dyDescent="0.2">
      <c r="A53" s="1" t="str">
        <f>"00064"</f>
        <v>00064</v>
      </c>
      <c r="B53" s="1" t="str">
        <f>"حسين"</f>
        <v>حسين</v>
      </c>
      <c r="C53" s="1" t="str">
        <f>"عباسي"</f>
        <v>عباسي</v>
      </c>
      <c r="D53" s="1" t="str">
        <f>"قراردادي بهره بردار"</f>
        <v>قراردادي بهره بردار</v>
      </c>
      <c r="E53" s="1" t="str">
        <f>"پروژه دفتر مركزي"</f>
        <v>پروژه دفتر مركزي</v>
      </c>
      <c r="F53" s="1">
        <v>20222044</v>
      </c>
      <c r="G53" s="1">
        <v>19876905</v>
      </c>
      <c r="H53" s="1">
        <v>0</v>
      </c>
      <c r="I53" s="1">
        <v>18367833</v>
      </c>
      <c r="J53" s="1">
        <v>0</v>
      </c>
      <c r="K53" s="1">
        <v>0</v>
      </c>
      <c r="L53" s="1">
        <v>0</v>
      </c>
      <c r="M53" s="1">
        <v>1000000</v>
      </c>
      <c r="N53" s="1">
        <v>0</v>
      </c>
      <c r="O53" s="1">
        <v>0</v>
      </c>
      <c r="P53" s="1">
        <v>1390000</v>
      </c>
      <c r="Q53" s="1">
        <v>0</v>
      </c>
      <c r="R53" s="1">
        <v>0</v>
      </c>
      <c r="S53" s="1">
        <v>0</v>
      </c>
      <c r="T53" s="1">
        <v>1440000</v>
      </c>
      <c r="U53" s="1">
        <v>0</v>
      </c>
      <c r="V53" s="1">
        <v>4572795</v>
      </c>
      <c r="W53" s="1">
        <v>1900000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2957400</v>
      </c>
      <c r="AD53" s="1">
        <v>0</v>
      </c>
      <c r="AE53" s="1">
        <v>0</v>
      </c>
      <c r="AF53" s="1">
        <v>1516881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4180668</v>
      </c>
      <c r="AM53" s="1">
        <v>0</v>
      </c>
      <c r="AN53" s="1">
        <v>0</v>
      </c>
      <c r="AO53" s="1">
        <v>77424526</v>
      </c>
      <c r="AP53" s="1">
        <v>28931547</v>
      </c>
      <c r="AQ53" s="1">
        <v>48492979</v>
      </c>
      <c r="AR53" s="1">
        <v>15181529</v>
      </c>
      <c r="AS53" s="1">
        <v>2277229</v>
      </c>
      <c r="AT53" s="1">
        <f t="shared" si="2"/>
        <v>94883284</v>
      </c>
    </row>
    <row r="54" spans="1:46" x14ac:dyDescent="0.2">
      <c r="A54" s="1" t="str">
        <f>"00068"</f>
        <v>00068</v>
      </c>
      <c r="B54" s="1" t="str">
        <f>"حسين"</f>
        <v>حسين</v>
      </c>
      <c r="C54" s="1" t="str">
        <f>"منجمي"</f>
        <v>منجمي</v>
      </c>
      <c r="D54" s="1" t="str">
        <f>"قراردادي کارگري"</f>
        <v>قراردادي کارگري</v>
      </c>
      <c r="E54" s="1" t="str">
        <f>"پروژه دفتر مركزي"</f>
        <v>پروژه دفتر مركزي</v>
      </c>
      <c r="F54" s="1">
        <v>9032488</v>
      </c>
      <c r="G54" s="1">
        <v>0</v>
      </c>
      <c r="H54" s="1">
        <v>0</v>
      </c>
      <c r="I54" s="1">
        <v>8219563</v>
      </c>
      <c r="J54" s="1">
        <v>0</v>
      </c>
      <c r="K54" s="1">
        <v>0</v>
      </c>
      <c r="L54" s="1">
        <v>7628143</v>
      </c>
      <c r="M54" s="1">
        <v>1000000</v>
      </c>
      <c r="N54" s="1">
        <v>0</v>
      </c>
      <c r="O54" s="1">
        <v>0</v>
      </c>
      <c r="P54" s="1">
        <v>1390000</v>
      </c>
      <c r="Q54" s="1">
        <v>0</v>
      </c>
      <c r="R54" s="1">
        <v>0</v>
      </c>
      <c r="S54" s="1">
        <v>0</v>
      </c>
      <c r="T54" s="1">
        <v>480000</v>
      </c>
      <c r="U54" s="1">
        <v>0</v>
      </c>
      <c r="V54" s="1">
        <v>2787686</v>
      </c>
      <c r="W54" s="1">
        <v>1900000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32437880</v>
      </c>
      <c r="AP54" s="1">
        <v>2270652</v>
      </c>
      <c r="AQ54" s="1">
        <v>30167228</v>
      </c>
      <c r="AR54" s="1">
        <v>6487576</v>
      </c>
      <c r="AS54" s="1">
        <v>973136</v>
      </c>
      <c r="AT54" s="1">
        <f t="shared" si="2"/>
        <v>39898592</v>
      </c>
    </row>
    <row r="55" spans="1:46" x14ac:dyDescent="0.2">
      <c r="A55" s="1" t="str">
        <f>"00069"</f>
        <v>00069</v>
      </c>
      <c r="B55" s="1" t="str">
        <f>"عبدالرضا"</f>
        <v>عبدالرضا</v>
      </c>
      <c r="C55" s="1" t="str">
        <f>"برخ"</f>
        <v>برخ</v>
      </c>
      <c r="D55" s="1" t="str">
        <f>"قراردادي کارگري"</f>
        <v>قراردادي کارگري</v>
      </c>
      <c r="E55" s="1" t="str">
        <f>"پروژه تعميرات نيروگاه بوشهر"</f>
        <v>پروژه تعميرات نيروگاه بوشهر</v>
      </c>
      <c r="F55" s="1">
        <v>7136007</v>
      </c>
      <c r="G55" s="1">
        <v>2014570</v>
      </c>
      <c r="H55" s="1">
        <v>0</v>
      </c>
      <c r="I55" s="1">
        <v>5209284</v>
      </c>
      <c r="J55" s="1">
        <v>0</v>
      </c>
      <c r="K55" s="1">
        <v>0</v>
      </c>
      <c r="L55" s="1">
        <v>7672721</v>
      </c>
      <c r="M55" s="1">
        <v>1000000</v>
      </c>
      <c r="N55" s="1">
        <v>3755793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11912860</v>
      </c>
      <c r="W55" s="1">
        <v>1900000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3566071</v>
      </c>
      <c r="AE55" s="1">
        <v>0</v>
      </c>
      <c r="AF55" s="1">
        <v>1516881</v>
      </c>
      <c r="AG55" s="1">
        <v>0</v>
      </c>
      <c r="AH55" s="1">
        <v>0</v>
      </c>
      <c r="AI55" s="1">
        <v>0</v>
      </c>
      <c r="AJ55" s="1">
        <v>4834967</v>
      </c>
      <c r="AK55" s="1">
        <v>0</v>
      </c>
      <c r="AL55" s="1">
        <v>0</v>
      </c>
      <c r="AM55" s="1">
        <v>0</v>
      </c>
      <c r="AN55" s="1">
        <v>0</v>
      </c>
      <c r="AO55" s="1">
        <v>50519154</v>
      </c>
      <c r="AP55" s="1">
        <v>5055059</v>
      </c>
      <c r="AQ55" s="1">
        <v>45464095</v>
      </c>
      <c r="AR55" s="1">
        <v>9800455</v>
      </c>
      <c r="AS55" s="1">
        <v>1470068</v>
      </c>
      <c r="AT55" s="1">
        <f t="shared" si="2"/>
        <v>61789677</v>
      </c>
    </row>
    <row r="56" spans="1:46" x14ac:dyDescent="0.2">
      <c r="A56" s="1" t="str">
        <f>"00070"</f>
        <v>00070</v>
      </c>
      <c r="B56" s="1" t="str">
        <f>"موسي"</f>
        <v>موسي</v>
      </c>
      <c r="C56" s="1" t="str">
        <f>"آذري"</f>
        <v>آذري</v>
      </c>
      <c r="D56" s="1" t="str">
        <f t="shared" ref="D56:D95" si="5">"قراردادي بهره بردار"</f>
        <v>قراردادي بهره بردار</v>
      </c>
      <c r="E56" s="1" t="str">
        <f t="shared" ref="E56:E95" si="6">"پروژه بهره برداري نيروگاه بوشهر"</f>
        <v>پروژه بهره برداري نيروگاه بوشهر</v>
      </c>
      <c r="F56" s="1">
        <v>22671209</v>
      </c>
      <c r="G56" s="1">
        <v>9522407</v>
      </c>
      <c r="H56" s="1">
        <v>0</v>
      </c>
      <c r="I56" s="1">
        <v>22012596</v>
      </c>
      <c r="J56" s="1">
        <v>0</v>
      </c>
      <c r="K56" s="1">
        <v>5500000</v>
      </c>
      <c r="L56" s="1">
        <v>0</v>
      </c>
      <c r="M56" s="1">
        <v>1000000</v>
      </c>
      <c r="N56" s="1">
        <v>3507038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1387000</v>
      </c>
      <c r="U56" s="1">
        <v>0</v>
      </c>
      <c r="V56" s="1">
        <v>5841823</v>
      </c>
      <c r="W56" s="1">
        <v>1900000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3384580</v>
      </c>
      <c r="AD56" s="1">
        <v>0</v>
      </c>
      <c r="AE56" s="1">
        <v>2505027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4337782</v>
      </c>
      <c r="AM56" s="1">
        <v>0</v>
      </c>
      <c r="AN56" s="1">
        <v>0</v>
      </c>
      <c r="AO56" s="1">
        <v>83569462</v>
      </c>
      <c r="AP56" s="1">
        <v>30822563</v>
      </c>
      <c r="AQ56" s="1">
        <v>52746899</v>
      </c>
      <c r="AR56" s="1">
        <v>16713892</v>
      </c>
      <c r="AS56" s="1">
        <v>2507084</v>
      </c>
      <c r="AT56" s="1">
        <f t="shared" si="2"/>
        <v>102790438</v>
      </c>
    </row>
    <row r="57" spans="1:46" x14ac:dyDescent="0.2">
      <c r="A57" s="1" t="str">
        <f>"00071"</f>
        <v>00071</v>
      </c>
      <c r="B57" s="1" t="str">
        <f>"مهرزاد"</f>
        <v>مهرزاد</v>
      </c>
      <c r="C57" s="1" t="str">
        <f>"احمدي"</f>
        <v>احمدي</v>
      </c>
      <c r="D57" s="1" t="str">
        <f t="shared" si="5"/>
        <v>قراردادي بهره بردار</v>
      </c>
      <c r="E57" s="1" t="str">
        <f t="shared" si="6"/>
        <v>پروژه بهره برداري نيروگاه بوشهر</v>
      </c>
      <c r="F57" s="1">
        <v>15963388</v>
      </c>
      <c r="G57" s="1">
        <v>13799994</v>
      </c>
      <c r="H57" s="1">
        <v>0</v>
      </c>
      <c r="I57" s="1">
        <v>15801404</v>
      </c>
      <c r="J57" s="1">
        <v>0</v>
      </c>
      <c r="K57" s="1">
        <v>4620000</v>
      </c>
      <c r="L57" s="1">
        <v>0</v>
      </c>
      <c r="M57" s="1">
        <v>1000000</v>
      </c>
      <c r="N57" s="1">
        <v>3064633</v>
      </c>
      <c r="O57" s="1">
        <v>0</v>
      </c>
      <c r="P57" s="1">
        <v>0</v>
      </c>
      <c r="Q57" s="1">
        <v>0</v>
      </c>
      <c r="R57" s="1">
        <v>2836539</v>
      </c>
      <c r="S57" s="1">
        <v>0</v>
      </c>
      <c r="T57" s="1">
        <v>1606000</v>
      </c>
      <c r="U57" s="1">
        <v>0</v>
      </c>
      <c r="V57" s="1">
        <v>22305961</v>
      </c>
      <c r="W57" s="1">
        <v>1900000</v>
      </c>
      <c r="X57" s="1">
        <v>2317266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2189024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13107306</v>
      </c>
      <c r="AM57" s="1">
        <v>0</v>
      </c>
      <c r="AN57" s="1">
        <v>0</v>
      </c>
      <c r="AO57" s="1">
        <v>100511515</v>
      </c>
      <c r="AP57" s="1">
        <v>57426474</v>
      </c>
      <c r="AQ57" s="1">
        <v>43085041</v>
      </c>
      <c r="AR57" s="1">
        <v>19534995</v>
      </c>
      <c r="AS57" s="1">
        <v>2930249</v>
      </c>
      <c r="AT57" s="1">
        <f t="shared" si="2"/>
        <v>122976759</v>
      </c>
    </row>
    <row r="58" spans="1:46" x14ac:dyDescent="0.2">
      <c r="A58" s="1" t="str">
        <f>"00072"</f>
        <v>00072</v>
      </c>
      <c r="B58" s="1" t="str">
        <f>"سعيد"</f>
        <v>سعيد</v>
      </c>
      <c r="C58" s="1" t="str">
        <f>"اردشيرزاده"</f>
        <v>اردشيرزاده</v>
      </c>
      <c r="D58" s="1" t="str">
        <f t="shared" si="5"/>
        <v>قراردادي بهره بردار</v>
      </c>
      <c r="E58" s="1" t="str">
        <f t="shared" si="6"/>
        <v>پروژه بهره برداري نيروگاه بوشهر</v>
      </c>
      <c r="F58" s="1">
        <v>24544229</v>
      </c>
      <c r="G58" s="1">
        <v>3297202</v>
      </c>
      <c r="H58" s="1">
        <v>0</v>
      </c>
      <c r="I58" s="1">
        <v>20826113</v>
      </c>
      <c r="J58" s="1">
        <v>0</v>
      </c>
      <c r="K58" s="1">
        <v>5500000</v>
      </c>
      <c r="L58" s="1">
        <v>0</v>
      </c>
      <c r="M58" s="1">
        <v>1000000</v>
      </c>
      <c r="N58" s="1">
        <v>3918774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1387000</v>
      </c>
      <c r="U58" s="1">
        <v>0</v>
      </c>
      <c r="V58" s="1">
        <v>20190271</v>
      </c>
      <c r="W58" s="1">
        <v>1900000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2799124</v>
      </c>
      <c r="AF58" s="1">
        <v>1516881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5598249</v>
      </c>
      <c r="AM58" s="1">
        <v>0</v>
      </c>
      <c r="AN58" s="1">
        <v>0</v>
      </c>
      <c r="AO58" s="1">
        <v>92477843</v>
      </c>
      <c r="AP58" s="1">
        <v>30783625</v>
      </c>
      <c r="AQ58" s="1">
        <v>61694218</v>
      </c>
      <c r="AR58" s="1">
        <v>18192192</v>
      </c>
      <c r="AS58" s="1">
        <v>2728829</v>
      </c>
      <c r="AT58" s="1">
        <f t="shared" si="2"/>
        <v>113398864</v>
      </c>
    </row>
    <row r="59" spans="1:46" x14ac:dyDescent="0.2">
      <c r="A59" s="1" t="str">
        <f>"00073"</f>
        <v>00073</v>
      </c>
      <c r="B59" s="1" t="str">
        <f>"عبدالعظيم"</f>
        <v>عبدالعظيم</v>
      </c>
      <c r="C59" s="1" t="str">
        <f>"اژدري"</f>
        <v>اژدري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15742131</v>
      </c>
      <c r="G59" s="1">
        <v>7022446</v>
      </c>
      <c r="H59" s="1">
        <v>0</v>
      </c>
      <c r="I59" s="1">
        <v>15499554</v>
      </c>
      <c r="J59" s="1">
        <v>0</v>
      </c>
      <c r="K59" s="1">
        <v>4620000</v>
      </c>
      <c r="L59" s="1">
        <v>0</v>
      </c>
      <c r="M59" s="1">
        <v>1000000</v>
      </c>
      <c r="N59" s="1">
        <v>2987193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1606000</v>
      </c>
      <c r="U59" s="1">
        <v>0</v>
      </c>
      <c r="V59" s="1">
        <v>21891028</v>
      </c>
      <c r="W59" s="1">
        <v>1900000</v>
      </c>
      <c r="X59" s="1">
        <v>2285148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2133709</v>
      </c>
      <c r="AF59" s="1">
        <v>3033762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12830735</v>
      </c>
      <c r="AM59" s="1">
        <v>0</v>
      </c>
      <c r="AN59" s="1">
        <v>0</v>
      </c>
      <c r="AO59" s="1">
        <v>92551706</v>
      </c>
      <c r="AP59" s="1">
        <v>37074417</v>
      </c>
      <c r="AQ59" s="1">
        <v>55477289</v>
      </c>
      <c r="AR59" s="1">
        <v>17903589</v>
      </c>
      <c r="AS59" s="1">
        <v>2685538</v>
      </c>
      <c r="AT59" s="1">
        <f t="shared" si="2"/>
        <v>113140833</v>
      </c>
    </row>
    <row r="60" spans="1:46" x14ac:dyDescent="0.2">
      <c r="A60" s="1" t="str">
        <f>"00074"</f>
        <v>00074</v>
      </c>
      <c r="B60" s="1" t="str">
        <f>"گل بس"</f>
        <v>گل بس</v>
      </c>
      <c r="C60" s="1" t="str">
        <f>"اسماعيلي"</f>
        <v>اسماعيلي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32430629</v>
      </c>
      <c r="G60" s="1">
        <v>12250519</v>
      </c>
      <c r="H60" s="1">
        <v>0</v>
      </c>
      <c r="I60" s="1">
        <v>38129132</v>
      </c>
      <c r="J60" s="1">
        <v>0</v>
      </c>
      <c r="K60" s="1">
        <v>0</v>
      </c>
      <c r="L60" s="1">
        <v>0</v>
      </c>
      <c r="M60" s="1">
        <v>1000000</v>
      </c>
      <c r="N60" s="1">
        <v>5341831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1606000</v>
      </c>
      <c r="U60" s="1">
        <v>0</v>
      </c>
      <c r="V60" s="1">
        <v>8768048</v>
      </c>
      <c r="W60" s="1">
        <v>1900000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3384580</v>
      </c>
      <c r="AD60" s="1">
        <v>0</v>
      </c>
      <c r="AE60" s="1">
        <v>3815594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4578712</v>
      </c>
      <c r="AM60" s="1">
        <v>0</v>
      </c>
      <c r="AN60" s="1">
        <v>0</v>
      </c>
      <c r="AO60" s="1">
        <v>113205045</v>
      </c>
      <c r="AP60" s="1">
        <v>64641868</v>
      </c>
      <c r="AQ60" s="1">
        <v>48563177</v>
      </c>
      <c r="AR60" s="1">
        <v>22641009</v>
      </c>
      <c r="AS60" s="1">
        <v>3396151</v>
      </c>
      <c r="AT60" s="1">
        <f t="shared" si="2"/>
        <v>139242205</v>
      </c>
    </row>
    <row r="61" spans="1:46" x14ac:dyDescent="0.2">
      <c r="A61" s="1" t="str">
        <f>"00075"</f>
        <v>00075</v>
      </c>
      <c r="B61" s="1" t="str">
        <f>"محمد"</f>
        <v>محمد</v>
      </c>
      <c r="C61" s="1" t="str">
        <f>"اصغرزاده"</f>
        <v>اصغرزاده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25048083</v>
      </c>
      <c r="G61" s="1">
        <v>1180358</v>
      </c>
      <c r="H61" s="1">
        <v>0</v>
      </c>
      <c r="I61" s="1">
        <v>23130266</v>
      </c>
      <c r="J61" s="1">
        <v>0</v>
      </c>
      <c r="K61" s="1">
        <v>5500000</v>
      </c>
      <c r="L61" s="1">
        <v>0</v>
      </c>
      <c r="M61" s="1">
        <v>1000000</v>
      </c>
      <c r="N61" s="1">
        <v>4095123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1387000</v>
      </c>
      <c r="U61" s="1">
        <v>0</v>
      </c>
      <c r="V61" s="1">
        <v>22588031</v>
      </c>
      <c r="W61" s="1">
        <v>1900000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2925088</v>
      </c>
      <c r="AF61" s="1">
        <v>1516881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5850175</v>
      </c>
      <c r="AM61" s="1">
        <v>0</v>
      </c>
      <c r="AN61" s="1">
        <v>0</v>
      </c>
      <c r="AO61" s="1">
        <v>96121005</v>
      </c>
      <c r="AP61" s="1">
        <v>31940054</v>
      </c>
      <c r="AQ61" s="1">
        <v>64180951</v>
      </c>
      <c r="AR61" s="1">
        <v>18920825</v>
      </c>
      <c r="AS61" s="1">
        <v>2838124</v>
      </c>
      <c r="AT61" s="1">
        <f t="shared" si="2"/>
        <v>117879954</v>
      </c>
    </row>
    <row r="62" spans="1:46" x14ac:dyDescent="0.2">
      <c r="A62" s="1" t="str">
        <f>"00076"</f>
        <v>00076</v>
      </c>
      <c r="B62" s="1" t="str">
        <f>"حسن"</f>
        <v>حسن</v>
      </c>
      <c r="C62" s="1" t="str">
        <f>"افشان مهر"</f>
        <v>افشان مهر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18320545</v>
      </c>
      <c r="G62" s="1">
        <v>15663801</v>
      </c>
      <c r="H62" s="1">
        <v>0</v>
      </c>
      <c r="I62" s="1">
        <v>17714766</v>
      </c>
      <c r="J62" s="1">
        <v>0</v>
      </c>
      <c r="K62" s="1">
        <v>4620000</v>
      </c>
      <c r="L62" s="1">
        <v>0</v>
      </c>
      <c r="M62" s="1">
        <v>1000000</v>
      </c>
      <c r="N62" s="1">
        <v>3533107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1606000</v>
      </c>
      <c r="U62" s="1">
        <v>0</v>
      </c>
      <c r="V62" s="1">
        <v>13199628</v>
      </c>
      <c r="W62" s="1">
        <v>1900000</v>
      </c>
      <c r="X62" s="1">
        <v>2659434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2523648</v>
      </c>
      <c r="AF62" s="1">
        <v>3033762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14076567</v>
      </c>
      <c r="AM62" s="1">
        <v>0</v>
      </c>
      <c r="AN62" s="1">
        <v>0</v>
      </c>
      <c r="AO62" s="1">
        <v>99851258</v>
      </c>
      <c r="AP62" s="1">
        <v>34067608</v>
      </c>
      <c r="AQ62" s="1">
        <v>65783650</v>
      </c>
      <c r="AR62" s="1">
        <v>19363499</v>
      </c>
      <c r="AS62" s="1">
        <v>2904525</v>
      </c>
      <c r="AT62" s="1">
        <f t="shared" si="2"/>
        <v>122119282</v>
      </c>
    </row>
    <row r="63" spans="1:46" x14ac:dyDescent="0.2">
      <c r="A63" s="1" t="str">
        <f>"00077"</f>
        <v>00077</v>
      </c>
      <c r="B63" s="1" t="str">
        <f>"مهراب"</f>
        <v>مهراب</v>
      </c>
      <c r="C63" s="1" t="str">
        <f>"اميدي"</f>
        <v>اميدي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25427068</v>
      </c>
      <c r="G63" s="1">
        <v>1654501</v>
      </c>
      <c r="H63" s="1">
        <v>0</v>
      </c>
      <c r="I63" s="1">
        <v>24171097</v>
      </c>
      <c r="J63" s="1">
        <v>0</v>
      </c>
      <c r="K63" s="1">
        <v>5500000</v>
      </c>
      <c r="L63" s="1">
        <v>0</v>
      </c>
      <c r="M63" s="1">
        <v>1000000</v>
      </c>
      <c r="N63" s="1">
        <v>4227768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1387000</v>
      </c>
      <c r="U63" s="1">
        <v>0</v>
      </c>
      <c r="V63" s="1">
        <v>13697349</v>
      </c>
      <c r="W63" s="1">
        <v>1900000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3384580</v>
      </c>
      <c r="AD63" s="1">
        <v>0</v>
      </c>
      <c r="AE63" s="1">
        <v>3019834</v>
      </c>
      <c r="AF63" s="1">
        <v>1516881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4227768</v>
      </c>
      <c r="AM63" s="1">
        <v>0</v>
      </c>
      <c r="AN63" s="1">
        <v>0</v>
      </c>
      <c r="AO63" s="1">
        <v>91113846</v>
      </c>
      <c r="AP63" s="1">
        <v>31104055</v>
      </c>
      <c r="AQ63" s="1">
        <v>60009791</v>
      </c>
      <c r="AR63" s="1">
        <v>17919393</v>
      </c>
      <c r="AS63" s="1">
        <v>2687909</v>
      </c>
      <c r="AT63" s="1">
        <f t="shared" si="2"/>
        <v>111721148</v>
      </c>
    </row>
    <row r="64" spans="1:46" x14ac:dyDescent="0.2">
      <c r="A64" s="1" t="str">
        <f>"00078"</f>
        <v>00078</v>
      </c>
      <c r="B64" s="1" t="str">
        <f>"مهدي"</f>
        <v>مهدي</v>
      </c>
      <c r="C64" s="1" t="str">
        <f>"اميري"</f>
        <v>اميري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23569383</v>
      </c>
      <c r="G64" s="1">
        <v>6200897</v>
      </c>
      <c r="H64" s="1">
        <v>0</v>
      </c>
      <c r="I64" s="1">
        <v>19579443</v>
      </c>
      <c r="J64" s="1">
        <v>0</v>
      </c>
      <c r="K64" s="1">
        <v>5500000</v>
      </c>
      <c r="L64" s="1">
        <v>0</v>
      </c>
      <c r="M64" s="1">
        <v>1000000</v>
      </c>
      <c r="N64" s="1">
        <v>3577578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1387000</v>
      </c>
      <c r="U64" s="1">
        <v>0</v>
      </c>
      <c r="V64" s="1">
        <v>13519318</v>
      </c>
      <c r="W64" s="1">
        <v>1900000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2555413</v>
      </c>
      <c r="AF64" s="1">
        <v>1516881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4795457</v>
      </c>
      <c r="AM64" s="1">
        <v>0</v>
      </c>
      <c r="AN64" s="1">
        <v>0</v>
      </c>
      <c r="AO64" s="1">
        <v>85101370</v>
      </c>
      <c r="AP64" s="1">
        <v>46521440</v>
      </c>
      <c r="AQ64" s="1">
        <v>38579930</v>
      </c>
      <c r="AR64" s="1">
        <v>16716898</v>
      </c>
      <c r="AS64" s="1">
        <v>2507535</v>
      </c>
      <c r="AT64" s="1">
        <f t="shared" si="2"/>
        <v>104325803</v>
      </c>
    </row>
    <row r="65" spans="1:46" x14ac:dyDescent="0.2">
      <c r="A65" s="1" t="str">
        <f>"00079"</f>
        <v>00079</v>
      </c>
      <c r="B65" s="1" t="str">
        <f>"رضا"</f>
        <v>رضا</v>
      </c>
      <c r="C65" s="1" t="str">
        <f>"بابااحمدي"</f>
        <v>بابااحمدي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14988541</v>
      </c>
      <c r="G65" s="1">
        <v>2639808</v>
      </c>
      <c r="H65" s="1">
        <v>0</v>
      </c>
      <c r="I65" s="1">
        <v>13383944</v>
      </c>
      <c r="J65" s="1">
        <v>0</v>
      </c>
      <c r="K65" s="1">
        <v>3465000</v>
      </c>
      <c r="L65" s="1">
        <v>0</v>
      </c>
      <c r="M65" s="1">
        <v>1000000</v>
      </c>
      <c r="N65" s="1">
        <v>2723437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1606000</v>
      </c>
      <c r="U65" s="1">
        <v>0</v>
      </c>
      <c r="V65" s="1">
        <v>18976008</v>
      </c>
      <c r="W65" s="1">
        <v>1900000</v>
      </c>
      <c r="X65" s="1">
        <v>2175756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1945312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10332498</v>
      </c>
      <c r="AM65" s="1">
        <v>0</v>
      </c>
      <c r="AN65" s="1">
        <v>0</v>
      </c>
      <c r="AO65" s="1">
        <v>75136304</v>
      </c>
      <c r="AP65" s="1">
        <v>8896617</v>
      </c>
      <c r="AQ65" s="1">
        <v>66239687</v>
      </c>
      <c r="AR65" s="1">
        <v>15027261</v>
      </c>
      <c r="AS65" s="1">
        <v>2254089</v>
      </c>
      <c r="AT65" s="1">
        <f t="shared" si="2"/>
        <v>92417654</v>
      </c>
    </row>
    <row r="66" spans="1:46" x14ac:dyDescent="0.2">
      <c r="A66" s="1" t="str">
        <f>"00081"</f>
        <v>00081</v>
      </c>
      <c r="B66" s="1" t="str">
        <f>"عباس"</f>
        <v>عباس</v>
      </c>
      <c r="C66" s="1" t="str">
        <f>"باقري"</f>
        <v>باقري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24447840</v>
      </c>
      <c r="G66" s="1">
        <v>3628738</v>
      </c>
      <c r="H66" s="1">
        <v>0</v>
      </c>
      <c r="I66" s="1">
        <v>21716583</v>
      </c>
      <c r="J66" s="1">
        <v>0</v>
      </c>
      <c r="K66" s="1">
        <v>5500000</v>
      </c>
      <c r="L66" s="1">
        <v>0</v>
      </c>
      <c r="M66" s="1">
        <v>1000000</v>
      </c>
      <c r="N66" s="1">
        <v>3885038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1606000</v>
      </c>
      <c r="U66" s="1">
        <v>0</v>
      </c>
      <c r="V66" s="1">
        <v>13978870</v>
      </c>
      <c r="W66" s="1">
        <v>1900000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2775027</v>
      </c>
      <c r="AF66" s="1">
        <v>3033762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6660065</v>
      </c>
      <c r="AM66" s="1">
        <v>0</v>
      </c>
      <c r="AN66" s="1">
        <v>0</v>
      </c>
      <c r="AO66" s="1">
        <v>90131923</v>
      </c>
      <c r="AP66" s="1">
        <v>39289898</v>
      </c>
      <c r="AQ66" s="1">
        <v>50842025</v>
      </c>
      <c r="AR66" s="1">
        <v>17419632</v>
      </c>
      <c r="AS66" s="1">
        <v>2612945</v>
      </c>
      <c r="AT66" s="1">
        <f t="shared" si="2"/>
        <v>110164500</v>
      </c>
    </row>
    <row r="67" spans="1:46" x14ac:dyDescent="0.2">
      <c r="A67" s="1" t="str">
        <f>"00082"</f>
        <v>00082</v>
      </c>
      <c r="B67" s="1" t="str">
        <f>"ماه بگم"</f>
        <v>ماه بگم</v>
      </c>
      <c r="C67" s="1" t="str">
        <f>"بخشي"</f>
        <v>بخشي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18042331</v>
      </c>
      <c r="G67" s="1">
        <v>2592573</v>
      </c>
      <c r="H67" s="1">
        <v>0</v>
      </c>
      <c r="I67" s="1">
        <v>15165911</v>
      </c>
      <c r="J67" s="1">
        <v>1100000</v>
      </c>
      <c r="K67" s="1">
        <v>4125000</v>
      </c>
      <c r="L67" s="1">
        <v>0</v>
      </c>
      <c r="M67" s="1">
        <v>1000000</v>
      </c>
      <c r="N67" s="1">
        <v>2772508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1606000</v>
      </c>
      <c r="U67" s="1">
        <v>0</v>
      </c>
      <c r="V67" s="1">
        <v>4175053</v>
      </c>
      <c r="W67" s="1">
        <v>1900000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1980363</v>
      </c>
      <c r="AF67" s="1">
        <v>3033762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3789415</v>
      </c>
      <c r="AM67" s="1">
        <v>0</v>
      </c>
      <c r="AN67" s="1">
        <v>0</v>
      </c>
      <c r="AO67" s="1">
        <v>61282916</v>
      </c>
      <c r="AP67" s="1">
        <v>30261230</v>
      </c>
      <c r="AQ67" s="1">
        <v>31021686</v>
      </c>
      <c r="AR67" s="1">
        <v>11429831</v>
      </c>
      <c r="AS67" s="1">
        <v>1714475</v>
      </c>
      <c r="AT67" s="1">
        <f t="shared" ref="AT67:AT130" si="7">AO67+AR67+AS67</f>
        <v>74427222</v>
      </c>
    </row>
    <row r="68" spans="1:46" x14ac:dyDescent="0.2">
      <c r="A68" s="1" t="str">
        <f>"00083"</f>
        <v>00083</v>
      </c>
      <c r="B68" s="1" t="str">
        <f>"مريم"</f>
        <v>مريم</v>
      </c>
      <c r="C68" s="1" t="str">
        <f>"فيروزآبادي"</f>
        <v>فيروزآبادي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24371167</v>
      </c>
      <c r="G68" s="1">
        <v>1534621</v>
      </c>
      <c r="H68" s="1">
        <v>0</v>
      </c>
      <c r="I68" s="1">
        <v>22581209</v>
      </c>
      <c r="J68" s="1">
        <v>0</v>
      </c>
      <c r="K68" s="1">
        <v>4125000</v>
      </c>
      <c r="L68" s="1">
        <v>0</v>
      </c>
      <c r="M68" s="1">
        <v>1000000</v>
      </c>
      <c r="N68" s="1">
        <v>3858202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1387000</v>
      </c>
      <c r="U68" s="1">
        <v>0</v>
      </c>
      <c r="V68" s="1">
        <v>13193943</v>
      </c>
      <c r="W68" s="1">
        <v>1900000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2755859</v>
      </c>
      <c r="AF68" s="1">
        <v>1516881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5732186</v>
      </c>
      <c r="AM68" s="1">
        <v>0</v>
      </c>
      <c r="AN68" s="1">
        <v>0</v>
      </c>
      <c r="AO68" s="1">
        <v>83956068</v>
      </c>
      <c r="AP68" s="1">
        <v>26055418</v>
      </c>
      <c r="AQ68" s="1">
        <v>57900650</v>
      </c>
      <c r="AR68" s="1">
        <v>16487837</v>
      </c>
      <c r="AS68" s="1">
        <v>2473176</v>
      </c>
      <c r="AT68" s="1">
        <f t="shared" si="7"/>
        <v>102917081</v>
      </c>
    </row>
    <row r="69" spans="1:46" x14ac:dyDescent="0.2">
      <c r="A69" s="1" t="str">
        <f>"00084"</f>
        <v>00084</v>
      </c>
      <c r="B69" s="1" t="str">
        <f>"غلامحسين"</f>
        <v>غلامحسين</v>
      </c>
      <c r="C69" s="1" t="str">
        <f>"بشار"</f>
        <v>بشار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16123307</v>
      </c>
      <c r="G69" s="1">
        <v>13334814</v>
      </c>
      <c r="H69" s="1">
        <v>0</v>
      </c>
      <c r="I69" s="1">
        <v>15252052</v>
      </c>
      <c r="J69" s="1">
        <v>0</v>
      </c>
      <c r="K69" s="1">
        <v>4620000</v>
      </c>
      <c r="L69" s="1">
        <v>0</v>
      </c>
      <c r="M69" s="1">
        <v>1000000</v>
      </c>
      <c r="N69" s="1">
        <v>3120605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1606000</v>
      </c>
      <c r="U69" s="1">
        <v>0</v>
      </c>
      <c r="V69" s="1">
        <v>11599515</v>
      </c>
      <c r="W69" s="1">
        <v>1900000</v>
      </c>
      <c r="X69" s="1">
        <v>2340480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2229003</v>
      </c>
      <c r="AF69" s="1">
        <v>1516881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12634670</v>
      </c>
      <c r="AM69" s="1">
        <v>0</v>
      </c>
      <c r="AN69" s="1">
        <v>0</v>
      </c>
      <c r="AO69" s="1">
        <v>87277327</v>
      </c>
      <c r="AP69" s="1">
        <v>16166122</v>
      </c>
      <c r="AQ69" s="1">
        <v>71111205</v>
      </c>
      <c r="AR69" s="1">
        <v>17152089</v>
      </c>
      <c r="AS69" s="1">
        <v>2572813</v>
      </c>
      <c r="AT69" s="1">
        <f t="shared" si="7"/>
        <v>107002229</v>
      </c>
    </row>
    <row r="70" spans="1:46" x14ac:dyDescent="0.2">
      <c r="A70" s="1" t="str">
        <f>"00086"</f>
        <v>00086</v>
      </c>
      <c r="B70" s="1" t="str">
        <f>"عباس"</f>
        <v>عباس</v>
      </c>
      <c r="C70" s="1" t="str">
        <f>"پرتوي سنگي"</f>
        <v>پرتوي سنگي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25527839</v>
      </c>
      <c r="G70" s="1">
        <v>1153409</v>
      </c>
      <c r="H70" s="1">
        <v>0</v>
      </c>
      <c r="I70" s="1">
        <v>23697583</v>
      </c>
      <c r="J70" s="1">
        <v>0</v>
      </c>
      <c r="K70" s="1">
        <v>5500000</v>
      </c>
      <c r="L70" s="1">
        <v>0</v>
      </c>
      <c r="M70" s="1">
        <v>1000000</v>
      </c>
      <c r="N70" s="1">
        <v>4263037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1606000</v>
      </c>
      <c r="U70" s="1">
        <v>0</v>
      </c>
      <c r="V70" s="1">
        <v>18860143</v>
      </c>
      <c r="W70" s="1">
        <v>1900000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3045027</v>
      </c>
      <c r="AF70" s="1">
        <v>1516881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6333655</v>
      </c>
      <c r="AM70" s="1">
        <v>0</v>
      </c>
      <c r="AN70" s="1">
        <v>0</v>
      </c>
      <c r="AO70" s="1">
        <v>94403574</v>
      </c>
      <c r="AP70" s="1">
        <v>42465595</v>
      </c>
      <c r="AQ70" s="1">
        <v>51937979</v>
      </c>
      <c r="AR70" s="1">
        <v>18577339</v>
      </c>
      <c r="AS70" s="1">
        <v>2786601</v>
      </c>
      <c r="AT70" s="1">
        <f t="shared" si="7"/>
        <v>115767514</v>
      </c>
    </row>
    <row r="71" spans="1:46" x14ac:dyDescent="0.2">
      <c r="A71" s="1" t="str">
        <f>"00088"</f>
        <v>00088</v>
      </c>
      <c r="B71" s="1" t="str">
        <f>"بهرام"</f>
        <v>بهرام</v>
      </c>
      <c r="C71" s="1" t="str">
        <f>"پذيرا"</f>
        <v>پذيرا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16405903</v>
      </c>
      <c r="G71" s="1">
        <v>7460204</v>
      </c>
      <c r="H71" s="1">
        <v>0</v>
      </c>
      <c r="I71" s="1">
        <v>15615540</v>
      </c>
      <c r="J71" s="1">
        <v>0</v>
      </c>
      <c r="K71" s="1">
        <v>4620000</v>
      </c>
      <c r="L71" s="1">
        <v>0</v>
      </c>
      <c r="M71" s="1">
        <v>1000000</v>
      </c>
      <c r="N71" s="1">
        <v>3219513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1387000</v>
      </c>
      <c r="U71" s="1">
        <v>0</v>
      </c>
      <c r="V71" s="1">
        <v>11833585</v>
      </c>
      <c r="W71" s="1">
        <v>1900000</v>
      </c>
      <c r="X71" s="1">
        <v>2381502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2299652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12815071</v>
      </c>
      <c r="AM71" s="1">
        <v>0</v>
      </c>
      <c r="AN71" s="1">
        <v>0</v>
      </c>
      <c r="AO71" s="1">
        <v>80937970</v>
      </c>
      <c r="AP71" s="1">
        <v>35142872</v>
      </c>
      <c r="AQ71" s="1">
        <v>45795098</v>
      </c>
      <c r="AR71" s="1">
        <v>16187594</v>
      </c>
      <c r="AS71" s="1">
        <v>2428139</v>
      </c>
      <c r="AT71" s="1">
        <f t="shared" si="7"/>
        <v>99553703</v>
      </c>
    </row>
    <row r="72" spans="1:46" x14ac:dyDescent="0.2">
      <c r="A72" s="1" t="str">
        <f>"00090"</f>
        <v>00090</v>
      </c>
      <c r="B72" s="1" t="str">
        <f>"محمدامين"</f>
        <v>محمدامين</v>
      </c>
      <c r="C72" s="1" t="str">
        <f>"جليل وند"</f>
        <v>جليل وند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24329544</v>
      </c>
      <c r="G72" s="1">
        <v>9570548</v>
      </c>
      <c r="H72" s="1">
        <v>0</v>
      </c>
      <c r="I72" s="1">
        <v>23296642</v>
      </c>
      <c r="J72" s="1">
        <v>0</v>
      </c>
      <c r="K72" s="1">
        <v>5500000</v>
      </c>
      <c r="L72" s="1">
        <v>0</v>
      </c>
      <c r="M72" s="1">
        <v>1000000</v>
      </c>
      <c r="N72" s="1">
        <v>3843634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1606000</v>
      </c>
      <c r="U72" s="1">
        <v>0</v>
      </c>
      <c r="V72" s="1">
        <v>32129151</v>
      </c>
      <c r="W72" s="1">
        <v>1900000</v>
      </c>
      <c r="X72" s="1">
        <v>3531708</v>
      </c>
      <c r="Y72" s="1">
        <v>0</v>
      </c>
      <c r="Z72" s="1">
        <v>0</v>
      </c>
      <c r="AA72" s="1">
        <v>0</v>
      </c>
      <c r="AB72" s="1">
        <v>0</v>
      </c>
      <c r="AC72" s="1">
        <v>3877480</v>
      </c>
      <c r="AD72" s="1">
        <v>0</v>
      </c>
      <c r="AE72" s="1">
        <v>2745453</v>
      </c>
      <c r="AF72" s="1">
        <v>1516881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14107586</v>
      </c>
      <c r="AM72" s="1">
        <v>0</v>
      </c>
      <c r="AN72" s="1">
        <v>0</v>
      </c>
      <c r="AO72" s="1">
        <v>128954627</v>
      </c>
      <c r="AP72" s="1">
        <v>39569247</v>
      </c>
      <c r="AQ72" s="1">
        <v>89385380</v>
      </c>
      <c r="AR72" s="1">
        <v>25487549</v>
      </c>
      <c r="AS72" s="1">
        <v>3823132</v>
      </c>
      <c r="AT72" s="1">
        <f t="shared" si="7"/>
        <v>158265308</v>
      </c>
    </row>
    <row r="73" spans="1:46" x14ac:dyDescent="0.2">
      <c r="A73" s="1" t="str">
        <f>"00091"</f>
        <v>00091</v>
      </c>
      <c r="B73" s="1" t="str">
        <f>"زهرا"</f>
        <v>زهرا</v>
      </c>
      <c r="C73" s="1" t="str">
        <f>"جوكار"</f>
        <v>جوكار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23814737</v>
      </c>
      <c r="G73" s="1">
        <v>0</v>
      </c>
      <c r="H73" s="1">
        <v>0</v>
      </c>
      <c r="I73" s="1">
        <v>21683202</v>
      </c>
      <c r="J73" s="1">
        <v>0</v>
      </c>
      <c r="K73" s="1">
        <v>4125000</v>
      </c>
      <c r="L73" s="1">
        <v>0</v>
      </c>
      <c r="M73" s="1">
        <v>1000000</v>
      </c>
      <c r="N73" s="1">
        <v>3663452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1606000</v>
      </c>
      <c r="U73" s="1">
        <v>0</v>
      </c>
      <c r="V73" s="1">
        <v>9162652</v>
      </c>
      <c r="W73" s="1">
        <v>1900000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2616751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4607410</v>
      </c>
      <c r="AM73" s="1">
        <v>0</v>
      </c>
      <c r="AN73" s="1">
        <v>0</v>
      </c>
      <c r="AO73" s="1">
        <v>74179204</v>
      </c>
      <c r="AP73" s="1">
        <v>12740610</v>
      </c>
      <c r="AQ73" s="1">
        <v>61438594</v>
      </c>
      <c r="AR73" s="1">
        <v>14835841</v>
      </c>
      <c r="AS73" s="1">
        <v>2225376</v>
      </c>
      <c r="AT73" s="1">
        <f t="shared" si="7"/>
        <v>91240421</v>
      </c>
    </row>
    <row r="74" spans="1:46" x14ac:dyDescent="0.2">
      <c r="A74" s="1" t="str">
        <f>"00092"</f>
        <v>00092</v>
      </c>
      <c r="B74" s="1" t="str">
        <f>"احسان"</f>
        <v>احسان</v>
      </c>
      <c r="C74" s="1" t="str">
        <f>"حاجي نژاد"</f>
        <v>حاجي نژاد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23847597</v>
      </c>
      <c r="G74" s="1">
        <v>1426933</v>
      </c>
      <c r="H74" s="1">
        <v>0</v>
      </c>
      <c r="I74" s="1">
        <v>21132679</v>
      </c>
      <c r="J74" s="1">
        <v>0</v>
      </c>
      <c r="K74" s="1">
        <v>5500000</v>
      </c>
      <c r="L74" s="1">
        <v>0</v>
      </c>
      <c r="M74" s="1">
        <v>1000000</v>
      </c>
      <c r="N74" s="1">
        <v>3674953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1387000</v>
      </c>
      <c r="U74" s="1">
        <v>0</v>
      </c>
      <c r="V74" s="1">
        <v>11813353</v>
      </c>
      <c r="W74" s="1">
        <v>1900000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2624966</v>
      </c>
      <c r="AF74" s="1">
        <v>1516881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4312054</v>
      </c>
      <c r="AM74" s="1">
        <v>0</v>
      </c>
      <c r="AN74" s="1">
        <v>0</v>
      </c>
      <c r="AO74" s="1">
        <v>80136416</v>
      </c>
      <c r="AP74" s="1">
        <v>21394977</v>
      </c>
      <c r="AQ74" s="1">
        <v>58741439</v>
      </c>
      <c r="AR74" s="1">
        <v>15723907</v>
      </c>
      <c r="AS74" s="1">
        <v>2358586</v>
      </c>
      <c r="AT74" s="1">
        <f t="shared" si="7"/>
        <v>98218909</v>
      </c>
    </row>
    <row r="75" spans="1:46" x14ac:dyDescent="0.2">
      <c r="A75" s="1" t="str">
        <f>"00093"</f>
        <v>00093</v>
      </c>
      <c r="B75" s="1" t="str">
        <f>"مهدي"</f>
        <v>مهدي</v>
      </c>
      <c r="C75" s="1" t="str">
        <f>"حسين پور"</f>
        <v>حسين پور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15437628</v>
      </c>
      <c r="G75" s="1">
        <v>12772059</v>
      </c>
      <c r="H75" s="1">
        <v>0</v>
      </c>
      <c r="I75" s="1">
        <v>13938004</v>
      </c>
      <c r="J75" s="1">
        <v>0</v>
      </c>
      <c r="K75" s="1">
        <v>3465000</v>
      </c>
      <c r="L75" s="1">
        <v>0</v>
      </c>
      <c r="M75" s="1">
        <v>1000000</v>
      </c>
      <c r="N75" s="1">
        <v>2880617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1606000</v>
      </c>
      <c r="U75" s="1">
        <v>0</v>
      </c>
      <c r="V75" s="1">
        <v>10762805</v>
      </c>
      <c r="W75" s="1">
        <v>1900000</v>
      </c>
      <c r="X75" s="1">
        <v>2240946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2057584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11485337</v>
      </c>
      <c r="AM75" s="1">
        <v>0</v>
      </c>
      <c r="AN75" s="1">
        <v>0</v>
      </c>
      <c r="AO75" s="1">
        <v>79545980</v>
      </c>
      <c r="AP75" s="1">
        <v>33769416</v>
      </c>
      <c r="AQ75" s="1">
        <v>45776564</v>
      </c>
      <c r="AR75" s="1">
        <v>15909196</v>
      </c>
      <c r="AS75" s="1">
        <v>2386379</v>
      </c>
      <c r="AT75" s="1">
        <f t="shared" si="7"/>
        <v>97841555</v>
      </c>
    </row>
    <row r="76" spans="1:46" x14ac:dyDescent="0.2">
      <c r="A76" s="1" t="str">
        <f>"00094"</f>
        <v>00094</v>
      </c>
      <c r="B76" s="1" t="str">
        <f>"امير"</f>
        <v>امير</v>
      </c>
      <c r="C76" s="1" t="str">
        <f>"حسين نيا"</f>
        <v>حسين نيا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15580021</v>
      </c>
      <c r="G76" s="1">
        <v>0</v>
      </c>
      <c r="H76" s="1">
        <v>0</v>
      </c>
      <c r="I76" s="1">
        <v>13370536</v>
      </c>
      <c r="J76" s="1">
        <v>0</v>
      </c>
      <c r="K76" s="1">
        <v>4620000</v>
      </c>
      <c r="L76" s="1">
        <v>0</v>
      </c>
      <c r="M76" s="1">
        <v>1000000</v>
      </c>
      <c r="N76" s="1">
        <v>2930455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1387000</v>
      </c>
      <c r="U76" s="1">
        <v>0</v>
      </c>
      <c r="V76" s="1">
        <v>9509864</v>
      </c>
      <c r="W76" s="1">
        <v>1900000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2093182</v>
      </c>
      <c r="AF76" s="1">
        <v>1516881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6493312</v>
      </c>
      <c r="AM76" s="1">
        <v>0</v>
      </c>
      <c r="AN76" s="1">
        <v>0</v>
      </c>
      <c r="AO76" s="1">
        <v>60401251</v>
      </c>
      <c r="AP76" s="1">
        <v>22825174</v>
      </c>
      <c r="AQ76" s="1">
        <v>37576077</v>
      </c>
      <c r="AR76" s="1">
        <v>11776874</v>
      </c>
      <c r="AS76" s="1">
        <v>1766531</v>
      </c>
      <c r="AT76" s="1">
        <f t="shared" si="7"/>
        <v>73944656</v>
      </c>
    </row>
    <row r="77" spans="1:46" x14ac:dyDescent="0.2">
      <c r="A77" s="1" t="str">
        <f>"00095"</f>
        <v>00095</v>
      </c>
      <c r="B77" s="1" t="str">
        <f>"سيداشكان"</f>
        <v>سيداشكان</v>
      </c>
      <c r="C77" s="1" t="str">
        <f>"حسيني ليراوي"</f>
        <v>حسيني ليراوي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16070731</v>
      </c>
      <c r="G77" s="1">
        <v>1555015</v>
      </c>
      <c r="H77" s="1">
        <v>0</v>
      </c>
      <c r="I77" s="1">
        <v>15473652</v>
      </c>
      <c r="J77" s="1">
        <v>0</v>
      </c>
      <c r="K77" s="1">
        <v>4620000</v>
      </c>
      <c r="L77" s="1">
        <v>0</v>
      </c>
      <c r="M77" s="1">
        <v>1000000</v>
      </c>
      <c r="N77" s="1">
        <v>3102203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1387000</v>
      </c>
      <c r="U77" s="1">
        <v>0</v>
      </c>
      <c r="V77" s="1">
        <v>10483083</v>
      </c>
      <c r="W77" s="1">
        <v>1900000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2215859</v>
      </c>
      <c r="AF77" s="1">
        <v>1516881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7746416</v>
      </c>
      <c r="AM77" s="1">
        <v>0</v>
      </c>
      <c r="AN77" s="1">
        <v>0</v>
      </c>
      <c r="AO77" s="1">
        <v>67070840</v>
      </c>
      <c r="AP77" s="1">
        <v>30403319</v>
      </c>
      <c r="AQ77" s="1">
        <v>36667521</v>
      </c>
      <c r="AR77" s="1">
        <v>13110792</v>
      </c>
      <c r="AS77" s="1">
        <v>1966619</v>
      </c>
      <c r="AT77" s="1">
        <f t="shared" si="7"/>
        <v>82148251</v>
      </c>
    </row>
    <row r="78" spans="1:46" x14ac:dyDescent="0.2">
      <c r="A78" s="1" t="str">
        <f>"00096"</f>
        <v>00096</v>
      </c>
      <c r="B78" s="1" t="str">
        <f>"مهدي"</f>
        <v>مهدي</v>
      </c>
      <c r="C78" s="1" t="str">
        <f>"حيدري"</f>
        <v>حيدري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15385052</v>
      </c>
      <c r="G78" s="1">
        <v>342707</v>
      </c>
      <c r="H78" s="1">
        <v>0</v>
      </c>
      <c r="I78" s="1">
        <v>12788169</v>
      </c>
      <c r="J78" s="1">
        <v>0</v>
      </c>
      <c r="K78" s="1">
        <v>4620000</v>
      </c>
      <c r="L78" s="1">
        <v>0</v>
      </c>
      <c r="M78" s="1">
        <v>1000000</v>
      </c>
      <c r="N78" s="1">
        <v>2862216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1387000</v>
      </c>
      <c r="U78" s="1">
        <v>0</v>
      </c>
      <c r="V78" s="1">
        <v>9241382</v>
      </c>
      <c r="W78" s="1">
        <v>1900000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2044440</v>
      </c>
      <c r="AF78" s="1">
        <v>3033762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6245153</v>
      </c>
      <c r="AM78" s="1">
        <v>0</v>
      </c>
      <c r="AN78" s="1">
        <v>0</v>
      </c>
      <c r="AO78" s="1">
        <v>60849881</v>
      </c>
      <c r="AP78" s="1">
        <v>6454703</v>
      </c>
      <c r="AQ78" s="1">
        <v>54395178</v>
      </c>
      <c r="AR78" s="1">
        <v>11563224</v>
      </c>
      <c r="AS78" s="1">
        <v>1734484</v>
      </c>
      <c r="AT78" s="1">
        <f t="shared" si="7"/>
        <v>74147589</v>
      </c>
    </row>
    <row r="79" spans="1:46" x14ac:dyDescent="0.2">
      <c r="A79" s="1" t="str">
        <f>"00097"</f>
        <v>00097</v>
      </c>
      <c r="B79" s="1" t="str">
        <f>"ابراهيم"</f>
        <v>ابراهيم</v>
      </c>
      <c r="C79" s="1" t="str">
        <f>"خادميان"</f>
        <v>خادميان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13595277</v>
      </c>
      <c r="G79" s="1">
        <v>3548141</v>
      </c>
      <c r="H79" s="1">
        <v>0</v>
      </c>
      <c r="I79" s="1">
        <v>12431733</v>
      </c>
      <c r="J79" s="1">
        <v>0</v>
      </c>
      <c r="K79" s="1">
        <v>0</v>
      </c>
      <c r="L79" s="1">
        <v>0</v>
      </c>
      <c r="M79" s="1">
        <v>1000000</v>
      </c>
      <c r="N79" s="1">
        <v>2504151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1387000</v>
      </c>
      <c r="U79" s="1">
        <v>0</v>
      </c>
      <c r="V79" s="1">
        <v>6690212</v>
      </c>
      <c r="W79" s="1">
        <v>1900000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1788679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4891802</v>
      </c>
      <c r="AM79" s="1">
        <v>0</v>
      </c>
      <c r="AN79" s="1">
        <v>0</v>
      </c>
      <c r="AO79" s="1">
        <v>49736995</v>
      </c>
      <c r="AP79" s="1">
        <v>21854596</v>
      </c>
      <c r="AQ79" s="1">
        <v>27882399</v>
      </c>
      <c r="AR79" s="1">
        <v>9947399</v>
      </c>
      <c r="AS79" s="1">
        <v>1492110</v>
      </c>
      <c r="AT79" s="1">
        <f t="shared" si="7"/>
        <v>61176504</v>
      </c>
    </row>
    <row r="80" spans="1:46" x14ac:dyDescent="0.2">
      <c r="A80" s="1" t="str">
        <f>"00098"</f>
        <v>00098</v>
      </c>
      <c r="B80" s="1" t="str">
        <f>"اسماعيل"</f>
        <v>اسماعيل</v>
      </c>
      <c r="C80" s="1" t="str">
        <f>"خجسته"</f>
        <v>خجسته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22154212</v>
      </c>
      <c r="G80" s="1">
        <v>408929</v>
      </c>
      <c r="H80" s="1">
        <v>0</v>
      </c>
      <c r="I80" s="1">
        <v>20736142</v>
      </c>
      <c r="J80" s="1">
        <v>0</v>
      </c>
      <c r="K80" s="1">
        <v>5500000</v>
      </c>
      <c r="L80" s="1">
        <v>0</v>
      </c>
      <c r="M80" s="1">
        <v>1000000</v>
      </c>
      <c r="N80" s="1">
        <v>3326089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1606000</v>
      </c>
      <c r="U80" s="1">
        <v>0</v>
      </c>
      <c r="V80" s="1">
        <v>5268286</v>
      </c>
      <c r="W80" s="1">
        <v>1900000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2375778</v>
      </c>
      <c r="AF80" s="1">
        <v>4550643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4090632</v>
      </c>
      <c r="AM80" s="1">
        <v>0</v>
      </c>
      <c r="AN80" s="1">
        <v>0</v>
      </c>
      <c r="AO80" s="1">
        <v>72916711</v>
      </c>
      <c r="AP80" s="1">
        <v>13047250</v>
      </c>
      <c r="AQ80" s="1">
        <v>59869461</v>
      </c>
      <c r="AR80" s="1">
        <v>13673214</v>
      </c>
      <c r="AS80" s="1">
        <v>2050982</v>
      </c>
      <c r="AT80" s="1">
        <f t="shared" si="7"/>
        <v>88640907</v>
      </c>
    </row>
    <row r="81" spans="1:46" x14ac:dyDescent="0.2">
      <c r="A81" s="1" t="str">
        <f>"00099"</f>
        <v>00099</v>
      </c>
      <c r="B81" s="1" t="str">
        <f>"عباس"</f>
        <v>عباس</v>
      </c>
      <c r="C81" s="1" t="str">
        <f>"پورداراب"</f>
        <v>پورداراب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23976847</v>
      </c>
      <c r="G81" s="1">
        <v>7742986</v>
      </c>
      <c r="H81" s="1">
        <v>0</v>
      </c>
      <c r="I81" s="1">
        <v>20970006</v>
      </c>
      <c r="J81" s="1">
        <v>0</v>
      </c>
      <c r="K81" s="1">
        <v>5500000</v>
      </c>
      <c r="L81" s="1">
        <v>0</v>
      </c>
      <c r="M81" s="1">
        <v>1000000</v>
      </c>
      <c r="N81" s="1">
        <v>3720190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1606000</v>
      </c>
      <c r="U81" s="1">
        <v>0</v>
      </c>
      <c r="V81" s="1">
        <v>12367017</v>
      </c>
      <c r="W81" s="1">
        <v>1900000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2657279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4889392</v>
      </c>
      <c r="AM81" s="1">
        <v>0</v>
      </c>
      <c r="AN81" s="1">
        <v>0</v>
      </c>
      <c r="AO81" s="1">
        <v>86329717</v>
      </c>
      <c r="AP81" s="1">
        <v>31542213</v>
      </c>
      <c r="AQ81" s="1">
        <v>54787504</v>
      </c>
      <c r="AR81" s="1">
        <v>17265943</v>
      </c>
      <c r="AS81" s="1">
        <v>2589892</v>
      </c>
      <c r="AT81" s="1">
        <f t="shared" si="7"/>
        <v>106185552</v>
      </c>
    </row>
    <row r="82" spans="1:46" x14ac:dyDescent="0.2">
      <c r="A82" s="1" t="str">
        <f>"00100"</f>
        <v>00100</v>
      </c>
      <c r="B82" s="1" t="str">
        <f>"علي"</f>
        <v>علي</v>
      </c>
      <c r="C82" s="1" t="str">
        <f>"خرم"</f>
        <v>خرم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15286472</v>
      </c>
      <c r="G82" s="1">
        <v>13626552</v>
      </c>
      <c r="H82" s="1">
        <v>0</v>
      </c>
      <c r="I82" s="1">
        <v>14229567</v>
      </c>
      <c r="J82" s="1">
        <v>0</v>
      </c>
      <c r="K82" s="1">
        <v>4620000</v>
      </c>
      <c r="L82" s="1">
        <v>0</v>
      </c>
      <c r="M82" s="1">
        <v>1000000</v>
      </c>
      <c r="N82" s="1">
        <v>2827713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1606000</v>
      </c>
      <c r="U82" s="1">
        <v>0</v>
      </c>
      <c r="V82" s="1">
        <v>10807409</v>
      </c>
      <c r="W82" s="1">
        <v>1900000</v>
      </c>
      <c r="X82" s="1">
        <v>2219004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2019795</v>
      </c>
      <c r="AF82" s="1">
        <v>1516881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11625430</v>
      </c>
      <c r="AM82" s="1">
        <v>0</v>
      </c>
      <c r="AN82" s="1">
        <v>0</v>
      </c>
      <c r="AO82" s="1">
        <v>83284823</v>
      </c>
      <c r="AP82" s="1">
        <v>35372849</v>
      </c>
      <c r="AQ82" s="1">
        <v>47911974</v>
      </c>
      <c r="AR82" s="1">
        <v>16353588</v>
      </c>
      <c r="AS82" s="1">
        <v>2453038</v>
      </c>
      <c r="AT82" s="1">
        <f t="shared" si="7"/>
        <v>102091449</v>
      </c>
    </row>
    <row r="83" spans="1:46" x14ac:dyDescent="0.2">
      <c r="A83" s="1" t="str">
        <f>"00101"</f>
        <v>00101</v>
      </c>
      <c r="B83" s="1" t="str">
        <f>"امين"</f>
        <v>امين</v>
      </c>
      <c r="C83" s="1" t="str">
        <f>"بهادري"</f>
        <v>بهادري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30695621</v>
      </c>
      <c r="G83" s="1">
        <v>8160614</v>
      </c>
      <c r="H83" s="1">
        <v>0</v>
      </c>
      <c r="I83" s="1">
        <v>32225567</v>
      </c>
      <c r="J83" s="1">
        <v>0</v>
      </c>
      <c r="K83" s="1">
        <v>5500000</v>
      </c>
      <c r="L83" s="1">
        <v>0</v>
      </c>
      <c r="M83" s="1">
        <v>1000000</v>
      </c>
      <c r="N83" s="1">
        <v>4734578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1387000</v>
      </c>
      <c r="U83" s="1">
        <v>0</v>
      </c>
      <c r="V83" s="1">
        <v>7509582</v>
      </c>
      <c r="W83" s="1">
        <v>1900000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3381842</v>
      </c>
      <c r="AF83" s="1">
        <v>1516881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4058210</v>
      </c>
      <c r="AM83" s="1">
        <v>0</v>
      </c>
      <c r="AN83" s="1">
        <v>0</v>
      </c>
      <c r="AO83" s="1">
        <v>102069895</v>
      </c>
      <c r="AP83" s="1">
        <v>33036347</v>
      </c>
      <c r="AQ83" s="1">
        <v>69033548</v>
      </c>
      <c r="AR83" s="1">
        <v>20110603</v>
      </c>
      <c r="AS83" s="1">
        <v>3016590</v>
      </c>
      <c r="AT83" s="1">
        <f t="shared" si="7"/>
        <v>125197088</v>
      </c>
    </row>
    <row r="84" spans="1:46" x14ac:dyDescent="0.2">
      <c r="A84" s="1" t="str">
        <f>"00102"</f>
        <v>00102</v>
      </c>
      <c r="B84" s="1" t="str">
        <f>"فيروزه"</f>
        <v>فيروزه</v>
      </c>
      <c r="C84" s="1" t="str">
        <f>"خليفه نژاد برازجاني"</f>
        <v>خليفه نژاد برازجاني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15290853</v>
      </c>
      <c r="G84" s="1">
        <v>2746617</v>
      </c>
      <c r="H84" s="1">
        <v>0</v>
      </c>
      <c r="I84" s="1">
        <v>13057863</v>
      </c>
      <c r="J84" s="1">
        <v>1100000</v>
      </c>
      <c r="K84" s="1">
        <v>3465000</v>
      </c>
      <c r="L84" s="1">
        <v>0</v>
      </c>
      <c r="M84" s="1">
        <v>1000000</v>
      </c>
      <c r="N84" s="1">
        <v>2829246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1387000</v>
      </c>
      <c r="U84" s="1">
        <v>0</v>
      </c>
      <c r="V84" s="1">
        <v>9258118</v>
      </c>
      <c r="W84" s="1">
        <v>1900000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2020890</v>
      </c>
      <c r="AF84" s="1">
        <v>1516881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6197396</v>
      </c>
      <c r="AM84" s="1">
        <v>0</v>
      </c>
      <c r="AN84" s="1">
        <v>0</v>
      </c>
      <c r="AO84" s="1">
        <v>61769864</v>
      </c>
      <c r="AP84" s="1">
        <v>31444941</v>
      </c>
      <c r="AQ84" s="1">
        <v>30324923</v>
      </c>
      <c r="AR84" s="1">
        <v>11830597</v>
      </c>
      <c r="AS84" s="1">
        <v>1774589</v>
      </c>
      <c r="AT84" s="1">
        <f t="shared" si="7"/>
        <v>75375050</v>
      </c>
    </row>
    <row r="85" spans="1:46" x14ac:dyDescent="0.2">
      <c r="A85" s="1" t="str">
        <f>"00104"</f>
        <v>00104</v>
      </c>
      <c r="B85" s="1" t="str">
        <f>"امير"</f>
        <v>امير</v>
      </c>
      <c r="C85" s="1" t="str">
        <f>"دادجو"</f>
        <v>دادجو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24189341</v>
      </c>
      <c r="G85" s="1">
        <v>5151635</v>
      </c>
      <c r="H85" s="1">
        <v>4452000</v>
      </c>
      <c r="I85" s="1">
        <v>22010809</v>
      </c>
      <c r="J85" s="1">
        <v>0</v>
      </c>
      <c r="K85" s="1">
        <v>5500000</v>
      </c>
      <c r="L85" s="1">
        <v>0</v>
      </c>
      <c r="M85" s="1">
        <v>1000000</v>
      </c>
      <c r="N85" s="1">
        <v>3794563</v>
      </c>
      <c r="O85" s="1">
        <v>0</v>
      </c>
      <c r="P85" s="1">
        <v>0</v>
      </c>
      <c r="Q85" s="1">
        <v>0</v>
      </c>
      <c r="R85" s="1">
        <v>0</v>
      </c>
      <c r="S85" s="1">
        <v>1908000</v>
      </c>
      <c r="T85" s="1">
        <v>1606000</v>
      </c>
      <c r="U85" s="1">
        <v>0</v>
      </c>
      <c r="V85" s="1">
        <v>21907730</v>
      </c>
      <c r="W85" s="1">
        <v>1900000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2710402</v>
      </c>
      <c r="AF85" s="1">
        <v>1516881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6504966</v>
      </c>
      <c r="AM85" s="1">
        <v>0</v>
      </c>
      <c r="AN85" s="1">
        <v>0</v>
      </c>
      <c r="AO85" s="1">
        <v>104152327</v>
      </c>
      <c r="AP85" s="1">
        <v>39536832</v>
      </c>
      <c r="AQ85" s="1">
        <v>64615495</v>
      </c>
      <c r="AR85" s="1">
        <v>19255089</v>
      </c>
      <c r="AS85" s="1">
        <v>2888263</v>
      </c>
      <c r="AT85" s="1">
        <f t="shared" si="7"/>
        <v>126295679</v>
      </c>
    </row>
    <row r="86" spans="1:46" x14ac:dyDescent="0.2">
      <c r="A86" s="1" t="str">
        <f>"00105"</f>
        <v>00105</v>
      </c>
      <c r="B86" s="1" t="str">
        <f>"فاطمه"</f>
        <v>فاطمه</v>
      </c>
      <c r="C86" s="1" t="str">
        <f>"درفشان"</f>
        <v>درفشان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21076404</v>
      </c>
      <c r="G86" s="1">
        <v>0</v>
      </c>
      <c r="H86" s="1">
        <v>0</v>
      </c>
      <c r="I86" s="1">
        <v>17861103</v>
      </c>
      <c r="J86" s="1">
        <v>1100000</v>
      </c>
      <c r="K86" s="1">
        <v>4125000</v>
      </c>
      <c r="L86" s="1">
        <v>0</v>
      </c>
      <c r="M86" s="1">
        <v>1000000</v>
      </c>
      <c r="N86" s="1">
        <v>3638916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1387000</v>
      </c>
      <c r="U86" s="1">
        <v>0</v>
      </c>
      <c r="V86" s="1">
        <v>8500436</v>
      </c>
      <c r="W86" s="1">
        <v>1900000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2599226</v>
      </c>
      <c r="AF86" s="1">
        <v>1516881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4826915</v>
      </c>
      <c r="AM86" s="1">
        <v>0</v>
      </c>
      <c r="AN86" s="1">
        <v>0</v>
      </c>
      <c r="AO86" s="1">
        <v>69531881</v>
      </c>
      <c r="AP86" s="1">
        <v>13707546</v>
      </c>
      <c r="AQ86" s="1">
        <v>55824335</v>
      </c>
      <c r="AR86" s="1">
        <v>13383000</v>
      </c>
      <c r="AS86" s="1">
        <v>2007450</v>
      </c>
      <c r="AT86" s="1">
        <f t="shared" si="7"/>
        <v>84922331</v>
      </c>
    </row>
    <row r="87" spans="1:46" x14ac:dyDescent="0.2">
      <c r="A87" s="1" t="str">
        <f>"00106"</f>
        <v>00106</v>
      </c>
      <c r="B87" s="1" t="str">
        <f>"راحيل"</f>
        <v>راحيل</v>
      </c>
      <c r="C87" s="1" t="str">
        <f>"درويشي"</f>
        <v>درويشي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15404768</v>
      </c>
      <c r="G87" s="1">
        <v>0</v>
      </c>
      <c r="H87" s="1">
        <v>0</v>
      </c>
      <c r="I87" s="1">
        <v>13504330</v>
      </c>
      <c r="J87" s="1">
        <v>0</v>
      </c>
      <c r="K87" s="1">
        <v>3465000</v>
      </c>
      <c r="L87" s="1">
        <v>0</v>
      </c>
      <c r="M87" s="1">
        <v>1000000</v>
      </c>
      <c r="N87" s="1">
        <v>2869116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1387000</v>
      </c>
      <c r="U87" s="1">
        <v>0</v>
      </c>
      <c r="V87" s="1">
        <v>9382292</v>
      </c>
      <c r="W87" s="1">
        <v>1900000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2049369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6097063</v>
      </c>
      <c r="AM87" s="1">
        <v>0</v>
      </c>
      <c r="AN87" s="1">
        <v>0</v>
      </c>
      <c r="AO87" s="1">
        <v>57058938</v>
      </c>
      <c r="AP87" s="1">
        <v>24631425</v>
      </c>
      <c r="AQ87" s="1">
        <v>32427513</v>
      </c>
      <c r="AR87" s="1">
        <v>11411788</v>
      </c>
      <c r="AS87" s="1">
        <v>1711768</v>
      </c>
      <c r="AT87" s="1">
        <f t="shared" si="7"/>
        <v>70182494</v>
      </c>
    </row>
    <row r="88" spans="1:46" x14ac:dyDescent="0.2">
      <c r="A88" s="1" t="str">
        <f>"00107"</f>
        <v>00107</v>
      </c>
      <c r="B88" s="1" t="str">
        <f>"داود"</f>
        <v>داود</v>
      </c>
      <c r="C88" s="1" t="str">
        <f>"دشتي"</f>
        <v>دشتي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16296369</v>
      </c>
      <c r="G88" s="1">
        <v>1590670</v>
      </c>
      <c r="H88" s="1">
        <v>0</v>
      </c>
      <c r="I88" s="1">
        <v>16064164</v>
      </c>
      <c r="J88" s="1">
        <v>0</v>
      </c>
      <c r="K88" s="1">
        <v>4620000</v>
      </c>
      <c r="L88" s="1">
        <v>0</v>
      </c>
      <c r="M88" s="1">
        <v>1000000</v>
      </c>
      <c r="N88" s="1">
        <v>3181177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1387000</v>
      </c>
      <c r="U88" s="1">
        <v>0</v>
      </c>
      <c r="V88" s="1">
        <v>10723450</v>
      </c>
      <c r="W88" s="1">
        <v>1900000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2272269</v>
      </c>
      <c r="AF88" s="1">
        <v>1516881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7817723</v>
      </c>
      <c r="AM88" s="1">
        <v>0</v>
      </c>
      <c r="AN88" s="1">
        <v>0</v>
      </c>
      <c r="AO88" s="1">
        <v>68369703</v>
      </c>
      <c r="AP88" s="1">
        <v>18257327</v>
      </c>
      <c r="AQ88" s="1">
        <v>50112376</v>
      </c>
      <c r="AR88" s="1">
        <v>13370564</v>
      </c>
      <c r="AS88" s="1">
        <v>2005585</v>
      </c>
      <c r="AT88" s="1">
        <f t="shared" si="7"/>
        <v>83745852</v>
      </c>
    </row>
    <row r="89" spans="1:46" x14ac:dyDescent="0.2">
      <c r="A89" s="1" t="str">
        <f>"00108"</f>
        <v>00108</v>
      </c>
      <c r="B89" s="1" t="str">
        <f>"حسين"</f>
        <v>حسين</v>
      </c>
      <c r="C89" s="1" t="str">
        <f>"دهقان"</f>
        <v>دهقان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15216371</v>
      </c>
      <c r="G89" s="1">
        <v>5078169</v>
      </c>
      <c r="H89" s="1">
        <v>0</v>
      </c>
      <c r="I89" s="1">
        <v>13693469</v>
      </c>
      <c r="J89" s="1">
        <v>0</v>
      </c>
      <c r="K89" s="1">
        <v>4620000</v>
      </c>
      <c r="L89" s="1">
        <v>0</v>
      </c>
      <c r="M89" s="1">
        <v>1000000</v>
      </c>
      <c r="N89" s="1">
        <v>2803177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1387000</v>
      </c>
      <c r="U89" s="1">
        <v>0</v>
      </c>
      <c r="V89" s="1">
        <v>14351977</v>
      </c>
      <c r="W89" s="1">
        <v>1900000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2002269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7290363</v>
      </c>
      <c r="AM89" s="1">
        <v>0</v>
      </c>
      <c r="AN89" s="1">
        <v>0</v>
      </c>
      <c r="AO89" s="1">
        <v>69342795</v>
      </c>
      <c r="AP89" s="1">
        <v>10605823</v>
      </c>
      <c r="AQ89" s="1">
        <v>58736972</v>
      </c>
      <c r="AR89" s="1">
        <v>13868559</v>
      </c>
      <c r="AS89" s="1">
        <v>2080284</v>
      </c>
      <c r="AT89" s="1">
        <f t="shared" si="7"/>
        <v>85291638</v>
      </c>
    </row>
    <row r="90" spans="1:46" x14ac:dyDescent="0.2">
      <c r="A90" s="1" t="str">
        <f>"00109"</f>
        <v>00109</v>
      </c>
      <c r="B90" s="1" t="str">
        <f>"مهدي"</f>
        <v>مهدي</v>
      </c>
      <c r="C90" s="1" t="str">
        <f>"ذوالاتشي"</f>
        <v>ذوالاتشي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22916564</v>
      </c>
      <c r="G90" s="1">
        <v>8501538</v>
      </c>
      <c r="H90" s="1">
        <v>0</v>
      </c>
      <c r="I90" s="1">
        <v>21585475</v>
      </c>
      <c r="J90" s="1">
        <v>0</v>
      </c>
      <c r="K90" s="1">
        <v>5500000</v>
      </c>
      <c r="L90" s="1">
        <v>0</v>
      </c>
      <c r="M90" s="1">
        <v>1000000</v>
      </c>
      <c r="N90" s="1">
        <v>3349091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1606000</v>
      </c>
      <c r="U90" s="1">
        <v>0</v>
      </c>
      <c r="V90" s="1">
        <v>19314700</v>
      </c>
      <c r="W90" s="1">
        <v>1900000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2392208</v>
      </c>
      <c r="AF90" s="1">
        <v>1516881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5741299</v>
      </c>
      <c r="AM90" s="1">
        <v>0</v>
      </c>
      <c r="AN90" s="1">
        <v>0</v>
      </c>
      <c r="AO90" s="1">
        <v>95323756</v>
      </c>
      <c r="AP90" s="1">
        <v>12604172</v>
      </c>
      <c r="AQ90" s="1">
        <v>82719584</v>
      </c>
      <c r="AR90" s="1">
        <v>18761375</v>
      </c>
      <c r="AS90" s="1">
        <v>2814206</v>
      </c>
      <c r="AT90" s="1">
        <f t="shared" si="7"/>
        <v>116899337</v>
      </c>
    </row>
    <row r="91" spans="1:46" x14ac:dyDescent="0.2">
      <c r="A91" s="1" t="str">
        <f>"00110"</f>
        <v>00110</v>
      </c>
      <c r="B91" s="1" t="str">
        <f>"اسحق"</f>
        <v>اسحق</v>
      </c>
      <c r="C91" s="1" t="str">
        <f>"بشارتيان"</f>
        <v>بشارتيان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26154369</v>
      </c>
      <c r="G91" s="1">
        <v>8854822</v>
      </c>
      <c r="H91" s="1">
        <v>0</v>
      </c>
      <c r="I91" s="1">
        <v>32081764</v>
      </c>
      <c r="J91" s="1">
        <v>0</v>
      </c>
      <c r="K91" s="1">
        <v>5500000</v>
      </c>
      <c r="L91" s="1">
        <v>0</v>
      </c>
      <c r="M91" s="1">
        <v>1000000</v>
      </c>
      <c r="N91" s="1">
        <v>3777695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1606000</v>
      </c>
      <c r="U91" s="1">
        <v>0</v>
      </c>
      <c r="V91" s="1">
        <v>14087767</v>
      </c>
      <c r="W91" s="1">
        <v>1900000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2698354</v>
      </c>
      <c r="AF91" s="1">
        <v>1516881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4857037</v>
      </c>
      <c r="AM91" s="1">
        <v>0</v>
      </c>
      <c r="AN91" s="1">
        <v>0</v>
      </c>
      <c r="AO91" s="1">
        <v>104034689</v>
      </c>
      <c r="AP91" s="1">
        <v>40746503</v>
      </c>
      <c r="AQ91" s="1">
        <v>63288186</v>
      </c>
      <c r="AR91" s="1">
        <v>20503562</v>
      </c>
      <c r="AS91" s="1">
        <v>3075534</v>
      </c>
      <c r="AT91" s="1">
        <f t="shared" si="7"/>
        <v>127613785</v>
      </c>
    </row>
    <row r="92" spans="1:46" x14ac:dyDescent="0.2">
      <c r="A92" s="1" t="str">
        <f>"00111"</f>
        <v>00111</v>
      </c>
      <c r="B92" s="1" t="str">
        <f>"يونس"</f>
        <v>يونس</v>
      </c>
      <c r="C92" s="1" t="str">
        <f>"رادي"</f>
        <v>رادي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24660335</v>
      </c>
      <c r="G92" s="1">
        <v>4035159</v>
      </c>
      <c r="H92" s="1">
        <v>0</v>
      </c>
      <c r="I92" s="1">
        <v>22633561</v>
      </c>
      <c r="J92" s="1">
        <v>0</v>
      </c>
      <c r="K92" s="1">
        <v>5500000</v>
      </c>
      <c r="L92" s="1">
        <v>0</v>
      </c>
      <c r="M92" s="1">
        <v>1000000</v>
      </c>
      <c r="N92" s="1">
        <v>3959411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1606000</v>
      </c>
      <c r="U92" s="1">
        <v>0</v>
      </c>
      <c r="V92" s="1">
        <v>21953627</v>
      </c>
      <c r="W92" s="1">
        <v>1900000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2828151</v>
      </c>
      <c r="AF92" s="1">
        <v>1516881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5656301</v>
      </c>
      <c r="AM92" s="1">
        <v>0</v>
      </c>
      <c r="AN92" s="1">
        <v>0</v>
      </c>
      <c r="AO92" s="1">
        <v>97249426</v>
      </c>
      <c r="AP92" s="1">
        <v>31987608</v>
      </c>
      <c r="AQ92" s="1">
        <v>65261818</v>
      </c>
      <c r="AR92" s="1">
        <v>19146509</v>
      </c>
      <c r="AS92" s="1">
        <v>2871976</v>
      </c>
      <c r="AT92" s="1">
        <f t="shared" si="7"/>
        <v>119267911</v>
      </c>
    </row>
    <row r="93" spans="1:46" x14ac:dyDescent="0.2">
      <c r="A93" s="1" t="str">
        <f>"00112"</f>
        <v>00112</v>
      </c>
      <c r="B93" s="1" t="str">
        <f>"همدم"</f>
        <v>همدم</v>
      </c>
      <c r="C93" s="1" t="str">
        <f>"راه نورد"</f>
        <v>راه نورد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24623093</v>
      </c>
      <c r="G93" s="1">
        <v>22301774</v>
      </c>
      <c r="H93" s="1">
        <v>0</v>
      </c>
      <c r="I93" s="1">
        <v>23685020</v>
      </c>
      <c r="J93" s="1">
        <v>0</v>
      </c>
      <c r="K93" s="1">
        <v>4125000</v>
      </c>
      <c r="L93" s="1">
        <v>0</v>
      </c>
      <c r="M93" s="1">
        <v>1000000</v>
      </c>
      <c r="N93" s="1">
        <v>3946376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1387000</v>
      </c>
      <c r="U93" s="1">
        <v>0</v>
      </c>
      <c r="V93" s="1">
        <v>10813364</v>
      </c>
      <c r="W93" s="1">
        <v>1900000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3384580</v>
      </c>
      <c r="AD93" s="1">
        <v>0</v>
      </c>
      <c r="AE93" s="1">
        <v>2818840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4228261</v>
      </c>
      <c r="AM93" s="1">
        <v>0</v>
      </c>
      <c r="AN93" s="1">
        <v>0</v>
      </c>
      <c r="AO93" s="1">
        <v>104213308</v>
      </c>
      <c r="AP93" s="1">
        <v>28005419</v>
      </c>
      <c r="AQ93" s="1">
        <v>76207889</v>
      </c>
      <c r="AR93" s="1">
        <v>20842662</v>
      </c>
      <c r="AS93" s="1">
        <v>3126399</v>
      </c>
      <c r="AT93" s="1">
        <f t="shared" si="7"/>
        <v>128182369</v>
      </c>
    </row>
    <row r="94" spans="1:46" x14ac:dyDescent="0.2">
      <c r="A94" s="1" t="str">
        <f>"00113"</f>
        <v>00113</v>
      </c>
      <c r="B94" s="1" t="str">
        <f>"شهرام"</f>
        <v>شهرام</v>
      </c>
      <c r="C94" s="1" t="str">
        <f>"رضائي"</f>
        <v>رضائي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14692801</v>
      </c>
      <c r="G94" s="1">
        <v>9519692</v>
      </c>
      <c r="H94" s="1">
        <v>0</v>
      </c>
      <c r="I94" s="1">
        <v>12901127</v>
      </c>
      <c r="J94" s="1">
        <v>0</v>
      </c>
      <c r="K94" s="1">
        <v>4620000</v>
      </c>
      <c r="L94" s="1">
        <v>0</v>
      </c>
      <c r="M94" s="1">
        <v>1000000</v>
      </c>
      <c r="N94" s="1">
        <v>2619928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1387000</v>
      </c>
      <c r="U94" s="1">
        <v>0</v>
      </c>
      <c r="V94" s="1">
        <v>10268274</v>
      </c>
      <c r="W94" s="1">
        <v>1900000</v>
      </c>
      <c r="X94" s="1">
        <v>2132826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1871377</v>
      </c>
      <c r="AF94" s="1">
        <v>1516881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11609548</v>
      </c>
      <c r="AM94" s="1">
        <v>0</v>
      </c>
      <c r="AN94" s="1">
        <v>0</v>
      </c>
      <c r="AO94" s="1">
        <v>76039454</v>
      </c>
      <c r="AP94" s="1">
        <v>26980163</v>
      </c>
      <c r="AQ94" s="1">
        <v>49059291</v>
      </c>
      <c r="AR94" s="1">
        <v>14904515</v>
      </c>
      <c r="AS94" s="1">
        <v>2235677</v>
      </c>
      <c r="AT94" s="1">
        <f t="shared" si="7"/>
        <v>93179646</v>
      </c>
    </row>
    <row r="95" spans="1:46" x14ac:dyDescent="0.2">
      <c r="A95" s="1" t="str">
        <f>"00115"</f>
        <v>00115</v>
      </c>
      <c r="B95" s="1" t="str">
        <f>"حسين"</f>
        <v>حسين</v>
      </c>
      <c r="C95" s="1" t="str">
        <f>"زارعي"</f>
        <v>زارعي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15155032</v>
      </c>
      <c r="G95" s="1">
        <v>5578749</v>
      </c>
      <c r="H95" s="1">
        <v>0</v>
      </c>
      <c r="I95" s="1">
        <v>13803835</v>
      </c>
      <c r="J95" s="1">
        <v>0</v>
      </c>
      <c r="K95" s="1">
        <v>4620000</v>
      </c>
      <c r="L95" s="1">
        <v>0</v>
      </c>
      <c r="M95" s="1">
        <v>1000000</v>
      </c>
      <c r="N95" s="1">
        <v>2781709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1387000</v>
      </c>
      <c r="U95" s="1">
        <v>0</v>
      </c>
      <c r="V95" s="1">
        <v>12625367</v>
      </c>
      <c r="W95" s="1">
        <v>1900000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1986935</v>
      </c>
      <c r="AF95" s="1">
        <v>1516881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6353021</v>
      </c>
      <c r="AM95" s="1">
        <v>0</v>
      </c>
      <c r="AN95" s="1">
        <v>0</v>
      </c>
      <c r="AO95" s="1">
        <v>68708529</v>
      </c>
      <c r="AP95" s="1">
        <v>21783229</v>
      </c>
      <c r="AQ95" s="1">
        <v>46925300</v>
      </c>
      <c r="AR95" s="1">
        <v>13438330</v>
      </c>
      <c r="AS95" s="1">
        <v>2015749</v>
      </c>
      <c r="AT95" s="1">
        <f t="shared" si="7"/>
        <v>84162608</v>
      </c>
    </row>
    <row r="96" spans="1:46" x14ac:dyDescent="0.2">
      <c r="A96" s="1" t="str">
        <f>"00116"</f>
        <v>00116</v>
      </c>
      <c r="B96" s="1" t="str">
        <f>"محمدرضا"</f>
        <v>محمدرضا</v>
      </c>
      <c r="C96" s="1" t="str">
        <f>"زمان پور"</f>
        <v>زمان پور</v>
      </c>
      <c r="D96" s="1" t="str">
        <f>"قراردادي کارگري"</f>
        <v>قراردادي کارگري</v>
      </c>
      <c r="E96" s="1" t="str">
        <f>"پروژه تعميرات نيروگاه بوشهر"</f>
        <v>پروژه تعميرات نيروگاه بوشهر</v>
      </c>
      <c r="F96" s="1">
        <v>9219919</v>
      </c>
      <c r="G96" s="1">
        <v>3791086</v>
      </c>
      <c r="H96" s="1">
        <v>0</v>
      </c>
      <c r="I96" s="1">
        <v>6730540</v>
      </c>
      <c r="J96" s="1">
        <v>0</v>
      </c>
      <c r="K96" s="1">
        <v>0</v>
      </c>
      <c r="L96" s="1">
        <v>7628143</v>
      </c>
      <c r="M96" s="1">
        <v>1000000</v>
      </c>
      <c r="N96" s="1">
        <v>4852589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7385546</v>
      </c>
      <c r="W96" s="1">
        <v>1900000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4264679</v>
      </c>
      <c r="AE96" s="1">
        <v>0</v>
      </c>
      <c r="AF96" s="1">
        <v>1516881</v>
      </c>
      <c r="AG96" s="1">
        <v>0</v>
      </c>
      <c r="AH96" s="1">
        <v>0</v>
      </c>
      <c r="AI96" s="1">
        <v>0</v>
      </c>
      <c r="AJ96" s="1">
        <v>3235060</v>
      </c>
      <c r="AK96" s="1">
        <v>0</v>
      </c>
      <c r="AL96" s="1">
        <v>0</v>
      </c>
      <c r="AM96" s="1">
        <v>0</v>
      </c>
      <c r="AN96" s="1">
        <v>0</v>
      </c>
      <c r="AO96" s="1">
        <v>51524443</v>
      </c>
      <c r="AP96" s="1">
        <v>5118920</v>
      </c>
      <c r="AQ96" s="1">
        <v>46405523</v>
      </c>
      <c r="AR96" s="1">
        <v>10001512</v>
      </c>
      <c r="AS96" s="1">
        <v>1500227</v>
      </c>
      <c r="AT96" s="1">
        <f t="shared" si="7"/>
        <v>63026182</v>
      </c>
    </row>
    <row r="97" spans="1:46" x14ac:dyDescent="0.2">
      <c r="A97" s="1" t="str">
        <f>"00117"</f>
        <v>00117</v>
      </c>
      <c r="B97" s="1" t="str">
        <f>"محمد"</f>
        <v>محمد</v>
      </c>
      <c r="C97" s="1" t="str">
        <f>"زرين كلاه"</f>
        <v>زرين كلاه</v>
      </c>
      <c r="D97" s="1" t="str">
        <f>"قراردادي بهره بردار"</f>
        <v>قراردادي بهره بردار</v>
      </c>
      <c r="E97" s="1" t="str">
        <f>"پروژه بهره برداري نيروگاه بوشهر"</f>
        <v>پروژه بهره برداري نيروگاه بوشهر</v>
      </c>
      <c r="F97" s="1">
        <v>16136451</v>
      </c>
      <c r="G97" s="1">
        <v>4636329</v>
      </c>
      <c r="H97" s="1">
        <v>0</v>
      </c>
      <c r="I97" s="1">
        <v>15150333</v>
      </c>
      <c r="J97" s="1">
        <v>0</v>
      </c>
      <c r="K97" s="1">
        <v>4620000</v>
      </c>
      <c r="L97" s="1">
        <v>0</v>
      </c>
      <c r="M97" s="1">
        <v>1000000</v>
      </c>
      <c r="N97" s="1">
        <v>3125205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1387000</v>
      </c>
      <c r="U97" s="1">
        <v>0</v>
      </c>
      <c r="V97" s="1">
        <v>11469962</v>
      </c>
      <c r="W97" s="1">
        <v>1900000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2232289</v>
      </c>
      <c r="AF97" s="1">
        <v>1516881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6638596</v>
      </c>
      <c r="AM97" s="1">
        <v>0</v>
      </c>
      <c r="AN97" s="1">
        <v>0</v>
      </c>
      <c r="AO97" s="1">
        <v>69813046</v>
      </c>
      <c r="AP97" s="1">
        <v>18137417</v>
      </c>
      <c r="AQ97" s="1">
        <v>51675629</v>
      </c>
      <c r="AR97" s="1">
        <v>13659233</v>
      </c>
      <c r="AS97" s="1">
        <v>2048885</v>
      </c>
      <c r="AT97" s="1">
        <f t="shared" si="7"/>
        <v>85521164</v>
      </c>
    </row>
    <row r="98" spans="1:46" x14ac:dyDescent="0.2">
      <c r="A98" s="1" t="str">
        <f>"00119"</f>
        <v>00119</v>
      </c>
      <c r="B98" s="1" t="str">
        <f>"معصومه"</f>
        <v>معصومه</v>
      </c>
      <c r="C98" s="1" t="str">
        <f>"زماني"</f>
        <v>زماني</v>
      </c>
      <c r="D98" s="1" t="str">
        <f>"قراردادي بهره بردار"</f>
        <v>قراردادي بهره بردار</v>
      </c>
      <c r="E98" s="1" t="str">
        <f>"پروژه بهره برداري نيروگاه بوشهر"</f>
        <v>پروژه بهره برداري نيروگاه بوشهر</v>
      </c>
      <c r="F98" s="1">
        <v>15446391</v>
      </c>
      <c r="G98" s="1">
        <v>0</v>
      </c>
      <c r="H98" s="1">
        <v>0</v>
      </c>
      <c r="I98" s="1">
        <v>13046654</v>
      </c>
      <c r="J98" s="1">
        <v>1100000</v>
      </c>
      <c r="K98" s="1">
        <v>3465000</v>
      </c>
      <c r="L98" s="1">
        <v>0</v>
      </c>
      <c r="M98" s="1">
        <v>1000000</v>
      </c>
      <c r="N98" s="1">
        <v>2883684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1387000</v>
      </c>
      <c r="U98" s="1">
        <v>0</v>
      </c>
      <c r="V98" s="1">
        <v>9328689</v>
      </c>
      <c r="W98" s="1">
        <v>1900000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2059774</v>
      </c>
      <c r="AF98" s="1">
        <v>1516881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6260049</v>
      </c>
      <c r="AM98" s="1">
        <v>0</v>
      </c>
      <c r="AN98" s="1">
        <v>0</v>
      </c>
      <c r="AO98" s="1">
        <v>59394122</v>
      </c>
      <c r="AP98" s="1">
        <v>18266867</v>
      </c>
      <c r="AQ98" s="1">
        <v>41127255</v>
      </c>
      <c r="AR98" s="1">
        <v>11355448</v>
      </c>
      <c r="AS98" s="1">
        <v>1703317</v>
      </c>
      <c r="AT98" s="1">
        <f t="shared" si="7"/>
        <v>72452887</v>
      </c>
    </row>
    <row r="99" spans="1:46" x14ac:dyDescent="0.2">
      <c r="A99" s="1" t="str">
        <f>"00120"</f>
        <v>00120</v>
      </c>
      <c r="B99" s="1" t="str">
        <f>"عفيفه"</f>
        <v>عفيفه</v>
      </c>
      <c r="C99" s="1" t="str">
        <f>"زيارتي"</f>
        <v>زيارتي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18294257</v>
      </c>
      <c r="G99" s="1">
        <v>0</v>
      </c>
      <c r="H99" s="1">
        <v>0</v>
      </c>
      <c r="I99" s="1">
        <v>16094508</v>
      </c>
      <c r="J99" s="1">
        <v>1100000</v>
      </c>
      <c r="K99" s="1">
        <v>4125000</v>
      </c>
      <c r="L99" s="1">
        <v>0</v>
      </c>
      <c r="M99" s="1">
        <v>1000000</v>
      </c>
      <c r="N99" s="1">
        <v>2860682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1387000</v>
      </c>
      <c r="U99" s="1">
        <v>0</v>
      </c>
      <c r="V99" s="1">
        <v>4333802</v>
      </c>
      <c r="W99" s="1">
        <v>1900000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2043344</v>
      </c>
      <c r="AF99" s="1">
        <v>1516881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4045230</v>
      </c>
      <c r="AM99" s="1">
        <v>0</v>
      </c>
      <c r="AN99" s="1">
        <v>0</v>
      </c>
      <c r="AO99" s="1">
        <v>58700704</v>
      </c>
      <c r="AP99" s="1">
        <v>7065558</v>
      </c>
      <c r="AQ99" s="1">
        <v>51635146</v>
      </c>
      <c r="AR99" s="1">
        <v>11216765</v>
      </c>
      <c r="AS99" s="1">
        <v>1682515</v>
      </c>
      <c r="AT99" s="1">
        <f t="shared" si="7"/>
        <v>71599984</v>
      </c>
    </row>
    <row r="100" spans="1:46" x14ac:dyDescent="0.2">
      <c r="A100" s="1" t="str">
        <f>"00121"</f>
        <v>00121</v>
      </c>
      <c r="B100" s="1" t="str">
        <f>"مهدي"</f>
        <v>مهدي</v>
      </c>
      <c r="C100" s="1" t="str">
        <f>"سبحاني"</f>
        <v>سبحاني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15422293</v>
      </c>
      <c r="G100" s="1">
        <v>3165562</v>
      </c>
      <c r="H100" s="1">
        <v>0</v>
      </c>
      <c r="I100" s="1">
        <v>13789699</v>
      </c>
      <c r="J100" s="1">
        <v>0</v>
      </c>
      <c r="K100" s="1">
        <v>4620000</v>
      </c>
      <c r="L100" s="1">
        <v>0</v>
      </c>
      <c r="M100" s="1">
        <v>1000000</v>
      </c>
      <c r="N100" s="1">
        <v>2875250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1606000</v>
      </c>
      <c r="U100" s="1">
        <v>0</v>
      </c>
      <c r="V100" s="1">
        <v>10670269</v>
      </c>
      <c r="W100" s="1">
        <v>1900000</v>
      </c>
      <c r="X100" s="1">
        <v>2238720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2053750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11264408</v>
      </c>
      <c r="AM100" s="1">
        <v>0</v>
      </c>
      <c r="AN100" s="1">
        <v>0</v>
      </c>
      <c r="AO100" s="1">
        <v>70605951</v>
      </c>
      <c r="AP100" s="1">
        <v>9470713</v>
      </c>
      <c r="AQ100" s="1">
        <v>61135238</v>
      </c>
      <c r="AR100" s="1">
        <v>14121190</v>
      </c>
      <c r="AS100" s="1">
        <v>2118179</v>
      </c>
      <c r="AT100" s="1">
        <f t="shared" si="7"/>
        <v>86845320</v>
      </c>
    </row>
    <row r="101" spans="1:46" x14ac:dyDescent="0.2">
      <c r="A101" s="1" t="str">
        <f>"00122"</f>
        <v>00122</v>
      </c>
      <c r="B101" s="1" t="str">
        <f>"سيدعليرضا"</f>
        <v>سيدعليرضا</v>
      </c>
      <c r="C101" s="1" t="str">
        <f>"سراج فرد نژاد"</f>
        <v>سراج فرد نژاد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24406217</v>
      </c>
      <c r="G101" s="1">
        <v>8731742</v>
      </c>
      <c r="H101" s="1">
        <v>0</v>
      </c>
      <c r="I101" s="1">
        <v>22264822</v>
      </c>
      <c r="J101" s="1">
        <v>0</v>
      </c>
      <c r="K101" s="1">
        <v>5500000</v>
      </c>
      <c r="L101" s="1">
        <v>0</v>
      </c>
      <c r="M101" s="1">
        <v>1000000</v>
      </c>
      <c r="N101" s="1">
        <v>3870470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1387000</v>
      </c>
      <c r="U101" s="1">
        <v>0</v>
      </c>
      <c r="V101" s="1">
        <v>31755973</v>
      </c>
      <c r="W101" s="1">
        <v>1900000</v>
      </c>
      <c r="X101" s="1">
        <v>3542838</v>
      </c>
      <c r="Y101" s="1">
        <v>0</v>
      </c>
      <c r="Z101" s="1">
        <v>0</v>
      </c>
      <c r="AA101" s="1">
        <v>0</v>
      </c>
      <c r="AB101" s="1">
        <v>0</v>
      </c>
      <c r="AC101" s="1">
        <v>3877480</v>
      </c>
      <c r="AD101" s="1">
        <v>0</v>
      </c>
      <c r="AE101" s="1">
        <v>2764621</v>
      </c>
      <c r="AF101" s="1">
        <v>1516881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14178126</v>
      </c>
      <c r="AM101" s="1">
        <v>0</v>
      </c>
      <c r="AN101" s="1">
        <v>0</v>
      </c>
      <c r="AO101" s="1">
        <v>126696170</v>
      </c>
      <c r="AP101" s="1">
        <v>39177882</v>
      </c>
      <c r="AQ101" s="1">
        <v>87518288</v>
      </c>
      <c r="AR101" s="1">
        <v>25035858</v>
      </c>
      <c r="AS101" s="1">
        <v>3755379</v>
      </c>
      <c r="AT101" s="1">
        <f t="shared" si="7"/>
        <v>155487407</v>
      </c>
    </row>
    <row r="102" spans="1:46" x14ac:dyDescent="0.2">
      <c r="A102" s="1" t="str">
        <f>"00123"</f>
        <v>00123</v>
      </c>
      <c r="B102" s="1" t="str">
        <f>"رضا"</f>
        <v>رضا</v>
      </c>
      <c r="C102" s="1" t="str">
        <f>"ثابت"</f>
        <v>ثابت</v>
      </c>
      <c r="D102" s="1" t="str">
        <f>"قراردادي کارگري"</f>
        <v>قراردادي کارگري</v>
      </c>
      <c r="E102" s="1" t="str">
        <f>"پروژه تعميرات نيروگاه بوشهر"</f>
        <v>پروژه تعميرات نيروگاه بوشهر</v>
      </c>
      <c r="F102" s="1">
        <v>8465506</v>
      </c>
      <c r="G102" s="1">
        <v>1680827</v>
      </c>
      <c r="H102" s="1">
        <v>0</v>
      </c>
      <c r="I102" s="1">
        <v>6433784</v>
      </c>
      <c r="J102" s="1">
        <v>0</v>
      </c>
      <c r="K102" s="1">
        <v>0</v>
      </c>
      <c r="L102" s="1">
        <v>7628143</v>
      </c>
      <c r="M102" s="1">
        <v>1000000</v>
      </c>
      <c r="N102" s="1">
        <v>4455529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7045213</v>
      </c>
      <c r="W102" s="1">
        <v>1900000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4047444</v>
      </c>
      <c r="AE102" s="1">
        <v>0</v>
      </c>
      <c r="AF102" s="1">
        <v>3033762</v>
      </c>
      <c r="AG102" s="1">
        <v>0</v>
      </c>
      <c r="AH102" s="1">
        <v>0</v>
      </c>
      <c r="AI102" s="1">
        <v>0</v>
      </c>
      <c r="AJ102" s="1">
        <v>3073513</v>
      </c>
      <c r="AK102" s="1">
        <v>0</v>
      </c>
      <c r="AL102" s="1">
        <v>0</v>
      </c>
      <c r="AM102" s="1">
        <v>0</v>
      </c>
      <c r="AN102" s="1">
        <v>0</v>
      </c>
      <c r="AO102" s="1">
        <v>48763721</v>
      </c>
      <c r="AP102" s="1">
        <v>4573359</v>
      </c>
      <c r="AQ102" s="1">
        <v>44190362</v>
      </c>
      <c r="AR102" s="1">
        <v>9145992</v>
      </c>
      <c r="AS102" s="1">
        <v>1371899</v>
      </c>
      <c r="AT102" s="1">
        <f t="shared" si="7"/>
        <v>59281612</v>
      </c>
    </row>
    <row r="103" spans="1:46" x14ac:dyDescent="0.2">
      <c r="A103" s="1" t="str">
        <f>"00124"</f>
        <v>00124</v>
      </c>
      <c r="B103" s="1" t="str">
        <f>"ساره"</f>
        <v>ساره</v>
      </c>
      <c r="C103" s="1" t="str">
        <f>"سرمدي"</f>
        <v>سرمدي</v>
      </c>
      <c r="D103" s="1" t="str">
        <f>"قراردادي بهره بردار"</f>
        <v>قراردادي بهره بردار</v>
      </c>
      <c r="E103" s="1" t="str">
        <f>"پروژه بهره برداري نيروگاه بوشهر"</f>
        <v>پروژه بهره برداري نيروگاه بوشهر</v>
      </c>
      <c r="F103" s="1">
        <v>21610927</v>
      </c>
      <c r="G103" s="1">
        <v>873537</v>
      </c>
      <c r="H103" s="1">
        <v>0</v>
      </c>
      <c r="I103" s="1">
        <v>17362643</v>
      </c>
      <c r="J103" s="1">
        <v>1100000</v>
      </c>
      <c r="K103" s="1">
        <v>4125000</v>
      </c>
      <c r="L103" s="1">
        <v>0</v>
      </c>
      <c r="M103" s="1">
        <v>1000000</v>
      </c>
      <c r="N103" s="1">
        <v>3825999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1606000</v>
      </c>
      <c r="U103" s="1">
        <v>0</v>
      </c>
      <c r="V103" s="1">
        <v>10847811</v>
      </c>
      <c r="W103" s="1">
        <v>1900000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2732857</v>
      </c>
      <c r="AF103" s="1">
        <v>3033762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5516099</v>
      </c>
      <c r="AM103" s="1">
        <v>0</v>
      </c>
      <c r="AN103" s="1">
        <v>0</v>
      </c>
      <c r="AO103" s="1">
        <v>75534635</v>
      </c>
      <c r="AP103" s="1">
        <v>27571126</v>
      </c>
      <c r="AQ103" s="1">
        <v>47963509</v>
      </c>
      <c r="AR103" s="1">
        <v>14280175</v>
      </c>
      <c r="AS103" s="1">
        <v>2142026</v>
      </c>
      <c r="AT103" s="1">
        <f t="shared" si="7"/>
        <v>91956836</v>
      </c>
    </row>
    <row r="104" spans="1:46" x14ac:dyDescent="0.2">
      <c r="A104" s="1" t="str">
        <f>"00125"</f>
        <v>00125</v>
      </c>
      <c r="B104" s="1" t="str">
        <f>"حسن"</f>
        <v>حسن</v>
      </c>
      <c r="C104" s="1" t="str">
        <f>"سلحشوري"</f>
        <v>سلحشوري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16232840</v>
      </c>
      <c r="G104" s="1">
        <v>7317653</v>
      </c>
      <c r="H104" s="1">
        <v>0</v>
      </c>
      <c r="I104" s="1">
        <v>16169004</v>
      </c>
      <c r="J104" s="1">
        <v>0</v>
      </c>
      <c r="K104" s="1">
        <v>4620000</v>
      </c>
      <c r="L104" s="1">
        <v>0</v>
      </c>
      <c r="M104" s="1">
        <v>1000000</v>
      </c>
      <c r="N104" s="1">
        <v>3158941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1606000</v>
      </c>
      <c r="U104" s="1">
        <v>0</v>
      </c>
      <c r="V104" s="1">
        <v>22811276</v>
      </c>
      <c r="W104" s="1">
        <v>1900000</v>
      </c>
      <c r="X104" s="1">
        <v>2356380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2256387</v>
      </c>
      <c r="AF104" s="1">
        <v>3033762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13444121</v>
      </c>
      <c r="AM104" s="1">
        <v>0</v>
      </c>
      <c r="AN104" s="1">
        <v>0</v>
      </c>
      <c r="AO104" s="1">
        <v>95906364</v>
      </c>
      <c r="AP104" s="1">
        <v>37895490</v>
      </c>
      <c r="AQ104" s="1">
        <v>58010874</v>
      </c>
      <c r="AR104" s="1">
        <v>18574520</v>
      </c>
      <c r="AS104" s="1">
        <v>2786178</v>
      </c>
      <c r="AT104" s="1">
        <f t="shared" si="7"/>
        <v>117267062</v>
      </c>
    </row>
    <row r="105" spans="1:46" x14ac:dyDescent="0.2">
      <c r="A105" s="1" t="str">
        <f>"00126"</f>
        <v>00126</v>
      </c>
      <c r="B105" s="1" t="str">
        <f>"راضيه"</f>
        <v>راضيه</v>
      </c>
      <c r="C105" s="1" t="str">
        <f>"سلماني پور"</f>
        <v>سلماني پور</v>
      </c>
      <c r="D105" s="1" t="str">
        <f>"قراردادي بهره بردار"</f>
        <v>قراردادي بهره بردار</v>
      </c>
      <c r="E105" s="1" t="str">
        <f>"پروژه تعميرات نيروگاه بوشهر"</f>
        <v>پروژه تعميرات نيروگاه بوشهر</v>
      </c>
      <c r="F105" s="1">
        <v>23906745</v>
      </c>
      <c r="G105" s="1">
        <v>0</v>
      </c>
      <c r="H105" s="1">
        <v>0</v>
      </c>
      <c r="I105" s="1">
        <v>21871068</v>
      </c>
      <c r="J105" s="1">
        <v>0</v>
      </c>
      <c r="K105" s="1">
        <v>4125000</v>
      </c>
      <c r="L105" s="1">
        <v>0</v>
      </c>
      <c r="M105" s="1">
        <v>1000000</v>
      </c>
      <c r="N105" s="1">
        <v>3695655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1606000</v>
      </c>
      <c r="U105" s="1">
        <v>0</v>
      </c>
      <c r="V105" s="1">
        <v>12712212</v>
      </c>
      <c r="W105" s="1">
        <v>1900000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2957400</v>
      </c>
      <c r="AD105" s="1">
        <v>0</v>
      </c>
      <c r="AE105" s="1">
        <v>2639753</v>
      </c>
      <c r="AF105" s="1">
        <v>1516881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4751556</v>
      </c>
      <c r="AM105" s="1">
        <v>0</v>
      </c>
      <c r="AN105" s="1">
        <v>0</v>
      </c>
      <c r="AO105" s="1">
        <v>82682270</v>
      </c>
      <c r="AP105" s="1">
        <v>29011054</v>
      </c>
      <c r="AQ105" s="1">
        <v>53671216</v>
      </c>
      <c r="AR105" s="1">
        <v>16233078</v>
      </c>
      <c r="AS105" s="1">
        <v>2434962</v>
      </c>
      <c r="AT105" s="1">
        <f t="shared" si="7"/>
        <v>101350310</v>
      </c>
    </row>
    <row r="106" spans="1:46" x14ac:dyDescent="0.2">
      <c r="A106" s="1" t="str">
        <f>"00127"</f>
        <v>00127</v>
      </c>
      <c r="B106" s="1" t="str">
        <f>"عبداله"</f>
        <v>عبداله</v>
      </c>
      <c r="C106" s="1" t="str">
        <f>"سلماني زيارتي"</f>
        <v>سلماني زيارتي</v>
      </c>
      <c r="D106" s="1" t="str">
        <f>"قراردادي بهره بردار"</f>
        <v>قراردادي بهره بردار</v>
      </c>
      <c r="E106" s="1" t="str">
        <f>"پروژه بهره برداري نيروگاه بوشهر"</f>
        <v>پروژه بهره برداري نيروگاه بوشهر</v>
      </c>
      <c r="F106" s="1">
        <v>15805660</v>
      </c>
      <c r="G106" s="1">
        <v>7315852</v>
      </c>
      <c r="H106" s="1">
        <v>0</v>
      </c>
      <c r="I106" s="1">
        <v>13805226</v>
      </c>
      <c r="J106" s="1">
        <v>0</v>
      </c>
      <c r="K106" s="1">
        <v>4620000</v>
      </c>
      <c r="L106" s="1">
        <v>0</v>
      </c>
      <c r="M106" s="1">
        <v>1000000</v>
      </c>
      <c r="N106" s="1">
        <v>3009428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1387000</v>
      </c>
      <c r="U106" s="1">
        <v>0</v>
      </c>
      <c r="V106" s="1">
        <v>19954953</v>
      </c>
      <c r="W106" s="1">
        <v>1900000</v>
      </c>
      <c r="X106" s="1">
        <v>2294370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2149592</v>
      </c>
      <c r="AF106" s="1">
        <v>3033762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10072685</v>
      </c>
      <c r="AM106" s="1">
        <v>0</v>
      </c>
      <c r="AN106" s="1">
        <v>0</v>
      </c>
      <c r="AO106" s="1">
        <v>86348528</v>
      </c>
      <c r="AP106" s="1">
        <v>39975083</v>
      </c>
      <c r="AQ106" s="1">
        <v>46373445</v>
      </c>
      <c r="AR106" s="1">
        <v>16662953</v>
      </c>
      <c r="AS106" s="1">
        <v>2499443</v>
      </c>
      <c r="AT106" s="1">
        <f t="shared" si="7"/>
        <v>105510924</v>
      </c>
    </row>
    <row r="107" spans="1:46" x14ac:dyDescent="0.2">
      <c r="A107" s="1" t="str">
        <f>"00128"</f>
        <v>00128</v>
      </c>
      <c r="B107" s="1" t="str">
        <f>"مهدي"</f>
        <v>مهدي</v>
      </c>
      <c r="C107" s="1" t="str">
        <f>"عباس زاده ريشهري"</f>
        <v>عباس زاده ريشهري</v>
      </c>
      <c r="D107" s="1" t="str">
        <f>"قراردادي کارگري"</f>
        <v>قراردادي کارگري</v>
      </c>
      <c r="E107" s="1" t="str">
        <f>"پروژه تعميرات نيروگاه بوشهر"</f>
        <v>پروژه تعميرات نيروگاه بوشهر</v>
      </c>
      <c r="F107" s="1">
        <v>8686248</v>
      </c>
      <c r="G107" s="1">
        <v>4135526</v>
      </c>
      <c r="H107" s="1">
        <v>0</v>
      </c>
      <c r="I107" s="1">
        <v>6427823</v>
      </c>
      <c r="J107" s="1">
        <v>0</v>
      </c>
      <c r="K107" s="1">
        <v>0</v>
      </c>
      <c r="L107" s="1">
        <v>7628143</v>
      </c>
      <c r="M107" s="1">
        <v>1000000</v>
      </c>
      <c r="N107" s="1">
        <v>4601987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7130103</v>
      </c>
      <c r="W107" s="1">
        <v>1900000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4101630</v>
      </c>
      <c r="AE107" s="1">
        <v>0</v>
      </c>
      <c r="AF107" s="1">
        <v>4550643</v>
      </c>
      <c r="AG107" s="1">
        <v>0</v>
      </c>
      <c r="AH107" s="1">
        <v>0</v>
      </c>
      <c r="AI107" s="1">
        <v>0</v>
      </c>
      <c r="AJ107" s="1">
        <v>3113808</v>
      </c>
      <c r="AK107" s="1">
        <v>0</v>
      </c>
      <c r="AL107" s="1">
        <v>0</v>
      </c>
      <c r="AM107" s="1">
        <v>0</v>
      </c>
      <c r="AN107" s="1">
        <v>0</v>
      </c>
      <c r="AO107" s="1">
        <v>53275911</v>
      </c>
      <c r="AP107" s="1">
        <v>5213283</v>
      </c>
      <c r="AQ107" s="1">
        <v>48062628</v>
      </c>
      <c r="AR107" s="1">
        <v>9745054</v>
      </c>
      <c r="AS107" s="1">
        <v>1461758</v>
      </c>
      <c r="AT107" s="1">
        <f t="shared" si="7"/>
        <v>64482723</v>
      </c>
    </row>
    <row r="108" spans="1:46" x14ac:dyDescent="0.2">
      <c r="A108" s="1" t="str">
        <f>"00129"</f>
        <v>00129</v>
      </c>
      <c r="B108" s="1" t="str">
        <f>"هادي"</f>
        <v>هادي</v>
      </c>
      <c r="C108" s="1" t="str">
        <f>"دهقاني"</f>
        <v>دهقاني</v>
      </c>
      <c r="D108" s="1" t="str">
        <f t="shared" ref="D108:D115" si="8">"قراردادي بهره بردار"</f>
        <v>قراردادي بهره بردار</v>
      </c>
      <c r="E108" s="1" t="str">
        <f t="shared" ref="E108:E115" si="9">"پروژه بهره برداري نيروگاه بوشهر"</f>
        <v>پروژه بهره برداري نيروگاه بوشهر</v>
      </c>
      <c r="F108" s="1">
        <v>14815479</v>
      </c>
      <c r="G108" s="1">
        <v>3110218</v>
      </c>
      <c r="H108" s="1">
        <v>0</v>
      </c>
      <c r="I108" s="1">
        <v>13450028</v>
      </c>
      <c r="J108" s="1">
        <v>0</v>
      </c>
      <c r="K108" s="1">
        <v>0</v>
      </c>
      <c r="L108" s="1">
        <v>0</v>
      </c>
      <c r="M108" s="1">
        <v>1000000</v>
      </c>
      <c r="N108" s="1">
        <v>2662865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1606000</v>
      </c>
      <c r="U108" s="1">
        <v>0</v>
      </c>
      <c r="V108" s="1">
        <v>19390925</v>
      </c>
      <c r="W108" s="1">
        <v>1900000</v>
      </c>
      <c r="X108" s="1">
        <v>2150634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1902046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10744694</v>
      </c>
      <c r="AM108" s="1">
        <v>0</v>
      </c>
      <c r="AN108" s="1">
        <v>0</v>
      </c>
      <c r="AO108" s="1">
        <v>72732889</v>
      </c>
      <c r="AP108" s="1">
        <v>34790294</v>
      </c>
      <c r="AQ108" s="1">
        <v>37942595</v>
      </c>
      <c r="AR108" s="1">
        <v>14546578</v>
      </c>
      <c r="AS108" s="1">
        <v>2181987</v>
      </c>
      <c r="AT108" s="1">
        <f t="shared" si="7"/>
        <v>89461454</v>
      </c>
    </row>
    <row r="109" spans="1:46" x14ac:dyDescent="0.2">
      <c r="A109" s="1" t="str">
        <f>"00130"</f>
        <v>00130</v>
      </c>
      <c r="B109" s="1" t="str">
        <f>"سيروس"</f>
        <v>سيروس</v>
      </c>
      <c r="C109" s="1" t="str">
        <f>"سينائي"</f>
        <v>سينائي</v>
      </c>
      <c r="D109" s="1" t="str">
        <f t="shared" si="8"/>
        <v>قراردادي بهره بردار</v>
      </c>
      <c r="E109" s="1" t="str">
        <f t="shared" si="9"/>
        <v>پروژه بهره برداري نيروگاه بوشهر</v>
      </c>
      <c r="F109" s="1">
        <v>23365651</v>
      </c>
      <c r="G109" s="1">
        <v>4804865</v>
      </c>
      <c r="H109" s="1">
        <v>0</v>
      </c>
      <c r="I109" s="1">
        <v>20655481</v>
      </c>
      <c r="J109" s="1">
        <v>0</v>
      </c>
      <c r="K109" s="1">
        <v>5500000</v>
      </c>
      <c r="L109" s="1">
        <v>0</v>
      </c>
      <c r="M109" s="1">
        <v>1000000</v>
      </c>
      <c r="N109" s="1">
        <v>3506272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1387000</v>
      </c>
      <c r="U109" s="1">
        <v>0</v>
      </c>
      <c r="V109" s="1">
        <v>19614921</v>
      </c>
      <c r="W109" s="1">
        <v>1900000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2504480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6010751</v>
      </c>
      <c r="AM109" s="1">
        <v>0</v>
      </c>
      <c r="AN109" s="1">
        <v>0</v>
      </c>
      <c r="AO109" s="1">
        <v>90249421</v>
      </c>
      <c r="AP109" s="1">
        <v>30650211</v>
      </c>
      <c r="AQ109" s="1">
        <v>59599210</v>
      </c>
      <c r="AR109" s="1">
        <v>18049884</v>
      </c>
      <c r="AS109" s="1">
        <v>2707483</v>
      </c>
      <c r="AT109" s="1">
        <f t="shared" si="7"/>
        <v>111006788</v>
      </c>
    </row>
    <row r="110" spans="1:46" x14ac:dyDescent="0.2">
      <c r="A110" s="1" t="str">
        <f>"00131"</f>
        <v>00131</v>
      </c>
      <c r="B110" s="1" t="str">
        <f>"علي"</f>
        <v>علي</v>
      </c>
      <c r="C110" s="1" t="str">
        <f>"شعبانيان"</f>
        <v>شعبانيان</v>
      </c>
      <c r="D110" s="1" t="str">
        <f t="shared" si="8"/>
        <v>قراردادي بهره بردار</v>
      </c>
      <c r="E110" s="1" t="str">
        <f t="shared" si="9"/>
        <v>پروژه بهره برداري نيروگاه بوشهر</v>
      </c>
      <c r="F110" s="1">
        <v>15450772</v>
      </c>
      <c r="G110" s="1">
        <v>4016472</v>
      </c>
      <c r="H110" s="1">
        <v>0</v>
      </c>
      <c r="I110" s="1">
        <v>13900696</v>
      </c>
      <c r="J110" s="1">
        <v>0</v>
      </c>
      <c r="K110" s="1">
        <v>3465000</v>
      </c>
      <c r="L110" s="1">
        <v>0</v>
      </c>
      <c r="M110" s="1">
        <v>1000000</v>
      </c>
      <c r="N110" s="1">
        <v>2885218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1606000</v>
      </c>
      <c r="U110" s="1">
        <v>0</v>
      </c>
      <c r="V110" s="1">
        <v>10830770</v>
      </c>
      <c r="W110" s="1">
        <v>1900000</v>
      </c>
      <c r="X110" s="1">
        <v>2242854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2060870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11790825</v>
      </c>
      <c r="AM110" s="1">
        <v>0</v>
      </c>
      <c r="AN110" s="1">
        <v>0</v>
      </c>
      <c r="AO110" s="1">
        <v>71149477</v>
      </c>
      <c r="AP110" s="1">
        <v>18636675</v>
      </c>
      <c r="AQ110" s="1">
        <v>52512802</v>
      </c>
      <c r="AR110" s="1">
        <v>14229895</v>
      </c>
      <c r="AS110" s="1">
        <v>2134484</v>
      </c>
      <c r="AT110" s="1">
        <f t="shared" si="7"/>
        <v>87513856</v>
      </c>
    </row>
    <row r="111" spans="1:46" x14ac:dyDescent="0.2">
      <c r="A111" s="1" t="str">
        <f>"00132"</f>
        <v>00132</v>
      </c>
      <c r="B111" s="1" t="str">
        <f>"علي"</f>
        <v>علي</v>
      </c>
      <c r="C111" s="1" t="str">
        <f>"شقايق مند"</f>
        <v>شقايق مند</v>
      </c>
      <c r="D111" s="1" t="str">
        <f t="shared" si="8"/>
        <v>قراردادي بهره بردار</v>
      </c>
      <c r="E111" s="1" t="str">
        <f t="shared" si="9"/>
        <v>پروژه بهره برداري نيروگاه بوشهر</v>
      </c>
      <c r="F111" s="1">
        <v>24224392</v>
      </c>
      <c r="G111" s="1">
        <v>2812328</v>
      </c>
      <c r="H111" s="1">
        <v>0</v>
      </c>
      <c r="I111" s="1">
        <v>20660547</v>
      </c>
      <c r="J111" s="1">
        <v>0</v>
      </c>
      <c r="K111" s="1">
        <v>5500000</v>
      </c>
      <c r="L111" s="1">
        <v>0</v>
      </c>
      <c r="M111" s="1">
        <v>1000000</v>
      </c>
      <c r="N111" s="1">
        <v>3806831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1387000</v>
      </c>
      <c r="U111" s="1">
        <v>0</v>
      </c>
      <c r="V111" s="1">
        <v>23867360</v>
      </c>
      <c r="W111" s="1">
        <v>1900000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3877480</v>
      </c>
      <c r="AD111" s="1">
        <v>0</v>
      </c>
      <c r="AE111" s="1">
        <v>2719165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20480981</v>
      </c>
      <c r="AM111" s="1">
        <v>0</v>
      </c>
      <c r="AN111" s="1">
        <v>0</v>
      </c>
      <c r="AO111" s="1">
        <v>112236084</v>
      </c>
      <c r="AP111" s="1">
        <v>35256418</v>
      </c>
      <c r="AQ111" s="1">
        <v>76979666</v>
      </c>
      <c r="AR111" s="1">
        <v>22447217</v>
      </c>
      <c r="AS111" s="1">
        <v>3367083</v>
      </c>
      <c r="AT111" s="1">
        <f t="shared" si="7"/>
        <v>138050384</v>
      </c>
    </row>
    <row r="112" spans="1:46" x14ac:dyDescent="0.2">
      <c r="A112" s="1" t="str">
        <f>"00133"</f>
        <v>00133</v>
      </c>
      <c r="B112" s="1" t="str">
        <f>"مهدي"</f>
        <v>مهدي</v>
      </c>
      <c r="C112" s="1" t="str">
        <f>"شمسي پور"</f>
        <v>شمسي پور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23994372</v>
      </c>
      <c r="G112" s="1">
        <v>6043259</v>
      </c>
      <c r="H112" s="1">
        <v>0</v>
      </c>
      <c r="I112" s="1">
        <v>22840643</v>
      </c>
      <c r="J112" s="1">
        <v>0</v>
      </c>
      <c r="K112" s="1">
        <v>5500000</v>
      </c>
      <c r="L112" s="1">
        <v>0</v>
      </c>
      <c r="M112" s="1">
        <v>1000000</v>
      </c>
      <c r="N112" s="1">
        <v>3726324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1387000</v>
      </c>
      <c r="U112" s="1">
        <v>0</v>
      </c>
      <c r="V112" s="1">
        <v>19096756</v>
      </c>
      <c r="W112" s="1">
        <v>1900000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2661660</v>
      </c>
      <c r="AF112" s="1">
        <v>3033762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5536253</v>
      </c>
      <c r="AM112" s="1">
        <v>0</v>
      </c>
      <c r="AN112" s="1">
        <v>0</v>
      </c>
      <c r="AO112" s="1">
        <v>96720029</v>
      </c>
      <c r="AP112" s="1">
        <v>31821500</v>
      </c>
      <c r="AQ112" s="1">
        <v>64898529</v>
      </c>
      <c r="AR112" s="1">
        <v>18737253</v>
      </c>
      <c r="AS112" s="1">
        <v>2810588</v>
      </c>
      <c r="AT112" s="1">
        <f t="shared" si="7"/>
        <v>118267870</v>
      </c>
    </row>
    <row r="113" spans="1:46" x14ac:dyDescent="0.2">
      <c r="A113" s="1" t="str">
        <f>"00134"</f>
        <v>00134</v>
      </c>
      <c r="B113" s="1" t="str">
        <f>"نوشين"</f>
        <v>نوشين</v>
      </c>
      <c r="C113" s="1" t="str">
        <f>"شهاب فر"</f>
        <v>شهاب فر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24436887</v>
      </c>
      <c r="G113" s="1">
        <v>6008775</v>
      </c>
      <c r="H113" s="1">
        <v>0</v>
      </c>
      <c r="I113" s="1">
        <v>21889386</v>
      </c>
      <c r="J113" s="1">
        <v>0</v>
      </c>
      <c r="K113" s="1">
        <v>4125000</v>
      </c>
      <c r="L113" s="1">
        <v>0</v>
      </c>
      <c r="M113" s="1">
        <v>1000000</v>
      </c>
      <c r="N113" s="1">
        <v>3881204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1606000</v>
      </c>
      <c r="U113" s="1">
        <v>0</v>
      </c>
      <c r="V113" s="1">
        <v>12436423</v>
      </c>
      <c r="W113" s="1">
        <v>1900000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2772289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5544577</v>
      </c>
      <c r="AM113" s="1">
        <v>0</v>
      </c>
      <c r="AN113" s="1">
        <v>0</v>
      </c>
      <c r="AO113" s="1">
        <v>85600541</v>
      </c>
      <c r="AP113" s="1">
        <v>14453415</v>
      </c>
      <c r="AQ113" s="1">
        <v>71147126</v>
      </c>
      <c r="AR113" s="1">
        <v>17120108</v>
      </c>
      <c r="AS113" s="1">
        <v>2568016</v>
      </c>
      <c r="AT113" s="1">
        <f t="shared" si="7"/>
        <v>105288665</v>
      </c>
    </row>
    <row r="114" spans="1:46" x14ac:dyDescent="0.2">
      <c r="A114" s="1" t="str">
        <f>"00135"</f>
        <v>00135</v>
      </c>
      <c r="B114" s="1" t="str">
        <f>"زهرا"</f>
        <v>زهرا</v>
      </c>
      <c r="C114" s="1" t="str">
        <f>"شهنيائي"</f>
        <v>شهنيائي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19291011</v>
      </c>
      <c r="G114" s="1">
        <v>836334</v>
      </c>
      <c r="H114" s="1">
        <v>0</v>
      </c>
      <c r="I114" s="1">
        <v>17885670</v>
      </c>
      <c r="J114" s="1">
        <v>1100000</v>
      </c>
      <c r="K114" s="1">
        <v>4125000</v>
      </c>
      <c r="L114" s="1">
        <v>0</v>
      </c>
      <c r="M114" s="1">
        <v>1000000</v>
      </c>
      <c r="N114" s="1">
        <v>3209546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1606000</v>
      </c>
      <c r="U114" s="1">
        <v>0</v>
      </c>
      <c r="V114" s="1">
        <v>9039694</v>
      </c>
      <c r="W114" s="1">
        <v>1900000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3384580</v>
      </c>
      <c r="AD114" s="1">
        <v>0</v>
      </c>
      <c r="AE114" s="1">
        <v>2292533</v>
      </c>
      <c r="AF114" s="1">
        <v>1516881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4157185</v>
      </c>
      <c r="AM114" s="1">
        <v>0</v>
      </c>
      <c r="AN114" s="1">
        <v>0</v>
      </c>
      <c r="AO114" s="1">
        <v>71344434</v>
      </c>
      <c r="AP114" s="1">
        <v>32424549</v>
      </c>
      <c r="AQ114" s="1">
        <v>38919885</v>
      </c>
      <c r="AR114" s="1">
        <v>13745511</v>
      </c>
      <c r="AS114" s="1">
        <v>2061827</v>
      </c>
      <c r="AT114" s="1">
        <f t="shared" si="7"/>
        <v>87151772</v>
      </c>
    </row>
    <row r="115" spans="1:46" x14ac:dyDescent="0.2">
      <c r="A115" s="1" t="str">
        <f>"00136"</f>
        <v>00136</v>
      </c>
      <c r="B115" s="1" t="str">
        <f>"محمد"</f>
        <v>محمد</v>
      </c>
      <c r="C115" s="1" t="str">
        <f>"صادقي نيا"</f>
        <v>صادقي نيا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15238277</v>
      </c>
      <c r="G115" s="1">
        <v>2127214</v>
      </c>
      <c r="H115" s="1">
        <v>0</v>
      </c>
      <c r="I115" s="1">
        <v>12218825</v>
      </c>
      <c r="J115" s="1">
        <v>0</v>
      </c>
      <c r="K115" s="1">
        <v>4620000</v>
      </c>
      <c r="L115" s="1">
        <v>0</v>
      </c>
      <c r="M115" s="1">
        <v>1000000</v>
      </c>
      <c r="N115" s="1">
        <v>2810844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1387000</v>
      </c>
      <c r="U115" s="1">
        <v>0</v>
      </c>
      <c r="V115" s="1">
        <v>18349533</v>
      </c>
      <c r="W115" s="1">
        <v>1900000</v>
      </c>
      <c r="X115" s="1">
        <v>1276328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2007746</v>
      </c>
      <c r="AF115" s="1">
        <v>1516881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9666098</v>
      </c>
      <c r="AM115" s="1">
        <v>0</v>
      </c>
      <c r="AN115" s="1">
        <v>0</v>
      </c>
      <c r="AO115" s="1">
        <v>74118746</v>
      </c>
      <c r="AP115" s="1">
        <v>33332511</v>
      </c>
      <c r="AQ115" s="1">
        <v>40786235</v>
      </c>
      <c r="AR115" s="1">
        <v>14520373</v>
      </c>
      <c r="AS115" s="1">
        <v>2178056</v>
      </c>
      <c r="AT115" s="1">
        <f t="shared" si="7"/>
        <v>90817175</v>
      </c>
    </row>
    <row r="116" spans="1:46" x14ac:dyDescent="0.2">
      <c r="A116" s="1" t="str">
        <f>"00137"</f>
        <v>00137</v>
      </c>
      <c r="B116" s="1" t="str">
        <f>"عليمراد"</f>
        <v>عليمراد</v>
      </c>
      <c r="C116" s="1" t="str">
        <f>"بدره"</f>
        <v>بدره</v>
      </c>
      <c r="D116" s="1" t="str">
        <f>"قراردادي کارگري"</f>
        <v>قراردادي کارگري</v>
      </c>
      <c r="E116" s="1" t="str">
        <f>"پروژه تعميرات نيروگاه بوشهر"</f>
        <v>پروژه تعميرات نيروگاه بوشهر</v>
      </c>
      <c r="F116" s="1">
        <v>7476071</v>
      </c>
      <c r="G116" s="1">
        <v>657984</v>
      </c>
      <c r="H116" s="1">
        <v>0</v>
      </c>
      <c r="I116" s="1">
        <v>5532292</v>
      </c>
      <c r="J116" s="1">
        <v>0</v>
      </c>
      <c r="K116" s="1">
        <v>0</v>
      </c>
      <c r="L116" s="1">
        <v>7628143</v>
      </c>
      <c r="M116" s="1">
        <v>1000000</v>
      </c>
      <c r="N116" s="1">
        <v>3960831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6484591</v>
      </c>
      <c r="W116" s="1">
        <v>1900000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3033762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37673674</v>
      </c>
      <c r="AP116" s="1">
        <v>2765682</v>
      </c>
      <c r="AQ116" s="1">
        <v>34907992</v>
      </c>
      <c r="AR116" s="1">
        <v>6927982</v>
      </c>
      <c r="AS116" s="1">
        <v>1039197</v>
      </c>
      <c r="AT116" s="1">
        <f t="shared" si="7"/>
        <v>45640853</v>
      </c>
    </row>
    <row r="117" spans="1:46" x14ac:dyDescent="0.2">
      <c r="A117" s="1" t="str">
        <f>"00138"</f>
        <v>00138</v>
      </c>
      <c r="B117" s="1" t="str">
        <f>"محمدرضا"</f>
        <v>محمدرضا</v>
      </c>
      <c r="C117" s="1" t="str">
        <f>"جالبوتي"</f>
        <v>جالبوتي</v>
      </c>
      <c r="D117" s="1" t="str">
        <f>"قراردادي بهره بردار"</f>
        <v>قراردادي بهره بردار</v>
      </c>
      <c r="E117" s="1" t="str">
        <f>"پروژه بهره برداري نيروگاه بوشهر"</f>
        <v>پروژه بهره برداري نيروگاه بوشهر</v>
      </c>
      <c r="F117" s="1">
        <v>16609635</v>
      </c>
      <c r="G117" s="1">
        <v>4319056</v>
      </c>
      <c r="H117" s="1">
        <v>0</v>
      </c>
      <c r="I117" s="1">
        <v>15734888</v>
      </c>
      <c r="J117" s="1">
        <v>0</v>
      </c>
      <c r="K117" s="1">
        <v>4620000</v>
      </c>
      <c r="L117" s="1">
        <v>0</v>
      </c>
      <c r="M117" s="1">
        <v>1000000</v>
      </c>
      <c r="N117" s="1">
        <v>3290819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1606000</v>
      </c>
      <c r="U117" s="1">
        <v>0</v>
      </c>
      <c r="V117" s="1">
        <v>16389023</v>
      </c>
      <c r="W117" s="1">
        <v>1900000</v>
      </c>
      <c r="X117" s="1">
        <v>2411076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2350585</v>
      </c>
      <c r="AF117" s="1">
        <v>1516881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13633045</v>
      </c>
      <c r="AM117" s="1">
        <v>0</v>
      </c>
      <c r="AN117" s="1">
        <v>0</v>
      </c>
      <c r="AO117" s="1">
        <v>85381008</v>
      </c>
      <c r="AP117" s="1">
        <v>29701175</v>
      </c>
      <c r="AQ117" s="1">
        <v>55679833</v>
      </c>
      <c r="AR117" s="1">
        <v>16772825</v>
      </c>
      <c r="AS117" s="1">
        <v>2515924</v>
      </c>
      <c r="AT117" s="1">
        <f t="shared" si="7"/>
        <v>104669757</v>
      </c>
    </row>
    <row r="118" spans="1:46" x14ac:dyDescent="0.2">
      <c r="A118" s="1" t="str">
        <f>"00139"</f>
        <v>00139</v>
      </c>
      <c r="B118" s="1" t="str">
        <f>"ابراهيم"</f>
        <v>ابراهيم</v>
      </c>
      <c r="C118" s="1" t="str">
        <f>"صداقت"</f>
        <v>صداقت</v>
      </c>
      <c r="D118" s="1" t="str">
        <f>"قراردادي بهره بردار"</f>
        <v>قراردادي بهره بردار</v>
      </c>
      <c r="E118" s="1" t="str">
        <f>"پروژه بهره برداري نيروگاه بوشهر"</f>
        <v>پروژه بهره برداري نيروگاه بوشهر</v>
      </c>
      <c r="F118" s="1">
        <v>15702699</v>
      </c>
      <c r="G118" s="1">
        <v>9627459</v>
      </c>
      <c r="H118" s="1">
        <v>0</v>
      </c>
      <c r="I118" s="1">
        <v>14991255</v>
      </c>
      <c r="J118" s="1">
        <v>0</v>
      </c>
      <c r="K118" s="1">
        <v>4620000</v>
      </c>
      <c r="L118" s="1">
        <v>0</v>
      </c>
      <c r="M118" s="1">
        <v>1000000</v>
      </c>
      <c r="N118" s="1">
        <v>2973392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1387000</v>
      </c>
      <c r="U118" s="1">
        <v>0</v>
      </c>
      <c r="V118" s="1">
        <v>11287516</v>
      </c>
      <c r="W118" s="1">
        <v>1900000</v>
      </c>
      <c r="X118" s="1">
        <v>2279424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2123851</v>
      </c>
      <c r="AF118" s="1">
        <v>1516881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12240788</v>
      </c>
      <c r="AM118" s="1">
        <v>0</v>
      </c>
      <c r="AN118" s="1">
        <v>0</v>
      </c>
      <c r="AO118" s="1">
        <v>81650265</v>
      </c>
      <c r="AP118" s="1">
        <v>11246708</v>
      </c>
      <c r="AQ118" s="1">
        <v>70403557</v>
      </c>
      <c r="AR118" s="1">
        <v>16026677</v>
      </c>
      <c r="AS118" s="1">
        <v>2404002</v>
      </c>
      <c r="AT118" s="1">
        <f t="shared" si="7"/>
        <v>100080944</v>
      </c>
    </row>
    <row r="119" spans="1:46" x14ac:dyDescent="0.2">
      <c r="A119" s="1" t="str">
        <f>"00140"</f>
        <v>00140</v>
      </c>
      <c r="B119" s="1" t="str">
        <f>"محمود"</f>
        <v>محمود</v>
      </c>
      <c r="C119" s="1" t="str">
        <f>"احمدنيا"</f>
        <v>احمدنيا</v>
      </c>
      <c r="D119" s="1" t="str">
        <f>"قراردادي کارگري"</f>
        <v>قراردادي کارگري</v>
      </c>
      <c r="E119" s="1" t="str">
        <f>"پروژه تعميرات نيروگاه بوشهر"</f>
        <v>پروژه تعميرات نيروگاه بوشهر</v>
      </c>
      <c r="F119" s="1">
        <v>8113034</v>
      </c>
      <c r="G119" s="1">
        <v>1853450</v>
      </c>
      <c r="H119" s="1">
        <v>0</v>
      </c>
      <c r="I119" s="1">
        <v>6003645</v>
      </c>
      <c r="J119" s="1">
        <v>0</v>
      </c>
      <c r="K119" s="1">
        <v>0</v>
      </c>
      <c r="L119" s="1">
        <v>7628143</v>
      </c>
      <c r="M119" s="1">
        <v>1000000</v>
      </c>
      <c r="N119" s="1">
        <v>4270018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6817704</v>
      </c>
      <c r="W119" s="1">
        <v>1900000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3902226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4448280</v>
      </c>
      <c r="AK119" s="1">
        <v>0</v>
      </c>
      <c r="AL119" s="1">
        <v>0</v>
      </c>
      <c r="AM119" s="1">
        <v>0</v>
      </c>
      <c r="AN119" s="1">
        <v>0</v>
      </c>
      <c r="AO119" s="1">
        <v>45936500</v>
      </c>
      <c r="AP119" s="1">
        <v>5026105</v>
      </c>
      <c r="AQ119" s="1">
        <v>40910395</v>
      </c>
      <c r="AR119" s="1">
        <v>9187300</v>
      </c>
      <c r="AS119" s="1">
        <v>1378095</v>
      </c>
      <c r="AT119" s="1">
        <f t="shared" si="7"/>
        <v>56501895</v>
      </c>
    </row>
    <row r="120" spans="1:46" x14ac:dyDescent="0.2">
      <c r="A120" s="1" t="str">
        <f>"00141"</f>
        <v>00141</v>
      </c>
      <c r="B120" s="1" t="str">
        <f>"حميد"</f>
        <v>حميد</v>
      </c>
      <c r="C120" s="1" t="str">
        <f>"صفوي"</f>
        <v>صفوي</v>
      </c>
      <c r="D120" s="1" t="str">
        <f t="shared" ref="D120:D147" si="10">"قراردادي بهره بردار"</f>
        <v>قراردادي بهره بردار</v>
      </c>
      <c r="E120" s="1" t="str">
        <f>"پروژه بهره برداري نيروگاه بوشهر"</f>
        <v>پروژه بهره برداري نيروگاه بوشهر</v>
      </c>
      <c r="F120" s="1">
        <v>15415721</v>
      </c>
      <c r="G120" s="1">
        <v>5802655</v>
      </c>
      <c r="H120" s="1">
        <v>0</v>
      </c>
      <c r="I120" s="1">
        <v>13255241</v>
      </c>
      <c r="J120" s="1">
        <v>0</v>
      </c>
      <c r="K120" s="1">
        <v>4620000</v>
      </c>
      <c r="L120" s="1">
        <v>0</v>
      </c>
      <c r="M120" s="1">
        <v>1000000</v>
      </c>
      <c r="N120" s="1">
        <v>2872950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1606000</v>
      </c>
      <c r="U120" s="1">
        <v>0</v>
      </c>
      <c r="V120" s="1">
        <v>10431579</v>
      </c>
      <c r="W120" s="1">
        <v>1900000</v>
      </c>
      <c r="X120" s="1">
        <v>2237766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2052107</v>
      </c>
      <c r="AF120" s="1">
        <v>3033762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10793677</v>
      </c>
      <c r="AM120" s="1">
        <v>0</v>
      </c>
      <c r="AN120" s="1">
        <v>0</v>
      </c>
      <c r="AO120" s="1">
        <v>75021458</v>
      </c>
      <c r="AP120" s="1">
        <v>38431702</v>
      </c>
      <c r="AQ120" s="1">
        <v>36589756</v>
      </c>
      <c r="AR120" s="1">
        <v>14397539</v>
      </c>
      <c r="AS120" s="1">
        <v>2159631</v>
      </c>
      <c r="AT120" s="1">
        <f t="shared" si="7"/>
        <v>91578628</v>
      </c>
    </row>
    <row r="121" spans="1:46" x14ac:dyDescent="0.2">
      <c r="A121" s="1" t="str">
        <f>"00142"</f>
        <v>00142</v>
      </c>
      <c r="B121" s="1" t="str">
        <f>"وحيد"</f>
        <v>وحيد</v>
      </c>
      <c r="C121" s="1" t="str">
        <f>"ضرغامي"</f>
        <v>ضرغامي</v>
      </c>
      <c r="D121" s="1" t="str">
        <f t="shared" si="10"/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15584403</v>
      </c>
      <c r="G121" s="1">
        <v>3089981</v>
      </c>
      <c r="H121" s="1">
        <v>0</v>
      </c>
      <c r="I121" s="1">
        <v>14528622</v>
      </c>
      <c r="J121" s="1">
        <v>0</v>
      </c>
      <c r="K121" s="1">
        <v>4620000</v>
      </c>
      <c r="L121" s="1">
        <v>0</v>
      </c>
      <c r="M121" s="1">
        <v>1000000</v>
      </c>
      <c r="N121" s="1">
        <v>2931988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1387000</v>
      </c>
      <c r="U121" s="1">
        <v>0</v>
      </c>
      <c r="V121" s="1">
        <v>15872506</v>
      </c>
      <c r="W121" s="1">
        <v>1900000</v>
      </c>
      <c r="X121" s="1">
        <v>2262252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2094277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11544551</v>
      </c>
      <c r="AM121" s="1">
        <v>0</v>
      </c>
      <c r="AN121" s="1">
        <v>0</v>
      </c>
      <c r="AO121" s="1">
        <v>76815580</v>
      </c>
      <c r="AP121" s="1">
        <v>44706512</v>
      </c>
      <c r="AQ121" s="1">
        <v>32109068</v>
      </c>
      <c r="AR121" s="1">
        <v>15363116</v>
      </c>
      <c r="AS121" s="1">
        <v>2304467</v>
      </c>
      <c r="AT121" s="1">
        <f t="shared" si="7"/>
        <v>94483163</v>
      </c>
    </row>
    <row r="122" spans="1:46" x14ac:dyDescent="0.2">
      <c r="A122" s="1" t="str">
        <f>"00143"</f>
        <v>00143</v>
      </c>
      <c r="B122" s="1" t="str">
        <f>"ميثم"</f>
        <v>ميثم</v>
      </c>
      <c r="C122" s="1" t="str">
        <f>"ضيغمي"</f>
        <v>ضيغمي</v>
      </c>
      <c r="D122" s="1" t="str">
        <f t="shared" si="10"/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15707080</v>
      </c>
      <c r="G122" s="1">
        <v>0</v>
      </c>
      <c r="H122" s="1">
        <v>0</v>
      </c>
      <c r="I122" s="1">
        <v>13779579</v>
      </c>
      <c r="J122" s="1">
        <v>0</v>
      </c>
      <c r="K122" s="1">
        <v>3465000</v>
      </c>
      <c r="L122" s="1">
        <v>0</v>
      </c>
      <c r="M122" s="1">
        <v>1000000</v>
      </c>
      <c r="N122" s="1">
        <v>2974925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1387000</v>
      </c>
      <c r="U122" s="1">
        <v>0</v>
      </c>
      <c r="V122" s="1">
        <v>9660518</v>
      </c>
      <c r="W122" s="1">
        <v>1900000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2124947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6522053</v>
      </c>
      <c r="AM122" s="1">
        <v>0</v>
      </c>
      <c r="AN122" s="1">
        <v>0</v>
      </c>
      <c r="AO122" s="1">
        <v>58521102</v>
      </c>
      <c r="AP122" s="1">
        <v>24797848</v>
      </c>
      <c r="AQ122" s="1">
        <v>33723254</v>
      </c>
      <c r="AR122" s="1">
        <v>11704220</v>
      </c>
      <c r="AS122" s="1">
        <v>1755633</v>
      </c>
      <c r="AT122" s="1">
        <f t="shared" si="7"/>
        <v>71980955</v>
      </c>
    </row>
    <row r="123" spans="1:46" x14ac:dyDescent="0.2">
      <c r="A123" s="1" t="str">
        <f>"00145"</f>
        <v>00145</v>
      </c>
      <c r="B123" s="1" t="str">
        <f>"رضا"</f>
        <v>رضا</v>
      </c>
      <c r="C123" s="1" t="str">
        <f>"طاهري"</f>
        <v>طاهري</v>
      </c>
      <c r="D123" s="1" t="str">
        <f t="shared" si="10"/>
        <v>قراردادي بهره بردار</v>
      </c>
      <c r="E123" s="1" t="str">
        <f>"پروژه تعميرات نيروگاه بوشهر"</f>
        <v>پروژه تعميرات نيروگاه بوشهر</v>
      </c>
      <c r="F123" s="1">
        <v>23413845</v>
      </c>
      <c r="G123" s="1">
        <v>0</v>
      </c>
      <c r="H123" s="1">
        <v>0</v>
      </c>
      <c r="I123" s="1">
        <v>23544072</v>
      </c>
      <c r="J123" s="1">
        <v>0</v>
      </c>
      <c r="K123" s="1">
        <v>5500000</v>
      </c>
      <c r="L123" s="1">
        <v>0</v>
      </c>
      <c r="M123" s="1">
        <v>1000000</v>
      </c>
      <c r="N123" s="1">
        <v>3523140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1387000</v>
      </c>
      <c r="U123" s="1">
        <v>0</v>
      </c>
      <c r="V123" s="1">
        <v>13522577</v>
      </c>
      <c r="W123" s="1">
        <v>1900000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2516528</v>
      </c>
      <c r="AF123" s="1">
        <v>1516881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6442313</v>
      </c>
      <c r="AM123" s="1">
        <v>0</v>
      </c>
      <c r="AN123" s="1">
        <v>0</v>
      </c>
      <c r="AO123" s="1">
        <v>84266356</v>
      </c>
      <c r="AP123" s="1">
        <v>31306505</v>
      </c>
      <c r="AQ123" s="1">
        <v>52959851</v>
      </c>
      <c r="AR123" s="1">
        <v>16549895</v>
      </c>
      <c r="AS123" s="1">
        <v>2482484</v>
      </c>
      <c r="AT123" s="1">
        <f t="shared" si="7"/>
        <v>103298735</v>
      </c>
    </row>
    <row r="124" spans="1:46" x14ac:dyDescent="0.2">
      <c r="A124" s="1" t="str">
        <f>"00148"</f>
        <v>00148</v>
      </c>
      <c r="B124" s="1" t="str">
        <f>"رسول"</f>
        <v>رسول</v>
      </c>
      <c r="C124" s="1" t="str">
        <f>"عباسي"</f>
        <v>عباسي</v>
      </c>
      <c r="D124" s="1" t="str">
        <f t="shared" si="10"/>
        <v>قراردادي بهره بردار</v>
      </c>
      <c r="E124" s="1" t="str">
        <f t="shared" ref="E124:E147" si="11">"پروژه بهره برداري نيروگاه بوشهر"</f>
        <v>پروژه بهره برداري نيروگاه بوشهر</v>
      </c>
      <c r="F124" s="1">
        <v>23904555</v>
      </c>
      <c r="G124" s="1">
        <v>506273</v>
      </c>
      <c r="H124" s="1">
        <v>0</v>
      </c>
      <c r="I124" s="1">
        <v>27243827</v>
      </c>
      <c r="J124" s="1">
        <v>0</v>
      </c>
      <c r="K124" s="1">
        <v>5500000</v>
      </c>
      <c r="L124" s="1">
        <v>0</v>
      </c>
      <c r="M124" s="1">
        <v>1000000</v>
      </c>
      <c r="N124" s="1">
        <v>3938709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1387000</v>
      </c>
      <c r="U124" s="1">
        <v>0</v>
      </c>
      <c r="V124" s="1">
        <v>6522374</v>
      </c>
      <c r="W124" s="1">
        <v>1900000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3384580</v>
      </c>
      <c r="AD124" s="1">
        <v>0</v>
      </c>
      <c r="AE124" s="1">
        <v>2813364</v>
      </c>
      <c r="AF124" s="1">
        <v>1516881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3938709</v>
      </c>
      <c r="AM124" s="1">
        <v>0</v>
      </c>
      <c r="AN124" s="1">
        <v>0</v>
      </c>
      <c r="AO124" s="1">
        <v>83556272</v>
      </c>
      <c r="AP124" s="1">
        <v>23789414</v>
      </c>
      <c r="AQ124" s="1">
        <v>59766858</v>
      </c>
      <c r="AR124" s="1">
        <v>16407878</v>
      </c>
      <c r="AS124" s="1">
        <v>2461182</v>
      </c>
      <c r="AT124" s="1">
        <f t="shared" si="7"/>
        <v>102425332</v>
      </c>
    </row>
    <row r="125" spans="1:46" x14ac:dyDescent="0.2">
      <c r="A125" s="1" t="str">
        <f>"00149"</f>
        <v>00149</v>
      </c>
      <c r="B125" s="1" t="str">
        <f>"حسين"</f>
        <v>حسين</v>
      </c>
      <c r="C125" s="1" t="str">
        <f>"عرب زاده"</f>
        <v>عرب زاده</v>
      </c>
      <c r="D125" s="1" t="str">
        <f t="shared" si="10"/>
        <v>قراردادي بهره بردار</v>
      </c>
      <c r="E125" s="1" t="str">
        <f t="shared" si="11"/>
        <v>پروژه بهره برداري نيروگاه بوشهر</v>
      </c>
      <c r="F125" s="1">
        <v>12151628</v>
      </c>
      <c r="G125" s="1">
        <v>628435</v>
      </c>
      <c r="H125" s="1">
        <v>0</v>
      </c>
      <c r="I125" s="1">
        <v>7265167</v>
      </c>
      <c r="J125" s="1">
        <v>0</v>
      </c>
      <c r="K125" s="1">
        <v>4620000</v>
      </c>
      <c r="L125" s="1">
        <v>0</v>
      </c>
      <c r="M125" s="1">
        <v>1000000</v>
      </c>
      <c r="N125" s="1">
        <v>1998874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1387000</v>
      </c>
      <c r="U125" s="1">
        <v>0</v>
      </c>
      <c r="V125" s="1">
        <v>2698736</v>
      </c>
      <c r="W125" s="1">
        <v>1900000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1427767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4143920</v>
      </c>
      <c r="AM125" s="1">
        <v>0</v>
      </c>
      <c r="AN125" s="1">
        <v>0</v>
      </c>
      <c r="AO125" s="1">
        <v>39221527</v>
      </c>
      <c r="AP125" s="1">
        <v>3070409</v>
      </c>
      <c r="AQ125" s="1">
        <v>36151118</v>
      </c>
      <c r="AR125" s="1">
        <v>7844305</v>
      </c>
      <c r="AS125" s="1">
        <v>1176646</v>
      </c>
      <c r="AT125" s="1">
        <f t="shared" si="7"/>
        <v>48242478</v>
      </c>
    </row>
    <row r="126" spans="1:46" x14ac:dyDescent="0.2">
      <c r="A126" s="1" t="str">
        <f>"00150"</f>
        <v>00150</v>
      </c>
      <c r="B126" s="1" t="str">
        <f>"سيدمهدي"</f>
        <v>سيدمهدي</v>
      </c>
      <c r="C126" s="1" t="str">
        <f>"عسكري"</f>
        <v>عسكري</v>
      </c>
      <c r="D126" s="1" t="str">
        <f t="shared" si="10"/>
        <v>قراردادي بهره بردار</v>
      </c>
      <c r="E126" s="1" t="str">
        <f t="shared" si="11"/>
        <v>پروژه بهره برداري نيروگاه بوشهر</v>
      </c>
      <c r="F126" s="1">
        <v>16819939</v>
      </c>
      <c r="G126" s="1">
        <v>0</v>
      </c>
      <c r="H126" s="1">
        <v>0</v>
      </c>
      <c r="I126" s="1">
        <v>15375696</v>
      </c>
      <c r="J126" s="1">
        <v>0</v>
      </c>
      <c r="K126" s="1">
        <v>4620000</v>
      </c>
      <c r="L126" s="1">
        <v>0</v>
      </c>
      <c r="M126" s="1">
        <v>1000000</v>
      </c>
      <c r="N126" s="1">
        <v>3364426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1606000</v>
      </c>
      <c r="U126" s="1">
        <v>0</v>
      </c>
      <c r="V126" s="1">
        <v>10547797</v>
      </c>
      <c r="W126" s="1">
        <v>1900000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2403161</v>
      </c>
      <c r="AF126" s="1">
        <v>3033762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6921017</v>
      </c>
      <c r="AM126" s="1">
        <v>0</v>
      </c>
      <c r="AN126" s="1">
        <v>0</v>
      </c>
      <c r="AO126" s="1">
        <v>67591798</v>
      </c>
      <c r="AP126" s="1">
        <v>24260208</v>
      </c>
      <c r="AQ126" s="1">
        <v>43331590</v>
      </c>
      <c r="AR126" s="1">
        <v>12911607</v>
      </c>
      <c r="AS126" s="1">
        <v>1936741</v>
      </c>
      <c r="AT126" s="1">
        <f t="shared" si="7"/>
        <v>82440146</v>
      </c>
    </row>
    <row r="127" spans="1:46" x14ac:dyDescent="0.2">
      <c r="A127" s="1" t="str">
        <f>"00151"</f>
        <v>00151</v>
      </c>
      <c r="B127" s="1" t="str">
        <f>"فرهاد"</f>
        <v>فرهاد</v>
      </c>
      <c r="C127" s="1" t="str">
        <f>"عليرضازاده"</f>
        <v>عليرضازاده</v>
      </c>
      <c r="D127" s="1" t="str">
        <f t="shared" si="10"/>
        <v>قراردادي بهره بردار</v>
      </c>
      <c r="E127" s="1" t="str">
        <f t="shared" si="11"/>
        <v>پروژه بهره برداري نيروگاه بوشهر</v>
      </c>
      <c r="F127" s="1">
        <v>15735559</v>
      </c>
      <c r="G127" s="1">
        <v>10665973</v>
      </c>
      <c r="H127" s="1">
        <v>0</v>
      </c>
      <c r="I127" s="1">
        <v>14578063</v>
      </c>
      <c r="J127" s="1">
        <v>0</v>
      </c>
      <c r="K127" s="1">
        <v>4620000</v>
      </c>
      <c r="L127" s="1">
        <v>0</v>
      </c>
      <c r="M127" s="1">
        <v>1000000</v>
      </c>
      <c r="N127" s="1">
        <v>2984893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1387000</v>
      </c>
      <c r="U127" s="1">
        <v>0</v>
      </c>
      <c r="V127" s="1">
        <v>11062203</v>
      </c>
      <c r="W127" s="1">
        <v>1900000</v>
      </c>
      <c r="X127" s="1">
        <v>2284194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2132066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11642627</v>
      </c>
      <c r="AM127" s="1">
        <v>0</v>
      </c>
      <c r="AN127" s="1">
        <v>0</v>
      </c>
      <c r="AO127" s="1">
        <v>79992578</v>
      </c>
      <c r="AP127" s="1">
        <v>12748866</v>
      </c>
      <c r="AQ127" s="1">
        <v>67243712</v>
      </c>
      <c r="AR127" s="1">
        <v>15998516</v>
      </c>
      <c r="AS127" s="1">
        <v>2399777</v>
      </c>
      <c r="AT127" s="1">
        <f t="shared" si="7"/>
        <v>98390871</v>
      </c>
    </row>
    <row r="128" spans="1:46" x14ac:dyDescent="0.2">
      <c r="A128" s="1" t="str">
        <f>"00152"</f>
        <v>00152</v>
      </c>
      <c r="B128" s="1" t="str">
        <f>"نويد"</f>
        <v>نويد</v>
      </c>
      <c r="C128" s="1" t="str">
        <f>"عمارتي"</f>
        <v>عمارتي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23689869</v>
      </c>
      <c r="G128" s="1">
        <v>10344049</v>
      </c>
      <c r="H128" s="1">
        <v>0</v>
      </c>
      <c r="I128" s="1">
        <v>20250743</v>
      </c>
      <c r="J128" s="1">
        <v>0</v>
      </c>
      <c r="K128" s="1">
        <v>5500000</v>
      </c>
      <c r="L128" s="1">
        <v>0</v>
      </c>
      <c r="M128" s="1">
        <v>1000000</v>
      </c>
      <c r="N128" s="1">
        <v>3619748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1606000</v>
      </c>
      <c r="U128" s="1">
        <v>0</v>
      </c>
      <c r="V128" s="1">
        <v>17978013</v>
      </c>
      <c r="W128" s="1">
        <v>1900000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2585534</v>
      </c>
      <c r="AF128" s="1">
        <v>1516881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5171069</v>
      </c>
      <c r="AM128" s="1">
        <v>0</v>
      </c>
      <c r="AN128" s="1">
        <v>0</v>
      </c>
      <c r="AO128" s="1">
        <v>95161906</v>
      </c>
      <c r="AP128" s="1">
        <v>31950273</v>
      </c>
      <c r="AQ128" s="1">
        <v>63211633</v>
      </c>
      <c r="AR128" s="1">
        <v>18729005</v>
      </c>
      <c r="AS128" s="1">
        <v>2809351</v>
      </c>
      <c r="AT128" s="1">
        <f t="shared" si="7"/>
        <v>116700262</v>
      </c>
    </row>
    <row r="129" spans="1:46" x14ac:dyDescent="0.2">
      <c r="A129" s="1" t="str">
        <f>"00153"</f>
        <v>00153</v>
      </c>
      <c r="B129" s="1" t="str">
        <f>"مهدي"</f>
        <v>مهدي</v>
      </c>
      <c r="C129" s="1" t="str">
        <f>"فرهمندنيا"</f>
        <v>فرهمندنيا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19135473</v>
      </c>
      <c r="G129" s="1">
        <v>21915183</v>
      </c>
      <c r="H129" s="1">
        <v>0</v>
      </c>
      <c r="I129" s="1">
        <v>18180203</v>
      </c>
      <c r="J129" s="1">
        <v>0</v>
      </c>
      <c r="K129" s="1">
        <v>0</v>
      </c>
      <c r="L129" s="1">
        <v>0</v>
      </c>
      <c r="M129" s="1">
        <v>1000000</v>
      </c>
      <c r="N129" s="1">
        <v>3638150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1606000</v>
      </c>
      <c r="U129" s="1">
        <v>0</v>
      </c>
      <c r="V129" s="1">
        <v>10731203</v>
      </c>
      <c r="W129" s="1">
        <v>1900000</v>
      </c>
      <c r="X129" s="1">
        <v>2777730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2598678</v>
      </c>
      <c r="AF129" s="1">
        <v>4550643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10418263</v>
      </c>
      <c r="AM129" s="1">
        <v>0</v>
      </c>
      <c r="AN129" s="1">
        <v>0</v>
      </c>
      <c r="AO129" s="1">
        <v>98451526</v>
      </c>
      <c r="AP129" s="1">
        <v>37970768</v>
      </c>
      <c r="AQ129" s="1">
        <v>60480758</v>
      </c>
      <c r="AR129" s="1">
        <v>18780177</v>
      </c>
      <c r="AS129" s="1">
        <v>2817026</v>
      </c>
      <c r="AT129" s="1">
        <f t="shared" si="7"/>
        <v>120048729</v>
      </c>
    </row>
    <row r="130" spans="1:46" x14ac:dyDescent="0.2">
      <c r="A130" s="1" t="str">
        <f>"00155"</f>
        <v>00155</v>
      </c>
      <c r="B130" s="1" t="str">
        <f>"زين العابدين"</f>
        <v>زين العابدين</v>
      </c>
      <c r="C130" s="1" t="str">
        <f>"فقيه"</f>
        <v>فقيه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14145135</v>
      </c>
      <c r="G130" s="1">
        <v>5538069</v>
      </c>
      <c r="H130" s="1">
        <v>0</v>
      </c>
      <c r="I130" s="1">
        <v>12573888</v>
      </c>
      <c r="J130" s="1">
        <v>0</v>
      </c>
      <c r="K130" s="1">
        <v>4620000</v>
      </c>
      <c r="L130" s="1">
        <v>0</v>
      </c>
      <c r="M130" s="1">
        <v>1000000</v>
      </c>
      <c r="N130" s="1">
        <v>2428244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1606000</v>
      </c>
      <c r="U130" s="1">
        <v>0</v>
      </c>
      <c r="V130" s="1">
        <v>18446706</v>
      </c>
      <c r="W130" s="1">
        <v>1900000</v>
      </c>
      <c r="X130" s="1">
        <v>2053326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1734460</v>
      </c>
      <c r="AF130" s="1">
        <v>1516881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11042603</v>
      </c>
      <c r="AM130" s="1">
        <v>0</v>
      </c>
      <c r="AN130" s="1">
        <v>0</v>
      </c>
      <c r="AO130" s="1">
        <v>78605312</v>
      </c>
      <c r="AP130" s="1">
        <v>28376510</v>
      </c>
      <c r="AQ130" s="1">
        <v>50228802</v>
      </c>
      <c r="AR130" s="1">
        <v>15417686</v>
      </c>
      <c r="AS130" s="1">
        <v>2312653</v>
      </c>
      <c r="AT130" s="1">
        <f t="shared" si="7"/>
        <v>96335651</v>
      </c>
    </row>
    <row r="131" spans="1:46" x14ac:dyDescent="0.2">
      <c r="A131" s="1" t="str">
        <f>"00156"</f>
        <v>00156</v>
      </c>
      <c r="B131" s="1" t="str">
        <f>"محمدرضا"</f>
        <v>محمدرضا</v>
      </c>
      <c r="C131" s="1" t="str">
        <f>"فلاح"</f>
        <v>فلاح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23906745</v>
      </c>
      <c r="G131" s="1">
        <v>10001930</v>
      </c>
      <c r="H131" s="1">
        <v>0</v>
      </c>
      <c r="I131" s="1">
        <v>18459181</v>
      </c>
      <c r="J131" s="1">
        <v>0</v>
      </c>
      <c r="K131" s="1">
        <v>5500000</v>
      </c>
      <c r="L131" s="1">
        <v>0</v>
      </c>
      <c r="M131" s="1">
        <v>1000000</v>
      </c>
      <c r="N131" s="1">
        <v>3695655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1387000</v>
      </c>
      <c r="U131" s="1">
        <v>0</v>
      </c>
      <c r="V131" s="1">
        <v>16856925</v>
      </c>
      <c r="W131" s="1">
        <v>1900000</v>
      </c>
      <c r="X131" s="1">
        <v>3470334</v>
      </c>
      <c r="Y131" s="1">
        <v>0</v>
      </c>
      <c r="Z131" s="1">
        <v>0</v>
      </c>
      <c r="AA131" s="1">
        <v>0</v>
      </c>
      <c r="AB131" s="1">
        <v>0</v>
      </c>
      <c r="AC131" s="1">
        <v>3877480</v>
      </c>
      <c r="AD131" s="1">
        <v>0</v>
      </c>
      <c r="AE131" s="1">
        <v>2639753</v>
      </c>
      <c r="AF131" s="1">
        <v>1516881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19152780</v>
      </c>
      <c r="AM131" s="1">
        <v>0</v>
      </c>
      <c r="AN131" s="1">
        <v>0</v>
      </c>
      <c r="AO131" s="1">
        <v>113364664</v>
      </c>
      <c r="AP131" s="1">
        <v>35375649</v>
      </c>
      <c r="AQ131" s="1">
        <v>77989015</v>
      </c>
      <c r="AR131" s="1">
        <v>22369557</v>
      </c>
      <c r="AS131" s="1">
        <v>3355433</v>
      </c>
      <c r="AT131" s="1">
        <f t="shared" ref="AT131:AT194" si="12">AO131+AR131+AS131</f>
        <v>139089654</v>
      </c>
    </row>
    <row r="132" spans="1:46" x14ac:dyDescent="0.2">
      <c r="A132" s="1" t="str">
        <f>"00157"</f>
        <v>00157</v>
      </c>
      <c r="B132" s="1" t="str">
        <f>"محسن"</f>
        <v>محسن</v>
      </c>
      <c r="C132" s="1" t="str">
        <f>"قاسمي"</f>
        <v>قاسمي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24476319</v>
      </c>
      <c r="G132" s="1">
        <v>3257789</v>
      </c>
      <c r="H132" s="1">
        <v>0</v>
      </c>
      <c r="I132" s="1">
        <v>22907064</v>
      </c>
      <c r="J132" s="1">
        <v>0</v>
      </c>
      <c r="K132" s="1">
        <v>0</v>
      </c>
      <c r="L132" s="1">
        <v>0</v>
      </c>
      <c r="M132" s="1">
        <v>1000000</v>
      </c>
      <c r="N132" s="1">
        <v>3895005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1606000</v>
      </c>
      <c r="U132" s="1">
        <v>0</v>
      </c>
      <c r="V132" s="1">
        <v>28435364</v>
      </c>
      <c r="W132" s="1">
        <v>1900000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3384580</v>
      </c>
      <c r="AD132" s="1">
        <v>0</v>
      </c>
      <c r="AE132" s="1">
        <v>2782147</v>
      </c>
      <c r="AF132" s="1">
        <v>1516881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6454580</v>
      </c>
      <c r="AM132" s="1">
        <v>0</v>
      </c>
      <c r="AN132" s="1">
        <v>0</v>
      </c>
      <c r="AO132" s="1">
        <v>101615729</v>
      </c>
      <c r="AP132" s="1">
        <v>37626362</v>
      </c>
      <c r="AQ132" s="1">
        <v>63989367</v>
      </c>
      <c r="AR132" s="1">
        <v>20019770</v>
      </c>
      <c r="AS132" s="1">
        <v>3002965</v>
      </c>
      <c r="AT132" s="1">
        <f t="shared" si="12"/>
        <v>124638464</v>
      </c>
    </row>
    <row r="133" spans="1:46" x14ac:dyDescent="0.2">
      <c r="A133" s="1" t="str">
        <f>"00158"</f>
        <v>00158</v>
      </c>
      <c r="B133" s="1" t="str">
        <f>"مرتضي"</f>
        <v>مرتضي</v>
      </c>
      <c r="C133" s="1" t="str">
        <f>"قايد"</f>
        <v>قايد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15141888</v>
      </c>
      <c r="G133" s="1">
        <v>3568073</v>
      </c>
      <c r="H133" s="1">
        <v>0</v>
      </c>
      <c r="I133" s="1">
        <v>13573135</v>
      </c>
      <c r="J133" s="1">
        <v>0</v>
      </c>
      <c r="K133" s="1">
        <v>4620000</v>
      </c>
      <c r="L133" s="1">
        <v>0</v>
      </c>
      <c r="M133" s="1">
        <v>1000000</v>
      </c>
      <c r="N133" s="1">
        <v>2777108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1387000</v>
      </c>
      <c r="U133" s="1">
        <v>0</v>
      </c>
      <c r="V133" s="1">
        <v>19236565</v>
      </c>
      <c r="W133" s="1">
        <v>1900000</v>
      </c>
      <c r="X133" s="1">
        <v>2198016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1983649</v>
      </c>
      <c r="AF133" s="1">
        <v>3033762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10493512</v>
      </c>
      <c r="AM133" s="1">
        <v>0</v>
      </c>
      <c r="AN133" s="1">
        <v>0</v>
      </c>
      <c r="AO133" s="1">
        <v>80912708</v>
      </c>
      <c r="AP133" s="1">
        <v>16112723</v>
      </c>
      <c r="AQ133" s="1">
        <v>64799985</v>
      </c>
      <c r="AR133" s="1">
        <v>15575789</v>
      </c>
      <c r="AS133" s="1">
        <v>2336368</v>
      </c>
      <c r="AT133" s="1">
        <f t="shared" si="12"/>
        <v>98824865</v>
      </c>
    </row>
    <row r="134" spans="1:46" x14ac:dyDescent="0.2">
      <c r="A134" s="1" t="str">
        <f>"00159"</f>
        <v>00159</v>
      </c>
      <c r="B134" s="1" t="str">
        <f>"ناصر"</f>
        <v>ناصر</v>
      </c>
      <c r="C134" s="1" t="str">
        <f>"قايدزادگان"</f>
        <v>قايدزادگان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24699767</v>
      </c>
      <c r="G134" s="1">
        <v>7926181</v>
      </c>
      <c r="H134" s="1">
        <v>0</v>
      </c>
      <c r="I134" s="1">
        <v>22766317</v>
      </c>
      <c r="J134" s="1">
        <v>0</v>
      </c>
      <c r="K134" s="1">
        <v>5500000</v>
      </c>
      <c r="L134" s="1">
        <v>0</v>
      </c>
      <c r="M134" s="1">
        <v>1000000</v>
      </c>
      <c r="N134" s="1">
        <v>3973212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1606000</v>
      </c>
      <c r="U134" s="1">
        <v>0</v>
      </c>
      <c r="V134" s="1">
        <v>14249094</v>
      </c>
      <c r="W134" s="1">
        <v>1900000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2838009</v>
      </c>
      <c r="AF134" s="1">
        <v>1516881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6357139</v>
      </c>
      <c r="AM134" s="1">
        <v>0</v>
      </c>
      <c r="AN134" s="1">
        <v>0</v>
      </c>
      <c r="AO134" s="1">
        <v>94332600</v>
      </c>
      <c r="AP134" s="1">
        <v>32376533</v>
      </c>
      <c r="AQ134" s="1">
        <v>61956067</v>
      </c>
      <c r="AR134" s="1">
        <v>18563144</v>
      </c>
      <c r="AS134" s="1">
        <v>2784472</v>
      </c>
      <c r="AT134" s="1">
        <f t="shared" si="12"/>
        <v>115680216</v>
      </c>
    </row>
    <row r="135" spans="1:46" x14ac:dyDescent="0.2">
      <c r="A135" s="1" t="str">
        <f>"00160"</f>
        <v>00160</v>
      </c>
      <c r="B135" s="1" t="str">
        <f>"بهروز"</f>
        <v>بهروز</v>
      </c>
      <c r="C135" s="1" t="str">
        <f>"قهرماني"</f>
        <v>قهرماني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24305447</v>
      </c>
      <c r="G135" s="1">
        <v>1125556</v>
      </c>
      <c r="H135" s="1">
        <v>0</v>
      </c>
      <c r="I135" s="1">
        <v>22170338</v>
      </c>
      <c r="J135" s="1">
        <v>0</v>
      </c>
      <c r="K135" s="1">
        <v>5500000</v>
      </c>
      <c r="L135" s="1">
        <v>0</v>
      </c>
      <c r="M135" s="1">
        <v>1000000</v>
      </c>
      <c r="N135" s="1">
        <v>3835200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1606000</v>
      </c>
      <c r="U135" s="1">
        <v>0</v>
      </c>
      <c r="V135" s="1">
        <v>20786072</v>
      </c>
      <c r="W135" s="1">
        <v>1900000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2739429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5917166</v>
      </c>
      <c r="AM135" s="1">
        <v>0</v>
      </c>
      <c r="AN135" s="1">
        <v>0</v>
      </c>
      <c r="AO135" s="1">
        <v>90885208</v>
      </c>
      <c r="AP135" s="1">
        <v>32410792</v>
      </c>
      <c r="AQ135" s="1">
        <v>58474416</v>
      </c>
      <c r="AR135" s="1">
        <v>18177042</v>
      </c>
      <c r="AS135" s="1">
        <v>2726556</v>
      </c>
      <c r="AT135" s="1">
        <f t="shared" si="12"/>
        <v>111788806</v>
      </c>
    </row>
    <row r="136" spans="1:46" x14ac:dyDescent="0.2">
      <c r="A136" s="1" t="str">
        <f>"00161"</f>
        <v>00161</v>
      </c>
      <c r="B136" s="1" t="str">
        <f>"داود"</f>
        <v>داود</v>
      </c>
      <c r="C136" s="1" t="str">
        <f>"كاوه"</f>
        <v>كاوه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24073236</v>
      </c>
      <c r="G136" s="1">
        <v>18054529</v>
      </c>
      <c r="H136" s="1">
        <v>0</v>
      </c>
      <c r="I136" s="1">
        <v>21317704</v>
      </c>
      <c r="J136" s="1">
        <v>0</v>
      </c>
      <c r="K136" s="1">
        <v>5500000</v>
      </c>
      <c r="L136" s="1">
        <v>0</v>
      </c>
      <c r="M136" s="1">
        <v>1000000</v>
      </c>
      <c r="N136" s="1">
        <v>3753926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1387000</v>
      </c>
      <c r="U136" s="1">
        <v>0</v>
      </c>
      <c r="V136" s="1">
        <v>29355742</v>
      </c>
      <c r="W136" s="1">
        <v>1900000</v>
      </c>
      <c r="X136" s="1">
        <v>3494502</v>
      </c>
      <c r="Y136" s="1">
        <v>0</v>
      </c>
      <c r="Z136" s="1">
        <v>0</v>
      </c>
      <c r="AA136" s="1">
        <v>0</v>
      </c>
      <c r="AB136" s="1">
        <v>0</v>
      </c>
      <c r="AC136" s="1">
        <v>3877480</v>
      </c>
      <c r="AD136" s="1">
        <v>0</v>
      </c>
      <c r="AE136" s="1">
        <v>2681376</v>
      </c>
      <c r="AF136" s="1">
        <v>3033762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21548230</v>
      </c>
      <c r="AM136" s="1">
        <v>0</v>
      </c>
      <c r="AN136" s="1">
        <v>0</v>
      </c>
      <c r="AO136" s="1">
        <v>140977487</v>
      </c>
      <c r="AP136" s="1">
        <v>42458809</v>
      </c>
      <c r="AQ136" s="1">
        <v>98518678</v>
      </c>
      <c r="AR136" s="1">
        <v>26552511</v>
      </c>
      <c r="AS136" s="1">
        <v>3982877</v>
      </c>
      <c r="AT136" s="1">
        <f t="shared" si="12"/>
        <v>171512875</v>
      </c>
    </row>
    <row r="137" spans="1:46" x14ac:dyDescent="0.2">
      <c r="A137" s="1" t="str">
        <f>"00162"</f>
        <v>00162</v>
      </c>
      <c r="B137" s="1" t="str">
        <f>"عبدالحسين"</f>
        <v>عبدالحسين</v>
      </c>
      <c r="C137" s="1" t="str">
        <f>"كردواني"</f>
        <v>كردواني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16015964</v>
      </c>
      <c r="G137" s="1">
        <v>7187182</v>
      </c>
      <c r="H137" s="1">
        <v>0</v>
      </c>
      <c r="I137" s="1">
        <v>15873130</v>
      </c>
      <c r="J137" s="1">
        <v>0</v>
      </c>
      <c r="K137" s="1">
        <v>4620000</v>
      </c>
      <c r="L137" s="1">
        <v>0</v>
      </c>
      <c r="M137" s="1">
        <v>1000000</v>
      </c>
      <c r="N137" s="1">
        <v>3083035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1606000</v>
      </c>
      <c r="U137" s="1">
        <v>0</v>
      </c>
      <c r="V137" s="1">
        <v>22404559</v>
      </c>
      <c r="W137" s="1">
        <v>1900000</v>
      </c>
      <c r="X137" s="1">
        <v>2324898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2202168</v>
      </c>
      <c r="AF137" s="1">
        <v>1516881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13173026</v>
      </c>
      <c r="AM137" s="1">
        <v>0</v>
      </c>
      <c r="AN137" s="1">
        <v>0</v>
      </c>
      <c r="AO137" s="1">
        <v>92906843</v>
      </c>
      <c r="AP137" s="1">
        <v>37297171</v>
      </c>
      <c r="AQ137" s="1">
        <v>55609672</v>
      </c>
      <c r="AR137" s="1">
        <v>18277992</v>
      </c>
      <c r="AS137" s="1">
        <v>2741699</v>
      </c>
      <c r="AT137" s="1">
        <f t="shared" si="12"/>
        <v>113926534</v>
      </c>
    </row>
    <row r="138" spans="1:46" x14ac:dyDescent="0.2">
      <c r="A138" s="1" t="str">
        <f>"00163"</f>
        <v>00163</v>
      </c>
      <c r="B138" s="1" t="str">
        <f>"هادي"</f>
        <v>هادي</v>
      </c>
      <c r="C138" s="1" t="str">
        <f>"كرمي"</f>
        <v>كرمي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15159413</v>
      </c>
      <c r="G138" s="1">
        <v>3468645</v>
      </c>
      <c r="H138" s="1">
        <v>0</v>
      </c>
      <c r="I138" s="1">
        <v>13052025</v>
      </c>
      <c r="J138" s="1">
        <v>0</v>
      </c>
      <c r="K138" s="1">
        <v>4620000</v>
      </c>
      <c r="L138" s="1">
        <v>0</v>
      </c>
      <c r="M138" s="1">
        <v>1000000</v>
      </c>
      <c r="N138" s="1">
        <v>2783242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1606000</v>
      </c>
      <c r="U138" s="1">
        <v>0</v>
      </c>
      <c r="V138" s="1">
        <v>18922373</v>
      </c>
      <c r="W138" s="1">
        <v>1900000</v>
      </c>
      <c r="X138" s="1">
        <v>2200560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1988030</v>
      </c>
      <c r="AF138" s="1">
        <v>1516881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9539477</v>
      </c>
      <c r="AM138" s="1">
        <v>0</v>
      </c>
      <c r="AN138" s="1">
        <v>0</v>
      </c>
      <c r="AO138" s="1">
        <v>77756646</v>
      </c>
      <c r="AP138" s="1">
        <v>34651600</v>
      </c>
      <c r="AQ138" s="1">
        <v>43105046</v>
      </c>
      <c r="AR138" s="1">
        <v>15247953</v>
      </c>
      <c r="AS138" s="1">
        <v>2287193</v>
      </c>
      <c r="AT138" s="1">
        <f t="shared" si="12"/>
        <v>95291792</v>
      </c>
    </row>
    <row r="139" spans="1:46" x14ac:dyDescent="0.2">
      <c r="A139" s="1" t="str">
        <f>"00164"</f>
        <v>00164</v>
      </c>
      <c r="B139" s="1" t="str">
        <f>"ابوذر"</f>
        <v>ابوذر</v>
      </c>
      <c r="C139" s="1" t="str">
        <f>"كرمي"</f>
        <v>كرمي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21131171</v>
      </c>
      <c r="G139" s="1">
        <v>1079550</v>
      </c>
      <c r="H139" s="1">
        <v>0</v>
      </c>
      <c r="I139" s="1">
        <v>16179320</v>
      </c>
      <c r="J139" s="1">
        <v>0</v>
      </c>
      <c r="K139" s="1">
        <v>5500000</v>
      </c>
      <c r="L139" s="1">
        <v>0</v>
      </c>
      <c r="M139" s="1">
        <v>1000000</v>
      </c>
      <c r="N139" s="1">
        <v>2968025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1387000</v>
      </c>
      <c r="U139" s="1">
        <v>0</v>
      </c>
      <c r="V139" s="1">
        <v>4635991</v>
      </c>
      <c r="W139" s="1">
        <v>1900000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2120018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3961383</v>
      </c>
      <c r="AM139" s="1">
        <v>0</v>
      </c>
      <c r="AN139" s="1">
        <v>0</v>
      </c>
      <c r="AO139" s="1">
        <v>61862458</v>
      </c>
      <c r="AP139" s="1">
        <v>25148424</v>
      </c>
      <c r="AQ139" s="1">
        <v>36714034</v>
      </c>
      <c r="AR139" s="1">
        <v>12372492</v>
      </c>
      <c r="AS139" s="1">
        <v>1855874</v>
      </c>
      <c r="AT139" s="1">
        <f t="shared" si="12"/>
        <v>76090824</v>
      </c>
    </row>
    <row r="140" spans="1:46" x14ac:dyDescent="0.2">
      <c r="A140" s="1" t="str">
        <f>"00165"</f>
        <v>00165</v>
      </c>
      <c r="B140" s="1" t="str">
        <f>"ارسلان"</f>
        <v>ارسلان</v>
      </c>
      <c r="C140" s="1" t="str">
        <f>"كلانتري"</f>
        <v>كلانتري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13437549</v>
      </c>
      <c r="G140" s="1">
        <v>0</v>
      </c>
      <c r="H140" s="1">
        <v>0</v>
      </c>
      <c r="I140" s="1">
        <v>11242751</v>
      </c>
      <c r="J140" s="1">
        <v>0</v>
      </c>
      <c r="K140" s="1">
        <v>3465000</v>
      </c>
      <c r="L140" s="1">
        <v>0</v>
      </c>
      <c r="M140" s="1">
        <v>1000000</v>
      </c>
      <c r="N140" s="1">
        <v>2422111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1387000</v>
      </c>
      <c r="U140" s="1">
        <v>0</v>
      </c>
      <c r="V140" s="1">
        <v>10334413</v>
      </c>
      <c r="W140" s="1">
        <v>1900000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1730079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5615555</v>
      </c>
      <c r="AM140" s="1">
        <v>0</v>
      </c>
      <c r="AN140" s="1">
        <v>0</v>
      </c>
      <c r="AO140" s="1">
        <v>52534458</v>
      </c>
      <c r="AP140" s="1">
        <v>23360789</v>
      </c>
      <c r="AQ140" s="1">
        <v>29173669</v>
      </c>
      <c r="AR140" s="1">
        <v>10506892</v>
      </c>
      <c r="AS140" s="1">
        <v>1576034</v>
      </c>
      <c r="AT140" s="1">
        <f t="shared" si="12"/>
        <v>64617384</v>
      </c>
    </row>
    <row r="141" spans="1:46" x14ac:dyDescent="0.2">
      <c r="A141" s="1" t="str">
        <f>"00167"</f>
        <v>00167</v>
      </c>
      <c r="B141" s="1" t="str">
        <f>"جواد"</f>
        <v>جواد</v>
      </c>
      <c r="C141" s="1" t="str">
        <f>"گودرزي"</f>
        <v>گودرزي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16127688</v>
      </c>
      <c r="G141" s="1">
        <v>6218052</v>
      </c>
      <c r="H141" s="1">
        <v>0</v>
      </c>
      <c r="I141" s="1">
        <v>16025550</v>
      </c>
      <c r="J141" s="1">
        <v>0</v>
      </c>
      <c r="K141" s="1">
        <v>4620000</v>
      </c>
      <c r="L141" s="1">
        <v>0</v>
      </c>
      <c r="M141" s="1">
        <v>1000000</v>
      </c>
      <c r="N141" s="1">
        <v>3122138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1606000</v>
      </c>
      <c r="U141" s="1">
        <v>0</v>
      </c>
      <c r="V141" s="1">
        <v>22614079</v>
      </c>
      <c r="W141" s="1">
        <v>1900000</v>
      </c>
      <c r="X141" s="1">
        <v>2341116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2230099</v>
      </c>
      <c r="AF141" s="1">
        <v>1516881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13312681</v>
      </c>
      <c r="AM141" s="1">
        <v>0</v>
      </c>
      <c r="AN141" s="1">
        <v>0</v>
      </c>
      <c r="AO141" s="1">
        <v>92634284</v>
      </c>
      <c r="AP141" s="1">
        <v>38951588</v>
      </c>
      <c r="AQ141" s="1">
        <v>53682696</v>
      </c>
      <c r="AR141" s="1">
        <v>18223481</v>
      </c>
      <c r="AS141" s="1">
        <v>2733522</v>
      </c>
      <c r="AT141" s="1">
        <f t="shared" si="12"/>
        <v>113591287</v>
      </c>
    </row>
    <row r="142" spans="1:46" x14ac:dyDescent="0.2">
      <c r="A142" s="1" t="str">
        <f>"00168"</f>
        <v>00168</v>
      </c>
      <c r="B142" s="1" t="str">
        <f>"عليرضا"</f>
        <v>عليرضا</v>
      </c>
      <c r="C142" s="1" t="str">
        <f>"لاله رخ"</f>
        <v>لاله رخ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19972308</v>
      </c>
      <c r="G142" s="1">
        <v>0</v>
      </c>
      <c r="H142" s="1">
        <v>0</v>
      </c>
      <c r="I142" s="1">
        <v>16747171</v>
      </c>
      <c r="J142" s="1">
        <v>0</v>
      </c>
      <c r="K142" s="1">
        <v>5500000</v>
      </c>
      <c r="L142" s="1">
        <v>0</v>
      </c>
      <c r="M142" s="1">
        <v>1000000</v>
      </c>
      <c r="N142" s="1">
        <v>3252483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1606000</v>
      </c>
      <c r="U142" s="1">
        <v>0</v>
      </c>
      <c r="V142" s="1">
        <v>17505914</v>
      </c>
      <c r="W142" s="1">
        <v>1900000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2323202</v>
      </c>
      <c r="AF142" s="1">
        <v>1516881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5018117</v>
      </c>
      <c r="AM142" s="1">
        <v>0</v>
      </c>
      <c r="AN142" s="1">
        <v>0</v>
      </c>
      <c r="AO142" s="1">
        <v>76342076</v>
      </c>
      <c r="AP142" s="1">
        <v>30791065</v>
      </c>
      <c r="AQ142" s="1">
        <v>45551011</v>
      </c>
      <c r="AR142" s="1">
        <v>14965039</v>
      </c>
      <c r="AS142" s="1">
        <v>2244756</v>
      </c>
      <c r="AT142" s="1">
        <f t="shared" si="12"/>
        <v>93551871</v>
      </c>
    </row>
    <row r="143" spans="1:46" x14ac:dyDescent="0.2">
      <c r="A143" s="1" t="str">
        <f>"00169"</f>
        <v>00169</v>
      </c>
      <c r="B143" s="1" t="str">
        <f>"مهدي"</f>
        <v>مهدي</v>
      </c>
      <c r="C143" s="1" t="str">
        <f>"لطفي نژاد"</f>
        <v>لطفي نژاد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24009707</v>
      </c>
      <c r="G143" s="1">
        <v>3166922</v>
      </c>
      <c r="H143" s="1">
        <v>0</v>
      </c>
      <c r="I143" s="1">
        <v>20399392</v>
      </c>
      <c r="J143" s="1">
        <v>0</v>
      </c>
      <c r="K143" s="1">
        <v>5500000</v>
      </c>
      <c r="L143" s="1">
        <v>0</v>
      </c>
      <c r="M143" s="1">
        <v>1000000</v>
      </c>
      <c r="N143" s="1">
        <v>3731691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1387000</v>
      </c>
      <c r="U143" s="1">
        <v>0</v>
      </c>
      <c r="V143" s="1">
        <v>17809446</v>
      </c>
      <c r="W143" s="1">
        <v>1900000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2665494</v>
      </c>
      <c r="AF143" s="1">
        <v>1516881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6183945</v>
      </c>
      <c r="AM143" s="1">
        <v>0</v>
      </c>
      <c r="AN143" s="1">
        <v>0</v>
      </c>
      <c r="AO143" s="1">
        <v>89270478</v>
      </c>
      <c r="AP143" s="1">
        <v>29122866</v>
      </c>
      <c r="AQ143" s="1">
        <v>60147612</v>
      </c>
      <c r="AR143" s="1">
        <v>17550719</v>
      </c>
      <c r="AS143" s="1">
        <v>2632608</v>
      </c>
      <c r="AT143" s="1">
        <f t="shared" si="12"/>
        <v>109453805</v>
      </c>
    </row>
    <row r="144" spans="1:46" x14ac:dyDescent="0.2">
      <c r="A144" s="1" t="str">
        <f>"00170"</f>
        <v>00170</v>
      </c>
      <c r="B144" s="1" t="str">
        <f>"علي محمد"</f>
        <v>علي محمد</v>
      </c>
      <c r="C144" s="1" t="str">
        <f>"متين"</f>
        <v>متين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31013268</v>
      </c>
      <c r="G144" s="1">
        <v>6722603</v>
      </c>
      <c r="H144" s="1">
        <v>0</v>
      </c>
      <c r="I144" s="1">
        <v>32623363</v>
      </c>
      <c r="J144" s="1">
        <v>0</v>
      </c>
      <c r="K144" s="1">
        <v>0</v>
      </c>
      <c r="L144" s="1">
        <v>0</v>
      </c>
      <c r="M144" s="1">
        <v>1000000</v>
      </c>
      <c r="N144" s="1">
        <v>5478310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1387000</v>
      </c>
      <c r="U144" s="1">
        <v>0</v>
      </c>
      <c r="V144" s="1">
        <v>16371259</v>
      </c>
      <c r="W144" s="1">
        <v>1900000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3913078</v>
      </c>
      <c r="AF144" s="1">
        <v>3033762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5869618</v>
      </c>
      <c r="AM144" s="1">
        <v>0</v>
      </c>
      <c r="AN144" s="1">
        <v>0</v>
      </c>
      <c r="AO144" s="1">
        <v>109312261</v>
      </c>
      <c r="AP144" s="1">
        <v>34523368</v>
      </c>
      <c r="AQ144" s="1">
        <v>74788893</v>
      </c>
      <c r="AR144" s="1">
        <v>21255700</v>
      </c>
      <c r="AS144" s="1">
        <v>3188355</v>
      </c>
      <c r="AT144" s="1">
        <f t="shared" si="12"/>
        <v>133756316</v>
      </c>
    </row>
    <row r="145" spans="1:46" x14ac:dyDescent="0.2">
      <c r="A145" s="1" t="str">
        <f>"00171"</f>
        <v>00171</v>
      </c>
      <c r="B145" s="1" t="str">
        <f>"مريم"</f>
        <v>مريم</v>
      </c>
      <c r="C145" s="1" t="str">
        <f>"محمدي"</f>
        <v>محمدي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15253612</v>
      </c>
      <c r="G145" s="1">
        <v>0</v>
      </c>
      <c r="H145" s="1">
        <v>0</v>
      </c>
      <c r="I145" s="1">
        <v>13067364</v>
      </c>
      <c r="J145" s="1">
        <v>0</v>
      </c>
      <c r="K145" s="1">
        <v>3465000</v>
      </c>
      <c r="L145" s="1">
        <v>0</v>
      </c>
      <c r="M145" s="1">
        <v>1000000</v>
      </c>
      <c r="N145" s="1">
        <v>2816212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1387000</v>
      </c>
      <c r="U145" s="1">
        <v>0</v>
      </c>
      <c r="V145" s="1">
        <v>9213813</v>
      </c>
      <c r="W145" s="1">
        <v>1900000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2011580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6058946</v>
      </c>
      <c r="AM145" s="1">
        <v>0</v>
      </c>
      <c r="AN145" s="1">
        <v>0</v>
      </c>
      <c r="AO145" s="1">
        <v>56173527</v>
      </c>
      <c r="AP145" s="1">
        <v>41813498</v>
      </c>
      <c r="AQ145" s="1">
        <v>14360029</v>
      </c>
      <c r="AR145" s="1">
        <v>11234705</v>
      </c>
      <c r="AS145" s="1">
        <v>1685206</v>
      </c>
      <c r="AT145" s="1">
        <f t="shared" si="12"/>
        <v>69093438</v>
      </c>
    </row>
    <row r="146" spans="1:46" x14ac:dyDescent="0.2">
      <c r="A146" s="1" t="str">
        <f>"00173"</f>
        <v>00173</v>
      </c>
      <c r="B146" s="1" t="str">
        <f>"مهدي"</f>
        <v>مهدي</v>
      </c>
      <c r="C146" s="1" t="str">
        <f>"محمودي سبوكي"</f>
        <v>محمودي سبوكي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24745771</v>
      </c>
      <c r="G146" s="1">
        <v>0</v>
      </c>
      <c r="H146" s="1">
        <v>0</v>
      </c>
      <c r="I146" s="1">
        <v>22057876</v>
      </c>
      <c r="J146" s="1">
        <v>0</v>
      </c>
      <c r="K146" s="1">
        <v>4125000</v>
      </c>
      <c r="L146" s="1">
        <v>0</v>
      </c>
      <c r="M146" s="1">
        <v>1000000</v>
      </c>
      <c r="N146" s="1">
        <v>3989314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1606000</v>
      </c>
      <c r="U146" s="1">
        <v>0</v>
      </c>
      <c r="V146" s="1">
        <v>18979800</v>
      </c>
      <c r="W146" s="1">
        <v>1900000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2849510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6610863</v>
      </c>
      <c r="AM146" s="1">
        <v>0</v>
      </c>
      <c r="AN146" s="1">
        <v>0</v>
      </c>
      <c r="AO146" s="1">
        <v>87864134</v>
      </c>
      <c r="AP146" s="1">
        <v>11281636</v>
      </c>
      <c r="AQ146" s="1">
        <v>76582498</v>
      </c>
      <c r="AR146" s="1">
        <v>17572827</v>
      </c>
      <c r="AS146" s="1">
        <v>2635924</v>
      </c>
      <c r="AT146" s="1">
        <f t="shared" si="12"/>
        <v>108072885</v>
      </c>
    </row>
    <row r="147" spans="1:46" x14ac:dyDescent="0.2">
      <c r="A147" s="1" t="str">
        <f>"00174"</f>
        <v>00174</v>
      </c>
      <c r="B147" s="1" t="str">
        <f>"محمدجواد"</f>
        <v>محمدجواد</v>
      </c>
      <c r="C147" s="1" t="str">
        <f>"مرادي"</f>
        <v>مرادي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16911947</v>
      </c>
      <c r="G147" s="1">
        <v>7726199</v>
      </c>
      <c r="H147" s="1">
        <v>0</v>
      </c>
      <c r="I147" s="1">
        <v>17095475</v>
      </c>
      <c r="J147" s="1">
        <v>0</v>
      </c>
      <c r="K147" s="1">
        <v>4620000</v>
      </c>
      <c r="L147" s="1">
        <v>0</v>
      </c>
      <c r="M147" s="1">
        <v>1000000</v>
      </c>
      <c r="N147" s="1">
        <v>3396629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1606000</v>
      </c>
      <c r="U147" s="1">
        <v>0</v>
      </c>
      <c r="V147" s="1">
        <v>24084832</v>
      </c>
      <c r="W147" s="1">
        <v>1900000</v>
      </c>
      <c r="X147" s="1">
        <v>2454960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2426163</v>
      </c>
      <c r="AF147" s="1">
        <v>3033762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14293005</v>
      </c>
      <c r="AM147" s="1">
        <v>0</v>
      </c>
      <c r="AN147" s="1">
        <v>0</v>
      </c>
      <c r="AO147" s="1">
        <v>100548972</v>
      </c>
      <c r="AP147" s="1">
        <v>20516621</v>
      </c>
      <c r="AQ147" s="1">
        <v>80032351</v>
      </c>
      <c r="AR147" s="1">
        <v>19503042</v>
      </c>
      <c r="AS147" s="1">
        <v>2925456</v>
      </c>
      <c r="AT147" s="1">
        <f t="shared" si="12"/>
        <v>122977470</v>
      </c>
    </row>
    <row r="148" spans="1:46" x14ac:dyDescent="0.2">
      <c r="A148" s="1" t="str">
        <f>"00175"</f>
        <v>00175</v>
      </c>
      <c r="B148" s="1" t="str">
        <f>"امين"</f>
        <v>امين</v>
      </c>
      <c r="C148" s="1" t="str">
        <f>"سالمي"</f>
        <v>سالمي</v>
      </c>
      <c r="D148" s="1" t="str">
        <f>"قراردادي کارگري"</f>
        <v>قراردادي کارگري</v>
      </c>
      <c r="E148" s="1" t="str">
        <f>"پروژه تعميرات نيروگاه بوشهر"</f>
        <v>پروژه تعميرات نيروگاه بوشهر</v>
      </c>
      <c r="F148" s="1">
        <v>7160742</v>
      </c>
      <c r="G148" s="1">
        <v>3861176</v>
      </c>
      <c r="H148" s="1">
        <v>0</v>
      </c>
      <c r="I148" s="1">
        <v>5442164</v>
      </c>
      <c r="J148" s="1">
        <v>0</v>
      </c>
      <c r="K148" s="1">
        <v>0</v>
      </c>
      <c r="L148" s="1">
        <v>7672721</v>
      </c>
      <c r="M148" s="1">
        <v>1000000</v>
      </c>
      <c r="N148" s="1">
        <v>3768813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6354660</v>
      </c>
      <c r="W148" s="1">
        <v>1900000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3606666</v>
      </c>
      <c r="AE148" s="1">
        <v>0</v>
      </c>
      <c r="AF148" s="1">
        <v>4550643</v>
      </c>
      <c r="AG148" s="1">
        <v>0</v>
      </c>
      <c r="AH148" s="1">
        <v>0</v>
      </c>
      <c r="AI148" s="1">
        <v>0</v>
      </c>
      <c r="AJ148" s="1">
        <v>4118588</v>
      </c>
      <c r="AK148" s="1">
        <v>0</v>
      </c>
      <c r="AL148" s="1">
        <v>0</v>
      </c>
      <c r="AM148" s="1">
        <v>0</v>
      </c>
      <c r="AN148" s="1">
        <v>0</v>
      </c>
      <c r="AO148" s="1">
        <v>49436173</v>
      </c>
      <c r="AP148" s="1">
        <v>4587406</v>
      </c>
      <c r="AQ148" s="1">
        <v>44848767</v>
      </c>
      <c r="AR148" s="1">
        <v>8977106</v>
      </c>
      <c r="AS148" s="1">
        <v>1346566</v>
      </c>
      <c r="AT148" s="1">
        <f t="shared" si="12"/>
        <v>59759845</v>
      </c>
    </row>
    <row r="149" spans="1:46" x14ac:dyDescent="0.2">
      <c r="A149" s="1" t="str">
        <f>"00176"</f>
        <v>00176</v>
      </c>
      <c r="B149" s="1" t="str">
        <f>"محمد"</f>
        <v>محمد</v>
      </c>
      <c r="C149" s="1" t="str">
        <f>"مشتاقي"</f>
        <v>مشتاقي</v>
      </c>
      <c r="D149" s="1" t="str">
        <f t="shared" ref="D149:D169" si="13">"قراردادي بهره بردار"</f>
        <v>قراردادي بهره بردار</v>
      </c>
      <c r="E149" s="1" t="str">
        <f t="shared" ref="E149:E164" si="14">"پروژه بهره برداري نيروگاه بوشهر"</f>
        <v>پروژه بهره برداري نيروگاه بوشهر</v>
      </c>
      <c r="F149" s="1">
        <v>25959400</v>
      </c>
      <c r="G149" s="1">
        <v>10444272</v>
      </c>
      <c r="H149" s="1">
        <v>0</v>
      </c>
      <c r="I149" s="1">
        <v>27692916</v>
      </c>
      <c r="J149" s="1">
        <v>0</v>
      </c>
      <c r="K149" s="1">
        <v>5500000</v>
      </c>
      <c r="L149" s="1">
        <v>0</v>
      </c>
      <c r="M149" s="1">
        <v>1000000</v>
      </c>
      <c r="N149" s="1">
        <v>3982413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1606000</v>
      </c>
      <c r="U149" s="1">
        <v>0</v>
      </c>
      <c r="V149" s="1">
        <v>6727739</v>
      </c>
      <c r="W149" s="1">
        <v>1900000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3384580</v>
      </c>
      <c r="AD149" s="1">
        <v>0</v>
      </c>
      <c r="AE149" s="1">
        <v>2844581</v>
      </c>
      <c r="AF149" s="1">
        <v>3033762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3413497</v>
      </c>
      <c r="AM149" s="1">
        <v>0</v>
      </c>
      <c r="AN149" s="1">
        <v>0</v>
      </c>
      <c r="AO149" s="1">
        <v>97489160</v>
      </c>
      <c r="AP149" s="1">
        <v>26425117</v>
      </c>
      <c r="AQ149" s="1">
        <v>71064043</v>
      </c>
      <c r="AR149" s="1">
        <v>18891080</v>
      </c>
      <c r="AS149" s="1">
        <v>2833662</v>
      </c>
      <c r="AT149" s="1">
        <f t="shared" si="12"/>
        <v>119213902</v>
      </c>
    </row>
    <row r="150" spans="1:46" x14ac:dyDescent="0.2">
      <c r="A150" s="1" t="str">
        <f>"00177"</f>
        <v>00177</v>
      </c>
      <c r="B150" s="1" t="str">
        <f>"ولي"</f>
        <v>ولي</v>
      </c>
      <c r="C150" s="1" t="str">
        <f>"مشكل گشا فرد"</f>
        <v>مشكل گشا فرد</v>
      </c>
      <c r="D150" s="1" t="str">
        <f t="shared" si="13"/>
        <v>قراردادي بهره بردار</v>
      </c>
      <c r="E150" s="1" t="str">
        <f t="shared" si="14"/>
        <v>پروژه بهره برداري نيروگاه بوشهر</v>
      </c>
      <c r="F150" s="1">
        <v>25448975</v>
      </c>
      <c r="G150" s="1">
        <v>5320121</v>
      </c>
      <c r="H150" s="1">
        <v>0</v>
      </c>
      <c r="I150" s="1">
        <v>22287197</v>
      </c>
      <c r="J150" s="1">
        <v>0</v>
      </c>
      <c r="K150" s="1">
        <v>4125000</v>
      </c>
      <c r="L150" s="1">
        <v>0</v>
      </c>
      <c r="M150" s="1">
        <v>1000000</v>
      </c>
      <c r="N150" s="1">
        <v>4235435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1387000</v>
      </c>
      <c r="U150" s="1">
        <v>0</v>
      </c>
      <c r="V150" s="1">
        <v>14346172</v>
      </c>
      <c r="W150" s="1">
        <v>1900000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3025311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6050621</v>
      </c>
      <c r="AM150" s="1">
        <v>0</v>
      </c>
      <c r="AN150" s="1">
        <v>0</v>
      </c>
      <c r="AO150" s="1">
        <v>89125832</v>
      </c>
      <c r="AP150" s="1">
        <v>11434812</v>
      </c>
      <c r="AQ150" s="1">
        <v>77691020</v>
      </c>
      <c r="AR150" s="1">
        <v>17825166</v>
      </c>
      <c r="AS150" s="1">
        <v>2673775</v>
      </c>
      <c r="AT150" s="1">
        <f t="shared" si="12"/>
        <v>109624773</v>
      </c>
    </row>
    <row r="151" spans="1:46" x14ac:dyDescent="0.2">
      <c r="A151" s="1" t="str">
        <f>"00178"</f>
        <v>00178</v>
      </c>
      <c r="B151" s="1" t="str">
        <f>"محسن"</f>
        <v>محسن</v>
      </c>
      <c r="C151" s="1" t="str">
        <f>"منجزي"</f>
        <v>منجزي</v>
      </c>
      <c r="D151" s="1" t="str">
        <f t="shared" si="13"/>
        <v>قراردادي بهره بردار</v>
      </c>
      <c r="E151" s="1" t="str">
        <f t="shared" si="14"/>
        <v>پروژه بهره برداري نيروگاه بوشهر</v>
      </c>
      <c r="F151" s="1">
        <v>15128744</v>
      </c>
      <c r="G151" s="1">
        <v>5447561</v>
      </c>
      <c r="H151" s="1">
        <v>0</v>
      </c>
      <c r="I151" s="1">
        <v>13556919</v>
      </c>
      <c r="J151" s="1">
        <v>0</v>
      </c>
      <c r="K151" s="1">
        <v>4620000</v>
      </c>
      <c r="L151" s="1">
        <v>0</v>
      </c>
      <c r="M151" s="1">
        <v>1000000</v>
      </c>
      <c r="N151" s="1">
        <v>2772508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1387000</v>
      </c>
      <c r="U151" s="1">
        <v>0</v>
      </c>
      <c r="V151" s="1">
        <v>10492733</v>
      </c>
      <c r="W151" s="1">
        <v>1900000</v>
      </c>
      <c r="X151" s="1">
        <v>2196108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1980363</v>
      </c>
      <c r="AF151" s="1">
        <v>1516881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11211394</v>
      </c>
      <c r="AM151" s="1">
        <v>0</v>
      </c>
      <c r="AN151" s="1">
        <v>0</v>
      </c>
      <c r="AO151" s="1">
        <v>73210211</v>
      </c>
      <c r="AP151" s="1">
        <v>32206979</v>
      </c>
      <c r="AQ151" s="1">
        <v>41003232</v>
      </c>
      <c r="AR151" s="1">
        <v>14338666</v>
      </c>
      <c r="AS151" s="1">
        <v>2150800</v>
      </c>
      <c r="AT151" s="1">
        <f t="shared" si="12"/>
        <v>89699677</v>
      </c>
    </row>
    <row r="152" spans="1:46" x14ac:dyDescent="0.2">
      <c r="A152" s="1" t="str">
        <f>"00179"</f>
        <v>00179</v>
      </c>
      <c r="B152" s="1" t="str">
        <f>"مهدي"</f>
        <v>مهدي</v>
      </c>
      <c r="C152" s="1" t="str">
        <f>"منصوري مهريان"</f>
        <v>منصوري مهريان</v>
      </c>
      <c r="D152" s="1" t="str">
        <f t="shared" si="13"/>
        <v>قراردادي بهره بردار</v>
      </c>
      <c r="E152" s="1" t="str">
        <f t="shared" si="14"/>
        <v>پروژه بهره برداري نيروگاه بوشهر</v>
      </c>
      <c r="F152" s="1">
        <v>16219696</v>
      </c>
      <c r="G152" s="1">
        <v>9529187</v>
      </c>
      <c r="H152" s="1">
        <v>0</v>
      </c>
      <c r="I152" s="1">
        <v>15376032</v>
      </c>
      <c r="J152" s="1">
        <v>0</v>
      </c>
      <c r="K152" s="1">
        <v>4620000</v>
      </c>
      <c r="L152" s="1">
        <v>0</v>
      </c>
      <c r="M152" s="1">
        <v>1000000</v>
      </c>
      <c r="N152" s="1">
        <v>3154341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1387000</v>
      </c>
      <c r="U152" s="1">
        <v>0</v>
      </c>
      <c r="V152" s="1">
        <v>11680130</v>
      </c>
      <c r="W152" s="1">
        <v>1900000</v>
      </c>
      <c r="X152" s="1">
        <v>2354472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2253101</v>
      </c>
      <c r="AF152" s="1">
        <v>3033762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12699514</v>
      </c>
      <c r="AM152" s="1">
        <v>0</v>
      </c>
      <c r="AN152" s="1">
        <v>0</v>
      </c>
      <c r="AO152" s="1">
        <v>85207235</v>
      </c>
      <c r="AP152" s="1">
        <v>46167522</v>
      </c>
      <c r="AQ152" s="1">
        <v>39039713</v>
      </c>
      <c r="AR152" s="1">
        <v>16434695</v>
      </c>
      <c r="AS152" s="1">
        <v>2465204</v>
      </c>
      <c r="AT152" s="1">
        <f t="shared" si="12"/>
        <v>104107134</v>
      </c>
    </row>
    <row r="153" spans="1:46" x14ac:dyDescent="0.2">
      <c r="A153" s="1" t="str">
        <f>"00180"</f>
        <v>00180</v>
      </c>
      <c r="B153" s="1" t="str">
        <f>"سيد حميد"</f>
        <v>سيد حميد</v>
      </c>
      <c r="C153" s="1" t="str">
        <f>"موسوي اعظم"</f>
        <v>موسوي اعظم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15974341</v>
      </c>
      <c r="G153" s="1">
        <v>5813494</v>
      </c>
      <c r="H153" s="1">
        <v>0</v>
      </c>
      <c r="I153" s="1">
        <v>14600174</v>
      </c>
      <c r="J153" s="1">
        <v>0</v>
      </c>
      <c r="K153" s="1">
        <v>4620000</v>
      </c>
      <c r="L153" s="1">
        <v>0</v>
      </c>
      <c r="M153" s="1">
        <v>1000000</v>
      </c>
      <c r="N153" s="1">
        <v>3068467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1387000</v>
      </c>
      <c r="U153" s="1">
        <v>0</v>
      </c>
      <c r="V153" s="1">
        <v>11197569</v>
      </c>
      <c r="W153" s="1">
        <v>1900000</v>
      </c>
      <c r="X153" s="1">
        <v>2318856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2191762</v>
      </c>
      <c r="AF153" s="1">
        <v>1516881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11814484</v>
      </c>
      <c r="AM153" s="1">
        <v>0</v>
      </c>
      <c r="AN153" s="1">
        <v>0</v>
      </c>
      <c r="AO153" s="1">
        <v>77403028</v>
      </c>
      <c r="AP153" s="1">
        <v>13995421</v>
      </c>
      <c r="AQ153" s="1">
        <v>63407607</v>
      </c>
      <c r="AR153" s="1">
        <v>15177229</v>
      </c>
      <c r="AS153" s="1">
        <v>2276584</v>
      </c>
      <c r="AT153" s="1">
        <f t="shared" si="12"/>
        <v>94856841</v>
      </c>
    </row>
    <row r="154" spans="1:46" x14ac:dyDescent="0.2">
      <c r="A154" s="1" t="str">
        <f>"00181"</f>
        <v>00181</v>
      </c>
      <c r="B154" s="1" t="str">
        <f>"داود"</f>
        <v>داود</v>
      </c>
      <c r="C154" s="1" t="str">
        <f>"موسوي جهان آباد"</f>
        <v>موسوي جهان آباد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15919575</v>
      </c>
      <c r="G154" s="1">
        <v>7139695</v>
      </c>
      <c r="H154" s="1">
        <v>0</v>
      </c>
      <c r="I154" s="1">
        <v>15815190</v>
      </c>
      <c r="J154" s="1">
        <v>0</v>
      </c>
      <c r="K154" s="1">
        <v>4620000</v>
      </c>
      <c r="L154" s="1">
        <v>0</v>
      </c>
      <c r="M154" s="1">
        <v>1000000</v>
      </c>
      <c r="N154" s="1">
        <v>3049298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1606000</v>
      </c>
      <c r="U154" s="1">
        <v>0</v>
      </c>
      <c r="V154" s="1">
        <v>22256530</v>
      </c>
      <c r="W154" s="1">
        <v>1900000</v>
      </c>
      <c r="X154" s="1">
        <v>2310906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2178070</v>
      </c>
      <c r="AF154" s="1">
        <v>1516881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13052540</v>
      </c>
      <c r="AM154" s="1">
        <v>0</v>
      </c>
      <c r="AN154" s="1">
        <v>0</v>
      </c>
      <c r="AO154" s="1">
        <v>92364685</v>
      </c>
      <c r="AP154" s="1">
        <v>39287736</v>
      </c>
      <c r="AQ154" s="1">
        <v>53076949</v>
      </c>
      <c r="AR154" s="1">
        <v>18169561</v>
      </c>
      <c r="AS154" s="1">
        <v>2725434</v>
      </c>
      <c r="AT154" s="1">
        <f t="shared" si="12"/>
        <v>113259680</v>
      </c>
    </row>
    <row r="155" spans="1:46" x14ac:dyDescent="0.2">
      <c r="A155" s="1" t="str">
        <f>"00182"</f>
        <v>00182</v>
      </c>
      <c r="B155" s="1" t="str">
        <f>"ابوالفضل"</f>
        <v>ابوالفضل</v>
      </c>
      <c r="C155" s="1" t="str">
        <f>"موسي زاده"</f>
        <v>موسي زاده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24303256</v>
      </c>
      <c r="G155" s="1">
        <v>10842144</v>
      </c>
      <c r="H155" s="1">
        <v>0</v>
      </c>
      <c r="I155" s="1">
        <v>20722512</v>
      </c>
      <c r="J155" s="1">
        <v>0</v>
      </c>
      <c r="K155" s="1">
        <v>5500000</v>
      </c>
      <c r="L155" s="1">
        <v>0</v>
      </c>
      <c r="M155" s="1">
        <v>1000000</v>
      </c>
      <c r="N155" s="1">
        <v>3834433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1387000</v>
      </c>
      <c r="U155" s="1">
        <v>0</v>
      </c>
      <c r="V155" s="1">
        <v>21650339</v>
      </c>
      <c r="W155" s="1">
        <v>1900000</v>
      </c>
      <c r="X155" s="1">
        <v>3527892</v>
      </c>
      <c r="Y155" s="1">
        <v>0</v>
      </c>
      <c r="Z155" s="1">
        <v>0</v>
      </c>
      <c r="AA155" s="1">
        <v>0</v>
      </c>
      <c r="AB155" s="1">
        <v>0</v>
      </c>
      <c r="AC155" s="1">
        <v>3877480</v>
      </c>
      <c r="AD155" s="1">
        <v>0</v>
      </c>
      <c r="AE155" s="1">
        <v>2738881</v>
      </c>
      <c r="AF155" s="1">
        <v>1516881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13254672</v>
      </c>
      <c r="AM155" s="1">
        <v>0</v>
      </c>
      <c r="AN155" s="1">
        <v>0</v>
      </c>
      <c r="AO155" s="1">
        <v>116055490</v>
      </c>
      <c r="AP155" s="1">
        <v>35966329</v>
      </c>
      <c r="AQ155" s="1">
        <v>80089161</v>
      </c>
      <c r="AR155" s="1">
        <v>22907722</v>
      </c>
      <c r="AS155" s="1">
        <v>3436158</v>
      </c>
      <c r="AT155" s="1">
        <f t="shared" si="12"/>
        <v>142399370</v>
      </c>
    </row>
    <row r="156" spans="1:46" x14ac:dyDescent="0.2">
      <c r="A156" s="1" t="str">
        <f>"00183"</f>
        <v>00183</v>
      </c>
      <c r="B156" s="1" t="str">
        <f>"مجتبي"</f>
        <v>مجتبي</v>
      </c>
      <c r="C156" s="1" t="str">
        <f>"مومني آزاد"</f>
        <v>مومني آزاد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21172793</v>
      </c>
      <c r="G156" s="1">
        <v>5110282</v>
      </c>
      <c r="H156" s="1">
        <v>0</v>
      </c>
      <c r="I156" s="1">
        <v>16803535</v>
      </c>
      <c r="J156" s="1">
        <v>0</v>
      </c>
      <c r="K156" s="1">
        <v>5500000</v>
      </c>
      <c r="L156" s="1">
        <v>0</v>
      </c>
      <c r="M156" s="1">
        <v>1000000</v>
      </c>
      <c r="N156" s="1">
        <v>2982593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1387000</v>
      </c>
      <c r="U156" s="1">
        <v>0</v>
      </c>
      <c r="V156" s="1">
        <v>4702597</v>
      </c>
      <c r="W156" s="1">
        <v>1900000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2130423</v>
      </c>
      <c r="AF156" s="1">
        <v>1516881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3936628</v>
      </c>
      <c r="AM156" s="1">
        <v>0</v>
      </c>
      <c r="AN156" s="1">
        <v>0</v>
      </c>
      <c r="AO156" s="1">
        <v>68142732</v>
      </c>
      <c r="AP156" s="1">
        <v>29198245</v>
      </c>
      <c r="AQ156" s="1">
        <v>38944487</v>
      </c>
      <c r="AR156" s="1">
        <v>13325170</v>
      </c>
      <c r="AS156" s="1">
        <v>1998776</v>
      </c>
      <c r="AT156" s="1">
        <f t="shared" si="12"/>
        <v>83466678</v>
      </c>
    </row>
    <row r="157" spans="1:46" x14ac:dyDescent="0.2">
      <c r="A157" s="1" t="str">
        <f>"00184"</f>
        <v>00184</v>
      </c>
      <c r="B157" s="1" t="str">
        <f>"ميثم"</f>
        <v>ميثم</v>
      </c>
      <c r="C157" s="1" t="str">
        <f>"ناطقي جهرمي"</f>
        <v>ناطقي جهرمي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22890276</v>
      </c>
      <c r="G157" s="1">
        <v>845019</v>
      </c>
      <c r="H157" s="1">
        <v>0</v>
      </c>
      <c r="I157" s="1">
        <v>21831763</v>
      </c>
      <c r="J157" s="1">
        <v>0</v>
      </c>
      <c r="K157" s="1">
        <v>5500000</v>
      </c>
      <c r="L157" s="1">
        <v>0</v>
      </c>
      <c r="M157" s="1">
        <v>1000000</v>
      </c>
      <c r="N157" s="1">
        <v>3583712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1606000</v>
      </c>
      <c r="U157" s="1">
        <v>0</v>
      </c>
      <c r="V157" s="1">
        <v>5443238</v>
      </c>
      <c r="W157" s="1">
        <v>1900000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2559794</v>
      </c>
      <c r="AF157" s="1">
        <v>1516881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3566843</v>
      </c>
      <c r="AM157" s="1">
        <v>0</v>
      </c>
      <c r="AN157" s="1">
        <v>0</v>
      </c>
      <c r="AO157" s="1">
        <v>72243526</v>
      </c>
      <c r="AP157" s="1">
        <v>30548321</v>
      </c>
      <c r="AQ157" s="1">
        <v>41695205</v>
      </c>
      <c r="AR157" s="1">
        <v>14145329</v>
      </c>
      <c r="AS157" s="1">
        <v>2121799</v>
      </c>
      <c r="AT157" s="1">
        <f t="shared" si="12"/>
        <v>88510654</v>
      </c>
    </row>
    <row r="158" spans="1:46" x14ac:dyDescent="0.2">
      <c r="A158" s="1" t="str">
        <f>"00185"</f>
        <v>00185</v>
      </c>
      <c r="B158" s="1" t="str">
        <f>"حميدرضا"</f>
        <v>حميدرضا</v>
      </c>
      <c r="C158" s="1" t="str">
        <f>"نظري"</f>
        <v>نظري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15277709</v>
      </c>
      <c r="G158" s="1">
        <v>4172542</v>
      </c>
      <c r="H158" s="1">
        <v>0</v>
      </c>
      <c r="I158" s="1">
        <v>14304670</v>
      </c>
      <c r="J158" s="1">
        <v>0</v>
      </c>
      <c r="K158" s="1">
        <v>4620000</v>
      </c>
      <c r="L158" s="1">
        <v>0</v>
      </c>
      <c r="M158" s="1">
        <v>1000000</v>
      </c>
      <c r="N158" s="1">
        <v>2824646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1606000</v>
      </c>
      <c r="U158" s="1">
        <v>0</v>
      </c>
      <c r="V158" s="1">
        <v>20075300</v>
      </c>
      <c r="W158" s="1">
        <v>1900000</v>
      </c>
      <c r="X158" s="1">
        <v>2217732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2017604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11201054</v>
      </c>
      <c r="AM158" s="1">
        <v>0</v>
      </c>
      <c r="AN158" s="1">
        <v>0</v>
      </c>
      <c r="AO158" s="1">
        <v>81217257</v>
      </c>
      <c r="AP158" s="1">
        <v>34484701</v>
      </c>
      <c r="AQ158" s="1">
        <v>46732556</v>
      </c>
      <c r="AR158" s="1">
        <v>16243451</v>
      </c>
      <c r="AS158" s="1">
        <v>2436518</v>
      </c>
      <c r="AT158" s="1">
        <f t="shared" si="12"/>
        <v>99897226</v>
      </c>
    </row>
    <row r="159" spans="1:46" x14ac:dyDescent="0.2">
      <c r="A159" s="1" t="str">
        <f>"00186"</f>
        <v>00186</v>
      </c>
      <c r="B159" s="1" t="str">
        <f>"محمدرضا"</f>
        <v>محمدرضا</v>
      </c>
      <c r="C159" s="1" t="str">
        <f>"نقي مرام ساوه"</f>
        <v>نقي مرام ساوه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16024727</v>
      </c>
      <c r="G159" s="1">
        <v>3662166</v>
      </c>
      <c r="H159" s="1">
        <v>0</v>
      </c>
      <c r="I159" s="1">
        <v>14700923</v>
      </c>
      <c r="J159" s="1">
        <v>0</v>
      </c>
      <c r="K159" s="1">
        <v>3465000</v>
      </c>
      <c r="L159" s="1">
        <v>0</v>
      </c>
      <c r="M159" s="1">
        <v>1000000</v>
      </c>
      <c r="N159" s="1">
        <v>3086102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1606000</v>
      </c>
      <c r="U159" s="1">
        <v>0</v>
      </c>
      <c r="V159" s="1">
        <v>16818838</v>
      </c>
      <c r="W159" s="1">
        <v>1900000</v>
      </c>
      <c r="X159" s="1">
        <v>2326170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2204358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12037713</v>
      </c>
      <c r="AM159" s="1">
        <v>0</v>
      </c>
      <c r="AN159" s="1">
        <v>0</v>
      </c>
      <c r="AO159" s="1">
        <v>78831997</v>
      </c>
      <c r="AP159" s="1">
        <v>28479024</v>
      </c>
      <c r="AQ159" s="1">
        <v>50352973</v>
      </c>
      <c r="AR159" s="1">
        <v>15766399</v>
      </c>
      <c r="AS159" s="1">
        <v>2364960</v>
      </c>
      <c r="AT159" s="1">
        <f t="shared" si="12"/>
        <v>96963356</v>
      </c>
    </row>
    <row r="160" spans="1:46" x14ac:dyDescent="0.2">
      <c r="A160" s="1" t="str">
        <f>"00187"</f>
        <v>00187</v>
      </c>
      <c r="B160" s="1" t="str">
        <f>"حامد"</f>
        <v>حامد</v>
      </c>
      <c r="C160" s="1" t="str">
        <f>"نگهبان"</f>
        <v>نگهبان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15523064</v>
      </c>
      <c r="G160" s="1">
        <v>0</v>
      </c>
      <c r="H160" s="1">
        <v>0</v>
      </c>
      <c r="I160" s="1">
        <v>13606833</v>
      </c>
      <c r="J160" s="1">
        <v>0</v>
      </c>
      <c r="K160" s="1">
        <v>4620000</v>
      </c>
      <c r="L160" s="1">
        <v>0</v>
      </c>
      <c r="M160" s="1">
        <v>1000000</v>
      </c>
      <c r="N160" s="1">
        <v>2910520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1606000</v>
      </c>
      <c r="U160" s="1">
        <v>0</v>
      </c>
      <c r="V160" s="1">
        <v>10750933</v>
      </c>
      <c r="W160" s="1">
        <v>1900000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2078943</v>
      </c>
      <c r="AF160" s="1">
        <v>1516881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6450199</v>
      </c>
      <c r="AM160" s="1">
        <v>0</v>
      </c>
      <c r="AN160" s="1">
        <v>0</v>
      </c>
      <c r="AO160" s="1">
        <v>61963373</v>
      </c>
      <c r="AP160" s="1">
        <v>6653866</v>
      </c>
      <c r="AQ160" s="1">
        <v>55309507</v>
      </c>
      <c r="AR160" s="1">
        <v>12089298</v>
      </c>
      <c r="AS160" s="1">
        <v>1813395</v>
      </c>
      <c r="AT160" s="1">
        <f t="shared" si="12"/>
        <v>75866066</v>
      </c>
    </row>
    <row r="161" spans="1:46" x14ac:dyDescent="0.2">
      <c r="A161" s="1" t="str">
        <f>"00188"</f>
        <v>00188</v>
      </c>
      <c r="B161" s="1" t="str">
        <f>"عيسي"</f>
        <v>عيسي</v>
      </c>
      <c r="C161" s="1" t="str">
        <f>"نواصري"</f>
        <v>نواصري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15571259</v>
      </c>
      <c r="G161" s="1">
        <v>16906754</v>
      </c>
      <c r="H161" s="1">
        <v>0</v>
      </c>
      <c r="I161" s="1">
        <v>14541979</v>
      </c>
      <c r="J161" s="1">
        <v>0</v>
      </c>
      <c r="K161" s="1">
        <v>4620000</v>
      </c>
      <c r="L161" s="1">
        <v>0</v>
      </c>
      <c r="M161" s="1">
        <v>1000000</v>
      </c>
      <c r="N161" s="1">
        <v>2927388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1606000</v>
      </c>
      <c r="U161" s="1">
        <v>0</v>
      </c>
      <c r="V161" s="1">
        <v>11119645</v>
      </c>
      <c r="W161" s="1">
        <v>1900000</v>
      </c>
      <c r="X161" s="1">
        <v>2061799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2090991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12186021</v>
      </c>
      <c r="AM161" s="1">
        <v>0</v>
      </c>
      <c r="AN161" s="1">
        <v>0</v>
      </c>
      <c r="AO161" s="1">
        <v>86531836</v>
      </c>
      <c r="AP161" s="1">
        <v>10852520</v>
      </c>
      <c r="AQ161" s="1">
        <v>75679316</v>
      </c>
      <c r="AR161" s="1">
        <v>17306367</v>
      </c>
      <c r="AS161" s="1">
        <v>2595955</v>
      </c>
      <c r="AT161" s="1">
        <f t="shared" si="12"/>
        <v>106434158</v>
      </c>
    </row>
    <row r="162" spans="1:46" x14ac:dyDescent="0.2">
      <c r="A162" s="1" t="str">
        <f>"00190"</f>
        <v>00190</v>
      </c>
      <c r="B162" s="1" t="str">
        <f>"بهاره"</f>
        <v>بهاره</v>
      </c>
      <c r="C162" s="1" t="str">
        <f>"ياسي"</f>
        <v>ياسي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24263824</v>
      </c>
      <c r="G162" s="1">
        <v>0</v>
      </c>
      <c r="H162" s="1">
        <v>0</v>
      </c>
      <c r="I162" s="1">
        <v>20811562</v>
      </c>
      <c r="J162" s="1">
        <v>0</v>
      </c>
      <c r="K162" s="1">
        <v>4125000</v>
      </c>
      <c r="L162" s="1">
        <v>0</v>
      </c>
      <c r="M162" s="1">
        <v>1000000</v>
      </c>
      <c r="N162" s="1">
        <v>3820632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1606000</v>
      </c>
      <c r="U162" s="1">
        <v>0</v>
      </c>
      <c r="V162" s="1">
        <v>7322585</v>
      </c>
      <c r="W162" s="1">
        <v>1900000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2729023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4702540</v>
      </c>
      <c r="AM162" s="1">
        <v>0</v>
      </c>
      <c r="AN162" s="1">
        <v>0</v>
      </c>
      <c r="AO162" s="1">
        <v>72281166</v>
      </c>
      <c r="AP162" s="1">
        <v>13431826</v>
      </c>
      <c r="AQ162" s="1">
        <v>58849340</v>
      </c>
      <c r="AR162" s="1">
        <v>14456233</v>
      </c>
      <c r="AS162" s="1">
        <v>2168435</v>
      </c>
      <c r="AT162" s="1">
        <f t="shared" si="12"/>
        <v>88905834</v>
      </c>
    </row>
    <row r="163" spans="1:46" x14ac:dyDescent="0.2">
      <c r="A163" s="1" t="str">
        <f>"00191"</f>
        <v>00191</v>
      </c>
      <c r="B163" s="1" t="str">
        <f>"سيد امير"</f>
        <v>سيد امير</v>
      </c>
      <c r="C163" s="1" t="str">
        <f>"يزدگردي"</f>
        <v>يزدگردي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15768419</v>
      </c>
      <c r="G163" s="1">
        <v>3345713</v>
      </c>
      <c r="H163" s="1">
        <v>0</v>
      </c>
      <c r="I163" s="1">
        <v>14381487</v>
      </c>
      <c r="J163" s="1">
        <v>0</v>
      </c>
      <c r="K163" s="1">
        <v>4620000</v>
      </c>
      <c r="L163" s="1">
        <v>0</v>
      </c>
      <c r="M163" s="1">
        <v>1000000</v>
      </c>
      <c r="N163" s="1">
        <v>2996394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1606000</v>
      </c>
      <c r="U163" s="1">
        <v>0</v>
      </c>
      <c r="V163" s="1">
        <v>20696381</v>
      </c>
      <c r="W163" s="1">
        <v>1900000</v>
      </c>
      <c r="X163" s="1">
        <v>2288964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2140281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11750648</v>
      </c>
      <c r="AM163" s="1">
        <v>0</v>
      </c>
      <c r="AN163" s="1">
        <v>0</v>
      </c>
      <c r="AO163" s="1">
        <v>82494287</v>
      </c>
      <c r="AP163" s="1">
        <v>25599975</v>
      </c>
      <c r="AQ163" s="1">
        <v>56894312</v>
      </c>
      <c r="AR163" s="1">
        <v>16498857</v>
      </c>
      <c r="AS163" s="1">
        <v>2474829</v>
      </c>
      <c r="AT163" s="1">
        <f t="shared" si="12"/>
        <v>101467973</v>
      </c>
    </row>
    <row r="164" spans="1:46" x14ac:dyDescent="0.2">
      <c r="A164" s="1" t="str">
        <f>"00192"</f>
        <v>00192</v>
      </c>
      <c r="B164" s="1" t="str">
        <f>"مرجان"</f>
        <v>مرجان</v>
      </c>
      <c r="C164" s="1" t="str">
        <f>"تقدسي"</f>
        <v>تقدسي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24239727</v>
      </c>
      <c r="G164" s="1">
        <v>0</v>
      </c>
      <c r="H164" s="1">
        <v>0</v>
      </c>
      <c r="I164" s="1">
        <v>20991204</v>
      </c>
      <c r="J164" s="1">
        <v>1100000</v>
      </c>
      <c r="K164" s="1">
        <v>4125000</v>
      </c>
      <c r="L164" s="1">
        <v>0</v>
      </c>
      <c r="M164" s="1">
        <v>1000000</v>
      </c>
      <c r="N164" s="1">
        <v>3812198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4818000</v>
      </c>
      <c r="U164" s="1">
        <v>0</v>
      </c>
      <c r="V164" s="1">
        <v>11542923</v>
      </c>
      <c r="W164" s="1">
        <v>1900000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2722999</v>
      </c>
      <c r="AF164" s="1">
        <v>3033762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4540814</v>
      </c>
      <c r="AM164" s="1">
        <v>0</v>
      </c>
      <c r="AN164" s="1">
        <v>0</v>
      </c>
      <c r="AO164" s="1">
        <v>83826627</v>
      </c>
      <c r="AP164" s="1">
        <v>16361776</v>
      </c>
      <c r="AQ164" s="1">
        <v>67464851</v>
      </c>
      <c r="AR164" s="1">
        <v>15938573</v>
      </c>
      <c r="AS164" s="1">
        <v>2390786</v>
      </c>
      <c r="AT164" s="1">
        <f t="shared" si="12"/>
        <v>102155986</v>
      </c>
    </row>
    <row r="165" spans="1:46" x14ac:dyDescent="0.2">
      <c r="A165" s="1" t="str">
        <f>"00193"</f>
        <v>00193</v>
      </c>
      <c r="B165" s="1" t="str">
        <f>"جلال"</f>
        <v>جلال</v>
      </c>
      <c r="C165" s="1" t="str">
        <f>"احتشام منش"</f>
        <v>احتشام منش</v>
      </c>
      <c r="D165" s="1" t="str">
        <f t="shared" si="13"/>
        <v>قراردادي بهره بردار</v>
      </c>
      <c r="E165" s="1" t="str">
        <f>"پروژه تعميرات نيروگاه بوشهر"</f>
        <v>پروژه تعميرات نيروگاه بوشهر</v>
      </c>
      <c r="F165" s="1">
        <v>19788292</v>
      </c>
      <c r="G165" s="1">
        <v>3379526</v>
      </c>
      <c r="H165" s="1">
        <v>0</v>
      </c>
      <c r="I165" s="1">
        <v>15744790</v>
      </c>
      <c r="J165" s="1">
        <v>0</v>
      </c>
      <c r="K165" s="1">
        <v>5500000</v>
      </c>
      <c r="L165" s="1">
        <v>0</v>
      </c>
      <c r="M165" s="1">
        <v>1000000</v>
      </c>
      <c r="N165" s="1">
        <v>3567610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1387000</v>
      </c>
      <c r="U165" s="1">
        <v>0</v>
      </c>
      <c r="V165" s="1">
        <v>4837648</v>
      </c>
      <c r="W165" s="1">
        <v>1900000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2548293</v>
      </c>
      <c r="AF165" s="1">
        <v>1516881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6727494</v>
      </c>
      <c r="AM165" s="1">
        <v>0</v>
      </c>
      <c r="AN165" s="1">
        <v>0</v>
      </c>
      <c r="AO165" s="1">
        <v>67897534</v>
      </c>
      <c r="AP165" s="1">
        <v>8840613</v>
      </c>
      <c r="AQ165" s="1">
        <v>59056921</v>
      </c>
      <c r="AR165" s="1">
        <v>13276131</v>
      </c>
      <c r="AS165" s="1">
        <v>1991420</v>
      </c>
      <c r="AT165" s="1">
        <f t="shared" si="12"/>
        <v>83165085</v>
      </c>
    </row>
    <row r="166" spans="1:46" x14ac:dyDescent="0.2">
      <c r="A166" s="1" t="str">
        <f>"00194"</f>
        <v>00194</v>
      </c>
      <c r="B166" s="1" t="str">
        <f>"الهام"</f>
        <v>الهام</v>
      </c>
      <c r="C166" s="1" t="str">
        <f>"خليلي مقدم"</f>
        <v>خليلي مقدم</v>
      </c>
      <c r="D166" s="1" t="str">
        <f t="shared" si="13"/>
        <v>قراردادي بهره بردار</v>
      </c>
      <c r="E166" s="1" t="str">
        <f>"پروژه بهره برداري نيروگاه بوشهر"</f>
        <v>پروژه بهره برداري نيروگاه بوشهر</v>
      </c>
      <c r="F166" s="1">
        <v>15242659</v>
      </c>
      <c r="G166" s="1">
        <v>2446718</v>
      </c>
      <c r="H166" s="1">
        <v>0</v>
      </c>
      <c r="I166" s="1">
        <v>13465256</v>
      </c>
      <c r="J166" s="1">
        <v>1100000</v>
      </c>
      <c r="K166" s="1">
        <v>3465000</v>
      </c>
      <c r="L166" s="1">
        <v>0</v>
      </c>
      <c r="M166" s="1">
        <v>1000000</v>
      </c>
      <c r="N166" s="1">
        <v>2812378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1606000</v>
      </c>
      <c r="U166" s="1">
        <v>0</v>
      </c>
      <c r="V166" s="1">
        <v>9425414</v>
      </c>
      <c r="W166" s="1">
        <v>1900000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2008841</v>
      </c>
      <c r="AF166" s="1">
        <v>1516881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6579010</v>
      </c>
      <c r="AM166" s="1">
        <v>0</v>
      </c>
      <c r="AN166" s="1">
        <v>0</v>
      </c>
      <c r="AO166" s="1">
        <v>62568157</v>
      </c>
      <c r="AP166" s="1">
        <v>39436857</v>
      </c>
      <c r="AQ166" s="1">
        <v>23131300</v>
      </c>
      <c r="AR166" s="1">
        <v>11990255</v>
      </c>
      <c r="AS166" s="1">
        <v>1798538</v>
      </c>
      <c r="AT166" s="1">
        <f t="shared" si="12"/>
        <v>76356950</v>
      </c>
    </row>
    <row r="167" spans="1:46" x14ac:dyDescent="0.2">
      <c r="A167" s="1" t="str">
        <f>"00195"</f>
        <v>00195</v>
      </c>
      <c r="B167" s="1" t="str">
        <f>"مهرنوش"</f>
        <v>مهرنوش</v>
      </c>
      <c r="C167" s="1" t="str">
        <f>"چاآبي"</f>
        <v>چاآبي</v>
      </c>
      <c r="D167" s="1" t="str">
        <f t="shared" si="13"/>
        <v>قراردادي بهره بردار</v>
      </c>
      <c r="E167" s="1" t="str">
        <f>"پروژه بهره برداري نيروگاه بوشهر"</f>
        <v>پروژه بهره برداري نيروگاه بوشهر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15184006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1516881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16700887</v>
      </c>
      <c r="AP167" s="1">
        <v>16700887</v>
      </c>
      <c r="AQ167" s="1">
        <v>0</v>
      </c>
      <c r="AR167" s="1">
        <v>0</v>
      </c>
      <c r="AS167" s="1">
        <v>0</v>
      </c>
      <c r="AT167" s="1">
        <f t="shared" si="12"/>
        <v>16700887</v>
      </c>
    </row>
    <row r="168" spans="1:46" x14ac:dyDescent="0.2">
      <c r="A168" s="1" t="str">
        <f>"00196"</f>
        <v>00196</v>
      </c>
      <c r="B168" s="1" t="str">
        <f>"عزيزه"</f>
        <v>عزيزه</v>
      </c>
      <c r="C168" s="1" t="str">
        <f>"حسيني اقبال"</f>
        <v>حسيني اقبال</v>
      </c>
      <c r="D168" s="1" t="str">
        <f t="shared" si="13"/>
        <v>قراردادي بهره بردار</v>
      </c>
      <c r="E168" s="1" t="str">
        <f>"پروژه بهره برداري نيروگاه بوشهر"</f>
        <v>پروژه بهره برداري نيروگاه بوشهر</v>
      </c>
      <c r="F168" s="1">
        <v>22524435</v>
      </c>
      <c r="G168" s="1">
        <v>2735574</v>
      </c>
      <c r="H168" s="1">
        <v>0</v>
      </c>
      <c r="I168" s="1">
        <v>20898109</v>
      </c>
      <c r="J168" s="1">
        <v>0</v>
      </c>
      <c r="K168" s="1">
        <v>4125000</v>
      </c>
      <c r="L168" s="1">
        <v>0</v>
      </c>
      <c r="M168" s="1">
        <v>1000000</v>
      </c>
      <c r="N168" s="1">
        <v>3455667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1387000</v>
      </c>
      <c r="U168" s="1">
        <v>0</v>
      </c>
      <c r="V168" s="1">
        <v>7433199</v>
      </c>
      <c r="W168" s="1">
        <v>1900000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3384580</v>
      </c>
      <c r="AD168" s="1">
        <v>0</v>
      </c>
      <c r="AE168" s="1">
        <v>2468334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4447327</v>
      </c>
      <c r="AM168" s="1">
        <v>0</v>
      </c>
      <c r="AN168" s="1">
        <v>0</v>
      </c>
      <c r="AO168" s="1">
        <v>75759225</v>
      </c>
      <c r="AP168" s="1">
        <v>10639387</v>
      </c>
      <c r="AQ168" s="1">
        <v>65119838</v>
      </c>
      <c r="AR168" s="1">
        <v>15151845</v>
      </c>
      <c r="AS168" s="1">
        <v>2272777</v>
      </c>
      <c r="AT168" s="1">
        <f t="shared" si="12"/>
        <v>93183847</v>
      </c>
    </row>
    <row r="169" spans="1:46" x14ac:dyDescent="0.2">
      <c r="A169" s="1" t="str">
        <f>"00197"</f>
        <v>00197</v>
      </c>
      <c r="B169" s="1" t="str">
        <f>"محسن"</f>
        <v>محسن</v>
      </c>
      <c r="C169" s="1" t="str">
        <f>"بهزادي نژاد"</f>
        <v>بهزادي نژاد</v>
      </c>
      <c r="D169" s="1" t="str">
        <f t="shared" si="13"/>
        <v>قراردادي بهره بردار</v>
      </c>
      <c r="E169" s="1" t="str">
        <f>"پروژه تعميرات نيروگاه بوشهر"</f>
        <v>پروژه تعميرات نيروگاه بوشهر</v>
      </c>
      <c r="F169" s="1">
        <v>24261633</v>
      </c>
      <c r="G169" s="1">
        <v>10705045</v>
      </c>
      <c r="H169" s="1">
        <v>0</v>
      </c>
      <c r="I169" s="1">
        <v>23999743</v>
      </c>
      <c r="J169" s="1">
        <v>0</v>
      </c>
      <c r="K169" s="1">
        <v>5500000</v>
      </c>
      <c r="L169" s="1">
        <v>0</v>
      </c>
      <c r="M169" s="1">
        <v>1000000</v>
      </c>
      <c r="N169" s="1">
        <v>3819865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1387000</v>
      </c>
      <c r="U169" s="1">
        <v>0</v>
      </c>
      <c r="V169" s="1">
        <v>14058275</v>
      </c>
      <c r="W169" s="1">
        <v>1900000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2728475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6984897</v>
      </c>
      <c r="AM169" s="1">
        <v>0</v>
      </c>
      <c r="AN169" s="1">
        <v>0</v>
      </c>
      <c r="AO169" s="1">
        <v>96344933</v>
      </c>
      <c r="AP169" s="1">
        <v>38989743</v>
      </c>
      <c r="AQ169" s="1">
        <v>57355190</v>
      </c>
      <c r="AR169" s="1">
        <v>19268987</v>
      </c>
      <c r="AS169" s="1">
        <v>2890348</v>
      </c>
      <c r="AT169" s="1">
        <f t="shared" si="12"/>
        <v>118504268</v>
      </c>
    </row>
    <row r="170" spans="1:46" x14ac:dyDescent="0.2">
      <c r="A170" s="1" t="str">
        <f>"00199"</f>
        <v>00199</v>
      </c>
      <c r="B170" s="1" t="str">
        <f>"سياوش"</f>
        <v>سياوش</v>
      </c>
      <c r="C170" s="1" t="str">
        <f>"زنده زبان"</f>
        <v>زنده زبان</v>
      </c>
      <c r="D170" s="1" t="str">
        <f>"قراردادي کارگري"</f>
        <v>قراردادي کارگري</v>
      </c>
      <c r="E170" s="1" t="str">
        <f>"پروژه تعميرات نيروگاه بوشهر"</f>
        <v>پروژه تعميرات نيروگاه بوشهر</v>
      </c>
      <c r="F170" s="1">
        <v>6026314</v>
      </c>
      <c r="G170" s="1">
        <v>797268</v>
      </c>
      <c r="H170" s="1">
        <v>0</v>
      </c>
      <c r="I170" s="1">
        <v>4278683</v>
      </c>
      <c r="J170" s="1">
        <v>0</v>
      </c>
      <c r="K170" s="1">
        <v>0</v>
      </c>
      <c r="L170" s="1">
        <v>7672721</v>
      </c>
      <c r="M170" s="1">
        <v>1000000</v>
      </c>
      <c r="N170" s="1">
        <v>2993203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5944972</v>
      </c>
      <c r="W170" s="1">
        <v>1900000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3345163</v>
      </c>
      <c r="AE170" s="1">
        <v>0</v>
      </c>
      <c r="AF170" s="1">
        <v>4550643</v>
      </c>
      <c r="AG170" s="1">
        <v>1330166</v>
      </c>
      <c r="AH170" s="1">
        <v>0</v>
      </c>
      <c r="AI170" s="1">
        <v>0</v>
      </c>
      <c r="AJ170" s="1">
        <v>1275628</v>
      </c>
      <c r="AK170" s="1">
        <v>0</v>
      </c>
      <c r="AL170" s="1">
        <v>0</v>
      </c>
      <c r="AM170" s="1">
        <v>0</v>
      </c>
      <c r="AN170" s="1">
        <v>0</v>
      </c>
      <c r="AO170" s="1">
        <v>41114761</v>
      </c>
      <c r="AP170" s="1">
        <v>5112353</v>
      </c>
      <c r="AQ170" s="1">
        <v>36002408</v>
      </c>
      <c r="AR170" s="1">
        <v>7312824</v>
      </c>
      <c r="AS170" s="1">
        <v>1096924</v>
      </c>
      <c r="AT170" s="1">
        <f t="shared" si="12"/>
        <v>49524509</v>
      </c>
    </row>
    <row r="171" spans="1:46" x14ac:dyDescent="0.2">
      <c r="A171" s="1" t="str">
        <f>"00200"</f>
        <v>00200</v>
      </c>
      <c r="B171" s="1" t="str">
        <f>"كريم"</f>
        <v>كريم</v>
      </c>
      <c r="C171" s="1" t="str">
        <f>"نجف ونددريکوندي"</f>
        <v>نجف ونددريکوندي</v>
      </c>
      <c r="D171" s="1" t="str">
        <f>"قراردادي بهره بردار"</f>
        <v>قراردادي بهره بردار</v>
      </c>
      <c r="E171" s="1" t="str">
        <f>"پروژه بهره برداري نيروگاه بوشهر"</f>
        <v>پروژه بهره برداري نيروگاه بوشهر</v>
      </c>
      <c r="F171" s="1">
        <v>28375705</v>
      </c>
      <c r="G171" s="1">
        <v>6298190</v>
      </c>
      <c r="H171" s="1">
        <v>0</v>
      </c>
      <c r="I171" s="1">
        <v>28798218</v>
      </c>
      <c r="J171" s="1">
        <v>0</v>
      </c>
      <c r="K171" s="1">
        <v>0</v>
      </c>
      <c r="L171" s="1">
        <v>0</v>
      </c>
      <c r="M171" s="1">
        <v>1000000</v>
      </c>
      <c r="N171" s="1">
        <v>4555163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1606000</v>
      </c>
      <c r="U171" s="1">
        <v>0</v>
      </c>
      <c r="V171" s="1">
        <v>15030358</v>
      </c>
      <c r="W171" s="1">
        <v>1900000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3384580</v>
      </c>
      <c r="AD171" s="1">
        <v>0</v>
      </c>
      <c r="AE171" s="1">
        <v>3253688</v>
      </c>
      <c r="AF171" s="1">
        <v>4550643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5856638</v>
      </c>
      <c r="AM171" s="1">
        <v>0</v>
      </c>
      <c r="AN171" s="1">
        <v>0</v>
      </c>
      <c r="AO171" s="1">
        <v>104609183</v>
      </c>
      <c r="AP171" s="1">
        <v>35511588</v>
      </c>
      <c r="AQ171" s="1">
        <v>69097595</v>
      </c>
      <c r="AR171" s="1">
        <v>20011708</v>
      </c>
      <c r="AS171" s="1">
        <v>3001756</v>
      </c>
      <c r="AT171" s="1">
        <f t="shared" si="12"/>
        <v>127622647</v>
      </c>
    </row>
    <row r="172" spans="1:46" x14ac:dyDescent="0.2">
      <c r="A172" s="1" t="str">
        <f>"00203"</f>
        <v>00203</v>
      </c>
      <c r="B172" s="1" t="str">
        <f>"رازق"</f>
        <v>رازق</v>
      </c>
      <c r="C172" s="1" t="str">
        <f>"بستام"</f>
        <v>بستام</v>
      </c>
      <c r="D172" s="1" t="str">
        <f>"قراردادي کارگري"</f>
        <v>قراردادي کارگري</v>
      </c>
      <c r="E172" s="1" t="str">
        <f t="shared" ref="E172:E192" si="15">"پروژه تعميرات نيروگاه بوشهر"</f>
        <v>پروژه تعميرات نيروگاه بوشهر</v>
      </c>
      <c r="F172" s="1">
        <v>8643246</v>
      </c>
      <c r="G172" s="1">
        <v>6060392</v>
      </c>
      <c r="H172" s="1">
        <v>0</v>
      </c>
      <c r="I172" s="1">
        <v>6396003</v>
      </c>
      <c r="J172" s="1">
        <v>0</v>
      </c>
      <c r="K172" s="1">
        <v>0</v>
      </c>
      <c r="L172" s="1">
        <v>7628143</v>
      </c>
      <c r="M172" s="1">
        <v>1000000</v>
      </c>
      <c r="N172" s="1">
        <v>4579204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7107166</v>
      </c>
      <c r="W172" s="1">
        <v>1900000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4086989</v>
      </c>
      <c r="AE172" s="1">
        <v>0</v>
      </c>
      <c r="AF172" s="1">
        <v>3033762</v>
      </c>
      <c r="AG172" s="1">
        <v>0</v>
      </c>
      <c r="AH172" s="1">
        <v>0</v>
      </c>
      <c r="AI172" s="1">
        <v>0</v>
      </c>
      <c r="AJ172" s="1">
        <v>3102921</v>
      </c>
      <c r="AK172" s="1">
        <v>0</v>
      </c>
      <c r="AL172" s="1">
        <v>0</v>
      </c>
      <c r="AM172" s="1">
        <v>0</v>
      </c>
      <c r="AN172" s="1">
        <v>0</v>
      </c>
      <c r="AO172" s="1">
        <v>53537826</v>
      </c>
      <c r="AP172" s="1">
        <v>6981710</v>
      </c>
      <c r="AQ172" s="1">
        <v>46556116</v>
      </c>
      <c r="AR172" s="1">
        <v>10100813</v>
      </c>
      <c r="AS172" s="1">
        <v>1515122</v>
      </c>
      <c r="AT172" s="1">
        <f t="shared" si="12"/>
        <v>65153761</v>
      </c>
    </row>
    <row r="173" spans="1:46" x14ac:dyDescent="0.2">
      <c r="A173" s="1" t="str">
        <f>"00204"</f>
        <v>00204</v>
      </c>
      <c r="B173" s="1" t="str">
        <f>"محمد علي"</f>
        <v>محمد علي</v>
      </c>
      <c r="C173" s="1" t="str">
        <f>"كريمي آخورمه"</f>
        <v>كريمي آخورمه</v>
      </c>
      <c r="D173" s="1" t="str">
        <f>"قراردادي کارگري"</f>
        <v>قراردادي کارگري</v>
      </c>
      <c r="E173" s="1" t="str">
        <f t="shared" si="15"/>
        <v>پروژه تعميرات نيروگاه بوشهر</v>
      </c>
      <c r="F173" s="1">
        <v>7704908</v>
      </c>
      <c r="G173" s="1">
        <v>10733792</v>
      </c>
      <c r="H173" s="1">
        <v>0</v>
      </c>
      <c r="I173" s="1">
        <v>5701633</v>
      </c>
      <c r="J173" s="1">
        <v>0</v>
      </c>
      <c r="K173" s="1">
        <v>0</v>
      </c>
      <c r="L173" s="1">
        <v>7628143</v>
      </c>
      <c r="M173" s="1">
        <v>1000000</v>
      </c>
      <c r="N173" s="1">
        <v>4055215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6600343</v>
      </c>
      <c r="W173" s="1">
        <v>1900000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3763485</v>
      </c>
      <c r="AE173" s="1">
        <v>0</v>
      </c>
      <c r="AF173" s="1">
        <v>1516881</v>
      </c>
      <c r="AG173" s="1">
        <v>0</v>
      </c>
      <c r="AH173" s="1">
        <v>0</v>
      </c>
      <c r="AI173" s="1">
        <v>0</v>
      </c>
      <c r="AJ173" s="1">
        <v>4293517</v>
      </c>
      <c r="AK173" s="1">
        <v>0</v>
      </c>
      <c r="AL173" s="1">
        <v>0</v>
      </c>
      <c r="AM173" s="1">
        <v>0</v>
      </c>
      <c r="AN173" s="1">
        <v>0</v>
      </c>
      <c r="AO173" s="1">
        <v>54897917</v>
      </c>
      <c r="AP173" s="1">
        <v>9447097</v>
      </c>
      <c r="AQ173" s="1">
        <v>45450820</v>
      </c>
      <c r="AR173" s="1">
        <v>10676207</v>
      </c>
      <c r="AS173" s="1">
        <v>1601431</v>
      </c>
      <c r="AT173" s="1">
        <f t="shared" si="12"/>
        <v>67175555</v>
      </c>
    </row>
    <row r="174" spans="1:46" x14ac:dyDescent="0.2">
      <c r="A174" s="1" t="str">
        <f>"00205"</f>
        <v>00205</v>
      </c>
      <c r="B174" s="1" t="str">
        <f>"مسعود"</f>
        <v>مسعود</v>
      </c>
      <c r="C174" s="1" t="str">
        <f>"جوکار"</f>
        <v>جوکار</v>
      </c>
      <c r="D174" s="1" t="str">
        <f>"قراردادي بهره بردار"</f>
        <v>قراردادي بهره بردار</v>
      </c>
      <c r="E174" s="1" t="str">
        <f t="shared" si="15"/>
        <v>پروژه تعميرات نيروگاه بوشهر</v>
      </c>
      <c r="F174" s="1">
        <v>22736929</v>
      </c>
      <c r="G174" s="1">
        <v>24263341</v>
      </c>
      <c r="H174" s="1">
        <v>0</v>
      </c>
      <c r="I174" s="1">
        <v>25847922</v>
      </c>
      <c r="J174" s="1">
        <v>0</v>
      </c>
      <c r="K174" s="1">
        <v>0</v>
      </c>
      <c r="L174" s="1">
        <v>0</v>
      </c>
      <c r="M174" s="1">
        <v>1000000</v>
      </c>
      <c r="N174" s="1">
        <v>3530040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1387000</v>
      </c>
      <c r="U174" s="1">
        <v>0</v>
      </c>
      <c r="V174" s="1">
        <v>6251749</v>
      </c>
      <c r="W174" s="1">
        <v>1900000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2957400</v>
      </c>
      <c r="AD174" s="1">
        <v>0</v>
      </c>
      <c r="AE174" s="1">
        <v>2521457</v>
      </c>
      <c r="AF174" s="1">
        <v>1516881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4923742</v>
      </c>
      <c r="AM174" s="1">
        <v>0</v>
      </c>
      <c r="AN174" s="1">
        <v>0</v>
      </c>
      <c r="AO174" s="1">
        <v>98836461</v>
      </c>
      <c r="AP174" s="1">
        <v>39508887</v>
      </c>
      <c r="AQ174" s="1">
        <v>59327574</v>
      </c>
      <c r="AR174" s="1">
        <v>19463916</v>
      </c>
      <c r="AS174" s="1">
        <v>2919587</v>
      </c>
      <c r="AT174" s="1">
        <f t="shared" si="12"/>
        <v>121219964</v>
      </c>
    </row>
    <row r="175" spans="1:46" x14ac:dyDescent="0.2">
      <c r="A175" s="1" t="str">
        <f>"00206"</f>
        <v>00206</v>
      </c>
      <c r="B175" s="1" t="str">
        <f>"عليرضا"</f>
        <v>عليرضا</v>
      </c>
      <c r="C175" s="1" t="str">
        <f>"رضائي بوشهري"</f>
        <v>رضائي بوشهري</v>
      </c>
      <c r="D175" s="1" t="str">
        <f t="shared" ref="D175:D192" si="16">"قراردادي کارگري"</f>
        <v>قراردادي کارگري</v>
      </c>
      <c r="E175" s="1" t="str">
        <f t="shared" si="15"/>
        <v>پروژه تعميرات نيروگاه بوشهر</v>
      </c>
      <c r="F175" s="1">
        <v>7525581</v>
      </c>
      <c r="G175" s="1">
        <v>6014453</v>
      </c>
      <c r="H175" s="1">
        <v>0</v>
      </c>
      <c r="I175" s="1">
        <v>6396744</v>
      </c>
      <c r="J175" s="1">
        <v>0</v>
      </c>
      <c r="K175" s="1">
        <v>0</v>
      </c>
      <c r="L175" s="1">
        <v>7672721</v>
      </c>
      <c r="M175" s="1">
        <v>1000000</v>
      </c>
      <c r="N175" s="1">
        <v>3960831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2855254</v>
      </c>
      <c r="W175" s="1">
        <v>1900000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1516881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38842465</v>
      </c>
      <c r="AP175" s="1">
        <v>4801758</v>
      </c>
      <c r="AQ175" s="1">
        <v>34040707</v>
      </c>
      <c r="AR175" s="1">
        <v>7465117</v>
      </c>
      <c r="AS175" s="1">
        <v>1119768</v>
      </c>
      <c r="AT175" s="1">
        <f t="shared" si="12"/>
        <v>47427350</v>
      </c>
    </row>
    <row r="176" spans="1:46" x14ac:dyDescent="0.2">
      <c r="A176" s="1" t="str">
        <f>"00207"</f>
        <v>00207</v>
      </c>
      <c r="B176" s="1" t="str">
        <f>"محمد"</f>
        <v>محمد</v>
      </c>
      <c r="C176" s="1" t="str">
        <f>"احمدنيا"</f>
        <v>احمدنيا</v>
      </c>
      <c r="D176" s="1" t="str">
        <f t="shared" si="16"/>
        <v>قراردادي کارگري</v>
      </c>
      <c r="E176" s="1" t="str">
        <f t="shared" si="15"/>
        <v>پروژه تعميرات نيروگاه بوشهر</v>
      </c>
      <c r="F176" s="1">
        <v>6669868</v>
      </c>
      <c r="G176" s="1">
        <v>1758927</v>
      </c>
      <c r="H176" s="1">
        <v>0</v>
      </c>
      <c r="I176" s="1">
        <v>4735607</v>
      </c>
      <c r="J176" s="1">
        <v>0</v>
      </c>
      <c r="K176" s="1">
        <v>0</v>
      </c>
      <c r="L176" s="1">
        <v>7672721</v>
      </c>
      <c r="M176" s="1">
        <v>1000000</v>
      </c>
      <c r="N176" s="1">
        <v>3557262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8522682</v>
      </c>
      <c r="W176" s="1">
        <v>1900000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3395319</v>
      </c>
      <c r="AE176" s="1">
        <v>0</v>
      </c>
      <c r="AF176" s="1">
        <v>1516881</v>
      </c>
      <c r="AG176" s="1">
        <v>0</v>
      </c>
      <c r="AH176" s="1">
        <v>0</v>
      </c>
      <c r="AI176" s="1">
        <v>0</v>
      </c>
      <c r="AJ176" s="1">
        <v>2814284</v>
      </c>
      <c r="AK176" s="1">
        <v>0</v>
      </c>
      <c r="AL176" s="1">
        <v>0</v>
      </c>
      <c r="AM176" s="1">
        <v>0</v>
      </c>
      <c r="AN176" s="1">
        <v>0</v>
      </c>
      <c r="AO176" s="1">
        <v>43543551</v>
      </c>
      <c r="AP176" s="1">
        <v>3818035</v>
      </c>
      <c r="AQ176" s="1">
        <v>39725516</v>
      </c>
      <c r="AR176" s="1">
        <v>8405334</v>
      </c>
      <c r="AS176" s="1">
        <v>1260800</v>
      </c>
      <c r="AT176" s="1">
        <f t="shared" si="12"/>
        <v>53209685</v>
      </c>
    </row>
    <row r="177" spans="1:46" x14ac:dyDescent="0.2">
      <c r="A177" s="1" t="str">
        <f>"00208"</f>
        <v>00208</v>
      </c>
      <c r="B177" s="1" t="str">
        <f>"قاسم"</f>
        <v>قاسم</v>
      </c>
      <c r="C177" s="1" t="str">
        <f>"ارقون"</f>
        <v>ارقون</v>
      </c>
      <c r="D177" s="1" t="str">
        <f t="shared" si="16"/>
        <v>قراردادي کارگري</v>
      </c>
      <c r="E177" s="1" t="str">
        <f t="shared" si="15"/>
        <v>پروژه تعميرات نيروگاه بوشهر</v>
      </c>
      <c r="F177" s="1">
        <v>8119217</v>
      </c>
      <c r="G177" s="1">
        <v>2487193</v>
      </c>
      <c r="H177" s="1">
        <v>0</v>
      </c>
      <c r="I177" s="1">
        <v>5683452</v>
      </c>
      <c r="J177" s="1">
        <v>0</v>
      </c>
      <c r="K177" s="1">
        <v>0</v>
      </c>
      <c r="L177" s="1">
        <v>7628143</v>
      </c>
      <c r="M177" s="1">
        <v>1000000</v>
      </c>
      <c r="N177" s="1">
        <v>4273271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9543000</v>
      </c>
      <c r="W177" s="1">
        <v>1900000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3855613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4775411</v>
      </c>
      <c r="AK177" s="1">
        <v>0</v>
      </c>
      <c r="AL177" s="1">
        <v>0</v>
      </c>
      <c r="AM177" s="1">
        <v>0</v>
      </c>
      <c r="AN177" s="1">
        <v>0</v>
      </c>
      <c r="AO177" s="1">
        <v>49265300</v>
      </c>
      <c r="AP177" s="1">
        <v>4846244</v>
      </c>
      <c r="AQ177" s="1">
        <v>44419056</v>
      </c>
      <c r="AR177" s="1">
        <v>9853060</v>
      </c>
      <c r="AS177" s="1">
        <v>1477959</v>
      </c>
      <c r="AT177" s="1">
        <f t="shared" si="12"/>
        <v>60596319</v>
      </c>
    </row>
    <row r="178" spans="1:46" x14ac:dyDescent="0.2">
      <c r="A178" s="1" t="str">
        <f>"00209"</f>
        <v>00209</v>
      </c>
      <c r="B178" s="1" t="str">
        <f>"علي"</f>
        <v>علي</v>
      </c>
      <c r="C178" s="1" t="str">
        <f>"افراسن"</f>
        <v>افراسن</v>
      </c>
      <c r="D178" s="1" t="str">
        <f t="shared" si="16"/>
        <v>قراردادي کارگري</v>
      </c>
      <c r="E178" s="1" t="str">
        <f t="shared" si="15"/>
        <v>پروژه تعميرات نيروگاه بوشهر</v>
      </c>
      <c r="F178" s="1">
        <v>7568216</v>
      </c>
      <c r="G178" s="1">
        <v>2388563</v>
      </c>
      <c r="H178" s="1">
        <v>0</v>
      </c>
      <c r="I178" s="1">
        <v>5449115</v>
      </c>
      <c r="J178" s="1">
        <v>0</v>
      </c>
      <c r="K178" s="1">
        <v>0</v>
      </c>
      <c r="L178" s="1">
        <v>7628143</v>
      </c>
      <c r="M178" s="1">
        <v>1000000</v>
      </c>
      <c r="N178" s="1">
        <v>4009651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9194221</v>
      </c>
      <c r="W178" s="1">
        <v>1900000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3698269</v>
      </c>
      <c r="AE178" s="1">
        <v>0</v>
      </c>
      <c r="AF178" s="1">
        <v>3033762</v>
      </c>
      <c r="AG178" s="1">
        <v>0</v>
      </c>
      <c r="AH178" s="1">
        <v>0</v>
      </c>
      <c r="AI178" s="1">
        <v>0</v>
      </c>
      <c r="AJ178" s="1">
        <v>4586040</v>
      </c>
      <c r="AK178" s="1">
        <v>0</v>
      </c>
      <c r="AL178" s="1">
        <v>0</v>
      </c>
      <c r="AM178" s="1">
        <v>0</v>
      </c>
      <c r="AN178" s="1">
        <v>0</v>
      </c>
      <c r="AO178" s="1">
        <v>50455980</v>
      </c>
      <c r="AP178" s="1">
        <v>5660284</v>
      </c>
      <c r="AQ178" s="1">
        <v>44795696</v>
      </c>
      <c r="AR178" s="1">
        <v>9484444</v>
      </c>
      <c r="AS178" s="1">
        <v>1422667</v>
      </c>
      <c r="AT178" s="1">
        <f t="shared" si="12"/>
        <v>61363091</v>
      </c>
    </row>
    <row r="179" spans="1:46" x14ac:dyDescent="0.2">
      <c r="A179" s="1" t="str">
        <f>"00210"</f>
        <v>00210</v>
      </c>
      <c r="B179" s="1" t="str">
        <f>"محمدجواد"</f>
        <v>محمدجواد</v>
      </c>
      <c r="C179" s="1" t="str">
        <f>"اندرياي"</f>
        <v>اندرياي</v>
      </c>
      <c r="D179" s="1" t="str">
        <f t="shared" si="16"/>
        <v>قراردادي کارگري</v>
      </c>
      <c r="E179" s="1" t="str">
        <f t="shared" si="15"/>
        <v>پروژه تعميرات نيروگاه بوشهر</v>
      </c>
      <c r="F179" s="1">
        <v>7364804</v>
      </c>
      <c r="G179" s="1">
        <v>2811743</v>
      </c>
      <c r="H179" s="1">
        <v>0</v>
      </c>
      <c r="I179" s="1">
        <v>5302659</v>
      </c>
      <c r="J179" s="1">
        <v>0</v>
      </c>
      <c r="K179" s="1">
        <v>0</v>
      </c>
      <c r="L179" s="1">
        <v>7628143</v>
      </c>
      <c r="M179" s="1">
        <v>1000000</v>
      </c>
      <c r="N179" s="1">
        <v>3876213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9033522</v>
      </c>
      <c r="W179" s="1">
        <v>1900000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1516881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40433965</v>
      </c>
      <c r="AP179" s="1">
        <v>10871443</v>
      </c>
      <c r="AQ179" s="1">
        <v>29562522</v>
      </c>
      <c r="AR179" s="1">
        <v>7783417</v>
      </c>
      <c r="AS179" s="1">
        <v>1167513</v>
      </c>
      <c r="AT179" s="1">
        <f t="shared" si="12"/>
        <v>49384895</v>
      </c>
    </row>
    <row r="180" spans="1:46" x14ac:dyDescent="0.2">
      <c r="A180" s="1" t="str">
        <f>"00211"</f>
        <v>00211</v>
      </c>
      <c r="B180" s="1" t="str">
        <f>"عباس"</f>
        <v>عباس</v>
      </c>
      <c r="C180" s="1" t="str">
        <f>"انصاري"</f>
        <v>انصاري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7049435</v>
      </c>
      <c r="G180" s="1">
        <v>4189894</v>
      </c>
      <c r="H180" s="1">
        <v>0</v>
      </c>
      <c r="I180" s="1">
        <v>4511639</v>
      </c>
      <c r="J180" s="1">
        <v>0</v>
      </c>
      <c r="K180" s="1">
        <v>0</v>
      </c>
      <c r="L180" s="1">
        <v>7628143</v>
      </c>
      <c r="M180" s="1">
        <v>1000000</v>
      </c>
      <c r="N180" s="1">
        <v>3710229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8351496</v>
      </c>
      <c r="W180" s="1">
        <v>1900000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3033762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41374598</v>
      </c>
      <c r="AP180" s="1">
        <v>6947472</v>
      </c>
      <c r="AQ180" s="1">
        <v>34427126</v>
      </c>
      <c r="AR180" s="1">
        <v>7668167</v>
      </c>
      <c r="AS180" s="1">
        <v>1150225</v>
      </c>
      <c r="AT180" s="1">
        <f t="shared" si="12"/>
        <v>50192990</v>
      </c>
    </row>
    <row r="181" spans="1:46" x14ac:dyDescent="0.2">
      <c r="A181" s="1" t="str">
        <f>"00212"</f>
        <v>00212</v>
      </c>
      <c r="B181" s="1" t="str">
        <f>"عبدالکريم"</f>
        <v>عبدالکريم</v>
      </c>
      <c r="C181" s="1" t="str">
        <f>"جمالي"</f>
        <v>جمالي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8317666</v>
      </c>
      <c r="G181" s="1">
        <v>11019803</v>
      </c>
      <c r="H181" s="1">
        <v>0</v>
      </c>
      <c r="I181" s="1">
        <v>6155073</v>
      </c>
      <c r="J181" s="1">
        <v>0</v>
      </c>
      <c r="K181" s="1">
        <v>0</v>
      </c>
      <c r="L181" s="1">
        <v>7628143</v>
      </c>
      <c r="M181" s="1">
        <v>1000000</v>
      </c>
      <c r="N181" s="1">
        <v>4406710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9810166</v>
      </c>
      <c r="W181" s="1">
        <v>1900000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1516881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51754442</v>
      </c>
      <c r="AP181" s="1">
        <v>6033563</v>
      </c>
      <c r="AQ181" s="1">
        <v>45720879</v>
      </c>
      <c r="AR181" s="1">
        <v>10047512</v>
      </c>
      <c r="AS181" s="1">
        <v>1507127</v>
      </c>
      <c r="AT181" s="1">
        <f t="shared" si="12"/>
        <v>63309081</v>
      </c>
    </row>
    <row r="182" spans="1:46" x14ac:dyDescent="0.2">
      <c r="A182" s="1" t="str">
        <f>"00213"</f>
        <v>00213</v>
      </c>
      <c r="B182" s="1" t="str">
        <f>"عيسي"</f>
        <v>عيسي</v>
      </c>
      <c r="C182" s="1" t="str">
        <f>"حيدري"</f>
        <v>حيدري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4668704</v>
      </c>
      <c r="G182" s="1">
        <v>1525076</v>
      </c>
      <c r="H182" s="1">
        <v>0</v>
      </c>
      <c r="I182" s="1">
        <v>3128032</v>
      </c>
      <c r="J182" s="1">
        <v>0</v>
      </c>
      <c r="K182" s="1">
        <v>0</v>
      </c>
      <c r="L182" s="1">
        <v>7672721</v>
      </c>
      <c r="M182" s="1">
        <v>1000000</v>
      </c>
      <c r="N182" s="1">
        <v>2303639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9242544</v>
      </c>
      <c r="W182" s="1">
        <v>1900000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2665965</v>
      </c>
      <c r="AE182" s="1">
        <v>0</v>
      </c>
      <c r="AF182" s="1">
        <v>4550643</v>
      </c>
      <c r="AG182" s="1">
        <v>0</v>
      </c>
      <c r="AH182" s="1">
        <v>0</v>
      </c>
      <c r="AI182" s="1">
        <v>0</v>
      </c>
      <c r="AJ182" s="1">
        <v>3660184</v>
      </c>
      <c r="AK182" s="1">
        <v>0</v>
      </c>
      <c r="AL182" s="1">
        <v>0</v>
      </c>
      <c r="AM182" s="1">
        <v>0</v>
      </c>
      <c r="AN182" s="1">
        <v>0</v>
      </c>
      <c r="AO182" s="1">
        <v>42317508</v>
      </c>
      <c r="AP182" s="1">
        <v>3927064</v>
      </c>
      <c r="AQ182" s="1">
        <v>38390444</v>
      </c>
      <c r="AR182" s="1">
        <v>7553373</v>
      </c>
      <c r="AS182" s="1">
        <v>1133006</v>
      </c>
      <c r="AT182" s="1">
        <f t="shared" si="12"/>
        <v>51003887</v>
      </c>
    </row>
    <row r="183" spans="1:46" x14ac:dyDescent="0.2">
      <c r="A183" s="1" t="str">
        <f>"00214"</f>
        <v>00214</v>
      </c>
      <c r="B183" s="1" t="str">
        <f>"منصور"</f>
        <v>منصور</v>
      </c>
      <c r="C183" s="1" t="str">
        <f>"رشيدزاده"</f>
        <v>رشيدزاده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9128546</v>
      </c>
      <c r="G183" s="1">
        <v>4836633</v>
      </c>
      <c r="H183" s="1">
        <v>0</v>
      </c>
      <c r="I183" s="1">
        <v>6572553</v>
      </c>
      <c r="J183" s="1">
        <v>0</v>
      </c>
      <c r="K183" s="1">
        <v>0</v>
      </c>
      <c r="L183" s="1">
        <v>7628143</v>
      </c>
      <c r="M183" s="1">
        <v>1000000</v>
      </c>
      <c r="N183" s="1">
        <v>4836316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12153268</v>
      </c>
      <c r="W183" s="1">
        <v>1900000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3033762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51089221</v>
      </c>
      <c r="AP183" s="1">
        <v>6302416</v>
      </c>
      <c r="AQ183" s="1">
        <v>44786805</v>
      </c>
      <c r="AR183" s="1">
        <v>9611092</v>
      </c>
      <c r="AS183" s="1">
        <v>1441664</v>
      </c>
      <c r="AT183" s="1">
        <f t="shared" si="12"/>
        <v>62141977</v>
      </c>
    </row>
    <row r="184" spans="1:46" x14ac:dyDescent="0.2">
      <c r="A184" s="1" t="str">
        <f>"00215"</f>
        <v>00215</v>
      </c>
      <c r="B184" s="1" t="str">
        <f>"محمدرضا"</f>
        <v>محمدرضا</v>
      </c>
      <c r="C184" s="1" t="str">
        <f>"خوش دل سنگي"</f>
        <v>خوش دل سنگي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8490241</v>
      </c>
      <c r="G184" s="1">
        <v>2577217</v>
      </c>
      <c r="H184" s="1">
        <v>0</v>
      </c>
      <c r="I184" s="1">
        <v>6197875</v>
      </c>
      <c r="J184" s="1">
        <v>0</v>
      </c>
      <c r="K184" s="1">
        <v>0</v>
      </c>
      <c r="L184" s="1">
        <v>7672721</v>
      </c>
      <c r="M184" s="1">
        <v>1000000</v>
      </c>
      <c r="N184" s="1">
        <v>4468547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9693466</v>
      </c>
      <c r="W184" s="1">
        <v>1900000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4024408</v>
      </c>
      <c r="AE184" s="1">
        <v>0</v>
      </c>
      <c r="AF184" s="1">
        <v>3033762</v>
      </c>
      <c r="AG184" s="1">
        <v>0</v>
      </c>
      <c r="AH184" s="1">
        <v>0</v>
      </c>
      <c r="AI184" s="1">
        <v>0</v>
      </c>
      <c r="AJ184" s="1">
        <v>4948257</v>
      </c>
      <c r="AK184" s="1">
        <v>0</v>
      </c>
      <c r="AL184" s="1">
        <v>0</v>
      </c>
      <c r="AM184" s="1">
        <v>0</v>
      </c>
      <c r="AN184" s="1">
        <v>0</v>
      </c>
      <c r="AO184" s="1">
        <v>54006494</v>
      </c>
      <c r="AP184" s="1">
        <v>5427931</v>
      </c>
      <c r="AQ184" s="1">
        <v>48578563</v>
      </c>
      <c r="AR184" s="1">
        <v>10194546</v>
      </c>
      <c r="AS184" s="1">
        <v>1529182</v>
      </c>
      <c r="AT184" s="1">
        <f t="shared" si="12"/>
        <v>65730222</v>
      </c>
    </row>
    <row r="185" spans="1:46" x14ac:dyDescent="0.2">
      <c r="A185" s="1" t="str">
        <f>"00216"</f>
        <v>00216</v>
      </c>
      <c r="B185" s="1" t="str">
        <f>"مهدي"</f>
        <v>مهدي</v>
      </c>
      <c r="C185" s="1" t="str">
        <f>"حيدري"</f>
        <v>حيدري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7302967</v>
      </c>
      <c r="G185" s="1">
        <v>2053578</v>
      </c>
      <c r="H185" s="1">
        <v>0</v>
      </c>
      <c r="I185" s="1">
        <v>5477226</v>
      </c>
      <c r="J185" s="1">
        <v>0</v>
      </c>
      <c r="K185" s="1">
        <v>0</v>
      </c>
      <c r="L185" s="1">
        <v>7628143</v>
      </c>
      <c r="M185" s="1">
        <v>1000000</v>
      </c>
      <c r="N185" s="1">
        <v>3843667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12125657</v>
      </c>
      <c r="W185" s="1">
        <v>1900000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3637800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3285724</v>
      </c>
      <c r="AK185" s="1">
        <v>0</v>
      </c>
      <c r="AL185" s="1">
        <v>0</v>
      </c>
      <c r="AM185" s="1">
        <v>0</v>
      </c>
      <c r="AN185" s="1">
        <v>0</v>
      </c>
      <c r="AO185" s="1">
        <v>48254762</v>
      </c>
      <c r="AP185" s="1">
        <v>4681526</v>
      </c>
      <c r="AQ185" s="1">
        <v>43573236</v>
      </c>
      <c r="AR185" s="1">
        <v>9650952</v>
      </c>
      <c r="AS185" s="1">
        <v>1447643</v>
      </c>
      <c r="AT185" s="1">
        <f t="shared" si="12"/>
        <v>59353357</v>
      </c>
    </row>
    <row r="186" spans="1:46" x14ac:dyDescent="0.2">
      <c r="A186" s="1" t="str">
        <f>"00217"</f>
        <v>00217</v>
      </c>
      <c r="B186" s="1" t="str">
        <f>"اميد"</f>
        <v>اميد</v>
      </c>
      <c r="C186" s="1" t="str">
        <f>"سلطاني"</f>
        <v>سلطاني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8793242</v>
      </c>
      <c r="G186" s="1">
        <v>2032736</v>
      </c>
      <c r="H186" s="1">
        <v>0</v>
      </c>
      <c r="I186" s="1">
        <v>6506999</v>
      </c>
      <c r="J186" s="1">
        <v>0</v>
      </c>
      <c r="K186" s="1">
        <v>0</v>
      </c>
      <c r="L186" s="1">
        <v>7628143</v>
      </c>
      <c r="M186" s="1">
        <v>1000000</v>
      </c>
      <c r="N186" s="1">
        <v>4628023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13596117</v>
      </c>
      <c r="W186" s="1">
        <v>1900000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4133461</v>
      </c>
      <c r="AE186" s="1">
        <v>0</v>
      </c>
      <c r="AF186" s="1">
        <v>1516881</v>
      </c>
      <c r="AG186" s="1">
        <v>0</v>
      </c>
      <c r="AH186" s="1">
        <v>0</v>
      </c>
      <c r="AI186" s="1">
        <v>0</v>
      </c>
      <c r="AJ186" s="1">
        <v>3717002</v>
      </c>
      <c r="AK186" s="1">
        <v>0</v>
      </c>
      <c r="AL186" s="1">
        <v>0</v>
      </c>
      <c r="AM186" s="1">
        <v>0</v>
      </c>
      <c r="AN186" s="1">
        <v>0</v>
      </c>
      <c r="AO186" s="1">
        <v>55452604</v>
      </c>
      <c r="AP186" s="1">
        <v>6842567</v>
      </c>
      <c r="AQ186" s="1">
        <v>48610037</v>
      </c>
      <c r="AR186" s="1">
        <v>10787145</v>
      </c>
      <c r="AS186" s="1">
        <v>1618072</v>
      </c>
      <c r="AT186" s="1">
        <f t="shared" si="12"/>
        <v>67857821</v>
      </c>
    </row>
    <row r="187" spans="1:46" x14ac:dyDescent="0.2">
      <c r="A187" s="1" t="str">
        <f>"00219"</f>
        <v>00219</v>
      </c>
      <c r="B187" s="1" t="str">
        <f>"علي"</f>
        <v>علي</v>
      </c>
      <c r="C187" s="1" t="str">
        <f>"صالحي"</f>
        <v>صالحي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7525215</v>
      </c>
      <c r="G187" s="1">
        <v>2090847</v>
      </c>
      <c r="H187" s="1">
        <v>0</v>
      </c>
      <c r="I187" s="1">
        <v>5568659</v>
      </c>
      <c r="J187" s="1">
        <v>0</v>
      </c>
      <c r="K187" s="1">
        <v>0</v>
      </c>
      <c r="L187" s="1">
        <v>7628143</v>
      </c>
      <c r="M187" s="1">
        <v>1000000</v>
      </c>
      <c r="N187" s="1">
        <v>3986868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12328971</v>
      </c>
      <c r="W187" s="1">
        <v>1900000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1516881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43545584</v>
      </c>
      <c r="AP187" s="1">
        <v>3818367</v>
      </c>
      <c r="AQ187" s="1">
        <v>39727217</v>
      </c>
      <c r="AR187" s="1">
        <v>8405741</v>
      </c>
      <c r="AS187" s="1">
        <v>1260861</v>
      </c>
      <c r="AT187" s="1">
        <f t="shared" si="12"/>
        <v>53212186</v>
      </c>
    </row>
    <row r="188" spans="1:46" x14ac:dyDescent="0.2">
      <c r="A188" s="1" t="str">
        <f>"00220"</f>
        <v>00220</v>
      </c>
      <c r="B188" s="1" t="str">
        <f>"اصغر"</f>
        <v>اصغر</v>
      </c>
      <c r="C188" s="1" t="str">
        <f>"لاله سنگي"</f>
        <v>لاله سنگي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7568216</v>
      </c>
      <c r="G188" s="1">
        <v>1899464</v>
      </c>
      <c r="H188" s="1">
        <v>0</v>
      </c>
      <c r="I188" s="1">
        <v>5297751</v>
      </c>
      <c r="J188" s="1">
        <v>0</v>
      </c>
      <c r="K188" s="1">
        <v>0</v>
      </c>
      <c r="L188" s="1">
        <v>7628143</v>
      </c>
      <c r="M188" s="1">
        <v>1000000</v>
      </c>
      <c r="N188" s="1">
        <v>4009651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9143892</v>
      </c>
      <c r="W188" s="1">
        <v>1900000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3675564</v>
      </c>
      <c r="AE188" s="1">
        <v>0</v>
      </c>
      <c r="AF188" s="1">
        <v>3033762</v>
      </c>
      <c r="AG188" s="1">
        <v>0</v>
      </c>
      <c r="AH188" s="1">
        <v>0</v>
      </c>
      <c r="AI188" s="1">
        <v>0</v>
      </c>
      <c r="AJ188" s="1">
        <v>4558714</v>
      </c>
      <c r="AK188" s="1">
        <v>0</v>
      </c>
      <c r="AL188" s="1">
        <v>0</v>
      </c>
      <c r="AM188" s="1">
        <v>0</v>
      </c>
      <c r="AN188" s="1">
        <v>0</v>
      </c>
      <c r="AO188" s="1">
        <v>49715157</v>
      </c>
      <c r="AP188" s="1">
        <v>5537094</v>
      </c>
      <c r="AQ188" s="1">
        <v>44178063</v>
      </c>
      <c r="AR188" s="1">
        <v>9336279</v>
      </c>
      <c r="AS188" s="1">
        <v>1400442</v>
      </c>
      <c r="AT188" s="1">
        <f t="shared" si="12"/>
        <v>60451878</v>
      </c>
    </row>
    <row r="189" spans="1:46" x14ac:dyDescent="0.2">
      <c r="A189" s="1" t="str">
        <f>"00221"</f>
        <v>00221</v>
      </c>
      <c r="B189" s="1" t="str">
        <f>"نادر"</f>
        <v>نادر</v>
      </c>
      <c r="C189" s="1" t="str">
        <f>"پنهان گرد"</f>
        <v>پنهان گرد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6245551</v>
      </c>
      <c r="G189" s="1">
        <v>2099208</v>
      </c>
      <c r="H189" s="1">
        <v>0</v>
      </c>
      <c r="I189" s="1">
        <v>4746620</v>
      </c>
      <c r="J189" s="1">
        <v>0</v>
      </c>
      <c r="K189" s="1">
        <v>0</v>
      </c>
      <c r="L189" s="1">
        <v>7672721</v>
      </c>
      <c r="M189" s="1">
        <v>1000000</v>
      </c>
      <c r="N189" s="1">
        <v>3287132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11102167</v>
      </c>
      <c r="W189" s="1">
        <v>1900000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3292804</v>
      </c>
      <c r="AE189" s="1">
        <v>0</v>
      </c>
      <c r="AF189" s="1">
        <v>3033762</v>
      </c>
      <c r="AG189" s="1">
        <v>0</v>
      </c>
      <c r="AH189" s="1">
        <v>0</v>
      </c>
      <c r="AI189" s="1">
        <v>0</v>
      </c>
      <c r="AJ189" s="1">
        <v>4478310</v>
      </c>
      <c r="AK189" s="1">
        <v>0</v>
      </c>
      <c r="AL189" s="1">
        <v>0</v>
      </c>
      <c r="AM189" s="1">
        <v>0</v>
      </c>
      <c r="AN189" s="1">
        <v>0</v>
      </c>
      <c r="AO189" s="1">
        <v>48858275</v>
      </c>
      <c r="AP189" s="1">
        <v>4588772</v>
      </c>
      <c r="AQ189" s="1">
        <v>44269503</v>
      </c>
      <c r="AR189" s="1">
        <v>9164903</v>
      </c>
      <c r="AS189" s="1">
        <v>1374735</v>
      </c>
      <c r="AT189" s="1">
        <f t="shared" si="12"/>
        <v>59397913</v>
      </c>
    </row>
    <row r="190" spans="1:46" x14ac:dyDescent="0.2">
      <c r="A190" s="1" t="str">
        <f>"00222"</f>
        <v>00222</v>
      </c>
      <c r="B190" s="1" t="str">
        <f>"كاظم"</f>
        <v>كاظم</v>
      </c>
      <c r="C190" s="1" t="str">
        <f>"رضايي"</f>
        <v>رضايي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8420988</v>
      </c>
      <c r="G190" s="1">
        <v>2300604</v>
      </c>
      <c r="H190" s="1">
        <v>0</v>
      </c>
      <c r="I190" s="1">
        <v>6905210</v>
      </c>
      <c r="J190" s="1">
        <v>0</v>
      </c>
      <c r="K190" s="1">
        <v>0</v>
      </c>
      <c r="L190" s="1">
        <v>7462913</v>
      </c>
      <c r="M190" s="1">
        <v>1000000</v>
      </c>
      <c r="N190" s="1">
        <v>4491194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13473252</v>
      </c>
      <c r="W190" s="1">
        <v>1900000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4092046</v>
      </c>
      <c r="AE190" s="1">
        <v>0</v>
      </c>
      <c r="AF190" s="1">
        <v>3033762</v>
      </c>
      <c r="AG190" s="1">
        <v>0</v>
      </c>
      <c r="AH190" s="1">
        <v>0</v>
      </c>
      <c r="AI190" s="1">
        <v>0</v>
      </c>
      <c r="AJ190" s="1">
        <v>5521450</v>
      </c>
      <c r="AK190" s="1">
        <v>0</v>
      </c>
      <c r="AL190" s="1">
        <v>0</v>
      </c>
      <c r="AM190" s="1">
        <v>0</v>
      </c>
      <c r="AN190" s="1">
        <v>0</v>
      </c>
      <c r="AO190" s="1">
        <v>58601419</v>
      </c>
      <c r="AP190" s="1">
        <v>7236303</v>
      </c>
      <c r="AQ190" s="1">
        <v>51365116</v>
      </c>
      <c r="AR190" s="1">
        <v>11113531</v>
      </c>
      <c r="AS190" s="1">
        <v>1667030</v>
      </c>
      <c r="AT190" s="1">
        <f t="shared" si="12"/>
        <v>71381980</v>
      </c>
    </row>
    <row r="191" spans="1:46" x14ac:dyDescent="0.2">
      <c r="A191" s="1" t="str">
        <f>"00223"</f>
        <v>00223</v>
      </c>
      <c r="B191" s="1" t="str">
        <f>"مهدي"</f>
        <v>مهدي</v>
      </c>
      <c r="C191" s="1" t="str">
        <f>"قرباني"</f>
        <v>قرباني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6455799</v>
      </c>
      <c r="G191" s="1">
        <v>1899907</v>
      </c>
      <c r="H191" s="1">
        <v>0</v>
      </c>
      <c r="I191" s="1">
        <v>4841849</v>
      </c>
      <c r="J191" s="1">
        <v>0</v>
      </c>
      <c r="K191" s="1">
        <v>0</v>
      </c>
      <c r="L191" s="1">
        <v>7672721</v>
      </c>
      <c r="M191" s="1">
        <v>1000000</v>
      </c>
      <c r="N191" s="1">
        <v>3397788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11287346</v>
      </c>
      <c r="W191" s="1">
        <v>1900000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4550643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43006053</v>
      </c>
      <c r="AP191" s="1">
        <v>4397835</v>
      </c>
      <c r="AQ191" s="1">
        <v>38608218</v>
      </c>
      <c r="AR191" s="1">
        <v>7691082</v>
      </c>
      <c r="AS191" s="1">
        <v>1153662</v>
      </c>
      <c r="AT191" s="1">
        <f t="shared" si="12"/>
        <v>51850797</v>
      </c>
    </row>
    <row r="192" spans="1:46" x14ac:dyDescent="0.2">
      <c r="A192" s="1" t="str">
        <f>"00224"</f>
        <v>00224</v>
      </c>
      <c r="B192" s="1" t="str">
        <f>"مهدي"</f>
        <v>مهدي</v>
      </c>
      <c r="C192" s="1" t="str">
        <f>"محمدحسيني"</f>
        <v>محمدحسيني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5441669</v>
      </c>
      <c r="G192" s="1">
        <v>1643730</v>
      </c>
      <c r="H192" s="1">
        <v>0</v>
      </c>
      <c r="I192" s="1">
        <v>3428252</v>
      </c>
      <c r="J192" s="1">
        <v>0</v>
      </c>
      <c r="K192" s="1">
        <v>0</v>
      </c>
      <c r="L192" s="1">
        <v>7672721</v>
      </c>
      <c r="M192" s="1">
        <v>1000000</v>
      </c>
      <c r="N192" s="1">
        <v>2685034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9889832</v>
      </c>
      <c r="W192" s="1">
        <v>1900000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2884151</v>
      </c>
      <c r="AE192" s="1">
        <v>0</v>
      </c>
      <c r="AF192" s="1">
        <v>4550643</v>
      </c>
      <c r="AG192" s="1">
        <v>0</v>
      </c>
      <c r="AH192" s="1">
        <v>0</v>
      </c>
      <c r="AI192" s="1">
        <v>0</v>
      </c>
      <c r="AJ192" s="1">
        <v>3944953</v>
      </c>
      <c r="AK192" s="1">
        <v>0</v>
      </c>
      <c r="AL192" s="1">
        <v>0</v>
      </c>
      <c r="AM192" s="1">
        <v>0</v>
      </c>
      <c r="AN192" s="1">
        <v>0</v>
      </c>
      <c r="AO192" s="1">
        <v>45040985</v>
      </c>
      <c r="AP192" s="1">
        <v>3870990</v>
      </c>
      <c r="AQ192" s="1">
        <v>41169995</v>
      </c>
      <c r="AR192" s="1">
        <v>8098068</v>
      </c>
      <c r="AS192" s="1">
        <v>1214710</v>
      </c>
      <c r="AT192" s="1">
        <f t="shared" si="12"/>
        <v>54353763</v>
      </c>
    </row>
    <row r="193" spans="1:46" x14ac:dyDescent="0.2">
      <c r="A193" s="1" t="str">
        <f>"00225"</f>
        <v>00225</v>
      </c>
      <c r="B193" s="1" t="str">
        <f>"عبدالمجيد"</f>
        <v>عبدالمجيد</v>
      </c>
      <c r="C193" s="1" t="str">
        <f>"ولي زاده"</f>
        <v>ولي زاده</v>
      </c>
      <c r="D193" s="1" t="str">
        <f>"قراردادي بهره بردار"</f>
        <v>قراردادي بهره بردار</v>
      </c>
      <c r="E193" s="1" t="str">
        <f>"پروژه بهره برداري نيروگاه بوشهر"</f>
        <v>پروژه بهره برداري نيروگاه بوشهر</v>
      </c>
      <c r="F193" s="1">
        <v>33539107</v>
      </c>
      <c r="G193" s="1">
        <v>6704957</v>
      </c>
      <c r="H193" s="1">
        <v>0</v>
      </c>
      <c r="I193" s="1">
        <v>37322848</v>
      </c>
      <c r="J193" s="1">
        <v>0</v>
      </c>
      <c r="K193" s="1">
        <v>5500000</v>
      </c>
      <c r="L193" s="1">
        <v>0</v>
      </c>
      <c r="M193" s="1">
        <v>1000000</v>
      </c>
      <c r="N193" s="1">
        <v>5413137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1387000</v>
      </c>
      <c r="U193" s="1">
        <v>0</v>
      </c>
      <c r="V193" s="1">
        <v>29970890</v>
      </c>
      <c r="W193" s="1">
        <v>1900000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3866527</v>
      </c>
      <c r="AF193" s="1">
        <v>3033762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8661020</v>
      </c>
      <c r="AM193" s="1">
        <v>0</v>
      </c>
      <c r="AN193" s="1">
        <v>0</v>
      </c>
      <c r="AO193" s="1">
        <v>138299248</v>
      </c>
      <c r="AP193" s="1">
        <v>60453168</v>
      </c>
      <c r="AQ193" s="1">
        <v>77846080</v>
      </c>
      <c r="AR193" s="1">
        <v>26552511</v>
      </c>
      <c r="AS193" s="1">
        <v>3982877</v>
      </c>
      <c r="AT193" s="1">
        <f t="shared" si="12"/>
        <v>168834636</v>
      </c>
    </row>
    <row r="194" spans="1:46" x14ac:dyDescent="0.2">
      <c r="A194" s="1" t="str">
        <f>"00226"</f>
        <v>00226</v>
      </c>
      <c r="B194" s="1" t="str">
        <f>"عليرضا"</f>
        <v>عليرضا</v>
      </c>
      <c r="C194" s="1" t="str">
        <f>"هوشنگي"</f>
        <v>هوشنگي</v>
      </c>
      <c r="D194" s="1" t="str">
        <f>"قراردادي کارگري"</f>
        <v>قراردادي کارگري</v>
      </c>
      <c r="E194" s="1" t="str">
        <f>"پروژه تعميرات نيروگاه بوشهر"</f>
        <v>پروژه تعميرات نيروگاه بوشهر</v>
      </c>
      <c r="F194" s="1">
        <v>7364804</v>
      </c>
      <c r="G194" s="1">
        <v>1620793</v>
      </c>
      <c r="H194" s="1">
        <v>0</v>
      </c>
      <c r="I194" s="1">
        <v>5008067</v>
      </c>
      <c r="J194" s="1">
        <v>0</v>
      </c>
      <c r="K194" s="1">
        <v>0</v>
      </c>
      <c r="L194" s="1">
        <v>7628143</v>
      </c>
      <c r="M194" s="1">
        <v>1000000</v>
      </c>
      <c r="N194" s="1">
        <v>3876213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8935569</v>
      </c>
      <c r="W194" s="1">
        <v>1900000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3581584</v>
      </c>
      <c r="AE194" s="1">
        <v>0</v>
      </c>
      <c r="AF194" s="1">
        <v>1516881</v>
      </c>
      <c r="AG194" s="1">
        <v>0</v>
      </c>
      <c r="AH194" s="1">
        <v>0</v>
      </c>
      <c r="AI194" s="1">
        <v>0</v>
      </c>
      <c r="AJ194" s="1">
        <v>4445605</v>
      </c>
      <c r="AK194" s="1">
        <v>0</v>
      </c>
      <c r="AL194" s="1">
        <v>0</v>
      </c>
      <c r="AM194" s="1">
        <v>0</v>
      </c>
      <c r="AN194" s="1">
        <v>0</v>
      </c>
      <c r="AO194" s="1">
        <v>46877659</v>
      </c>
      <c r="AP194" s="1">
        <v>4361495</v>
      </c>
      <c r="AQ194" s="1">
        <v>42516164</v>
      </c>
      <c r="AR194" s="1">
        <v>9072156</v>
      </c>
      <c r="AS194" s="1">
        <v>1360823</v>
      </c>
      <c r="AT194" s="1">
        <f t="shared" si="12"/>
        <v>57310638</v>
      </c>
    </row>
    <row r="195" spans="1:46" x14ac:dyDescent="0.2">
      <c r="A195" s="1" t="str">
        <f>"00227"</f>
        <v>00227</v>
      </c>
      <c r="B195" s="1" t="str">
        <f>"غلامحسين"</f>
        <v>غلامحسين</v>
      </c>
      <c r="C195" s="1" t="str">
        <f>"سليماني"</f>
        <v>سليماني</v>
      </c>
      <c r="D195" s="1" t="str">
        <f>"قراردادي کارگري"</f>
        <v>قراردادي کارگري</v>
      </c>
      <c r="E195" s="1" t="str">
        <f>"پروژه تعميرات نيروگاه بوشهر"</f>
        <v>پروژه تعميرات نيروگاه بوشهر</v>
      </c>
      <c r="F195" s="1">
        <v>5750854</v>
      </c>
      <c r="G195" s="1">
        <v>0</v>
      </c>
      <c r="H195" s="1">
        <v>0</v>
      </c>
      <c r="I195" s="1">
        <v>4888227</v>
      </c>
      <c r="J195" s="1">
        <v>0</v>
      </c>
      <c r="K195" s="1">
        <v>0</v>
      </c>
      <c r="L195" s="1">
        <v>7672721</v>
      </c>
      <c r="M195" s="1">
        <v>1000000</v>
      </c>
      <c r="N195" s="1">
        <v>2837591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5312133</v>
      </c>
      <c r="W195" s="1">
        <v>1900000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1516881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30878407</v>
      </c>
      <c r="AP195" s="1">
        <v>2596613</v>
      </c>
      <c r="AQ195" s="1">
        <v>28281794</v>
      </c>
      <c r="AR195" s="1">
        <v>5872305</v>
      </c>
      <c r="AS195" s="1">
        <v>880846</v>
      </c>
      <c r="AT195" s="1">
        <f t="shared" ref="AT195:AT258" si="17">AO195+AR195+AS195</f>
        <v>37631558</v>
      </c>
    </row>
    <row r="196" spans="1:46" x14ac:dyDescent="0.2">
      <c r="A196" s="1" t="str">
        <f>"00228"</f>
        <v>00228</v>
      </c>
      <c r="B196" s="1" t="str">
        <f>"محمود"</f>
        <v>محمود</v>
      </c>
      <c r="C196" s="1" t="str">
        <f>"شوركي"</f>
        <v>شوركي</v>
      </c>
      <c r="D196" s="1" t="str">
        <f>"قراردادي کارگري"</f>
        <v>قراردادي کارگري</v>
      </c>
      <c r="E196" s="1" t="str">
        <f>"پروژه تعميرات نيروگاه بوشهر"</f>
        <v>پروژه تعميرات نيروگاه بوشهر</v>
      </c>
      <c r="F196" s="1">
        <v>9570844</v>
      </c>
      <c r="G196" s="1">
        <v>21217138</v>
      </c>
      <c r="H196" s="1">
        <v>0</v>
      </c>
      <c r="I196" s="1">
        <v>7082425</v>
      </c>
      <c r="J196" s="1">
        <v>0</v>
      </c>
      <c r="K196" s="1">
        <v>0</v>
      </c>
      <c r="L196" s="1">
        <v>7628143</v>
      </c>
      <c r="M196" s="1">
        <v>1000000</v>
      </c>
      <c r="N196" s="1">
        <v>5070647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6874104</v>
      </c>
      <c r="W196" s="1">
        <v>1900000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3033762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63377063</v>
      </c>
      <c r="AP196" s="1">
        <v>10421195</v>
      </c>
      <c r="AQ196" s="1">
        <v>52955868</v>
      </c>
      <c r="AR196" s="1">
        <v>12068660</v>
      </c>
      <c r="AS196" s="1">
        <v>1810299</v>
      </c>
      <c r="AT196" s="1">
        <f t="shared" si="17"/>
        <v>77256022</v>
      </c>
    </row>
    <row r="197" spans="1:46" x14ac:dyDescent="0.2">
      <c r="A197" s="1" t="str">
        <f>"00229"</f>
        <v>00229</v>
      </c>
      <c r="B197" s="1" t="str">
        <f>"حسين"</f>
        <v>حسين</v>
      </c>
      <c r="C197" s="1" t="str">
        <f>"پردل"</f>
        <v>پردل</v>
      </c>
      <c r="D197" s="1" t="str">
        <f>"قراردادي کارگري"</f>
        <v>قراردادي کارگري</v>
      </c>
      <c r="E197" s="1" t="str">
        <f>"پروژه تعميرات نيروگاه بوشهر"</f>
        <v>پروژه تعميرات نيروگاه بوشهر</v>
      </c>
      <c r="F197" s="1">
        <v>7333886</v>
      </c>
      <c r="G197" s="1">
        <v>4966680</v>
      </c>
      <c r="H197" s="1">
        <v>0</v>
      </c>
      <c r="I197" s="1">
        <v>7113869</v>
      </c>
      <c r="J197" s="1">
        <v>0</v>
      </c>
      <c r="K197" s="1">
        <v>0</v>
      </c>
      <c r="L197" s="1">
        <v>7672721</v>
      </c>
      <c r="M197" s="1">
        <v>1000000</v>
      </c>
      <c r="N197" s="1">
        <v>3859938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6012745</v>
      </c>
      <c r="W197" s="1">
        <v>1900000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3033762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42893601</v>
      </c>
      <c r="AP197" s="1">
        <v>13911318</v>
      </c>
      <c r="AQ197" s="1">
        <v>28982283</v>
      </c>
      <c r="AR197" s="1">
        <v>7971968</v>
      </c>
      <c r="AS197" s="1">
        <v>1195795</v>
      </c>
      <c r="AT197" s="1">
        <f t="shared" si="17"/>
        <v>52061364</v>
      </c>
    </row>
    <row r="198" spans="1:46" x14ac:dyDescent="0.2">
      <c r="A198" s="1" t="str">
        <f>"00230"</f>
        <v>00230</v>
      </c>
      <c r="B198" s="1" t="str">
        <f>"عباس"</f>
        <v>عباس</v>
      </c>
      <c r="C198" s="1" t="str">
        <f>"شيركاني"</f>
        <v>شيركاني</v>
      </c>
      <c r="D198" s="1" t="str">
        <f>"قراردادي بهره بردار"</f>
        <v>قراردادي بهره بردار</v>
      </c>
      <c r="E198" s="1" t="str">
        <f>"پروژه بهره برداري نيروگاه بوشهر"</f>
        <v>پروژه بهره برداري نيروگاه بوشهر</v>
      </c>
      <c r="F198" s="1">
        <v>12968747</v>
      </c>
      <c r="G198" s="1">
        <v>2124010</v>
      </c>
      <c r="H198" s="1">
        <v>0</v>
      </c>
      <c r="I198" s="1">
        <v>9069599</v>
      </c>
      <c r="J198" s="1">
        <v>0</v>
      </c>
      <c r="K198" s="1">
        <v>4620000</v>
      </c>
      <c r="L198" s="1">
        <v>0</v>
      </c>
      <c r="M198" s="1">
        <v>1000000</v>
      </c>
      <c r="N198" s="1">
        <v>2016509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1606000</v>
      </c>
      <c r="U198" s="1">
        <v>0</v>
      </c>
      <c r="V198" s="1">
        <v>15449379</v>
      </c>
      <c r="W198" s="1">
        <v>1900000</v>
      </c>
      <c r="X198" s="1">
        <v>1882560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1440363</v>
      </c>
      <c r="AF198" s="1">
        <v>3033762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9222488</v>
      </c>
      <c r="AM198" s="1">
        <v>0</v>
      </c>
      <c r="AN198" s="1">
        <v>0</v>
      </c>
      <c r="AO198" s="1">
        <v>66333417</v>
      </c>
      <c r="AP198" s="1">
        <v>22454604</v>
      </c>
      <c r="AQ198" s="1">
        <v>43878813</v>
      </c>
      <c r="AR198" s="1">
        <v>12659931</v>
      </c>
      <c r="AS198" s="1">
        <v>1898990</v>
      </c>
      <c r="AT198" s="1">
        <f t="shared" si="17"/>
        <v>80892338</v>
      </c>
    </row>
    <row r="199" spans="1:46" x14ac:dyDescent="0.2">
      <c r="A199" s="1" t="str">
        <f>"00231"</f>
        <v>00231</v>
      </c>
      <c r="B199" s="1" t="str">
        <f>"شاهرخ"</f>
        <v>شاهرخ</v>
      </c>
      <c r="C199" s="1" t="str">
        <f>"چمن کار"</f>
        <v>چمن کار</v>
      </c>
      <c r="D199" s="1" t="str">
        <f t="shared" ref="D199:D209" si="18">"قراردادي کارگري"</f>
        <v>قراردادي کارگري</v>
      </c>
      <c r="E199" s="1" t="str">
        <f t="shared" ref="E199:E209" si="19">"پروژه تعميرات نيروگاه بوشهر"</f>
        <v>پروژه تعميرات نيروگاه بوشهر</v>
      </c>
      <c r="F199" s="1">
        <v>10531043</v>
      </c>
      <c r="G199" s="1">
        <v>8574332</v>
      </c>
      <c r="H199" s="1">
        <v>0</v>
      </c>
      <c r="I199" s="1">
        <v>11900079</v>
      </c>
      <c r="J199" s="1">
        <v>0</v>
      </c>
      <c r="K199" s="1">
        <v>0</v>
      </c>
      <c r="L199" s="1">
        <v>7462913</v>
      </c>
      <c r="M199" s="1">
        <v>1000000</v>
      </c>
      <c r="N199" s="1">
        <v>5332173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13378007</v>
      </c>
      <c r="W199" s="1">
        <v>1900000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1516881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61595428</v>
      </c>
      <c r="AP199" s="1">
        <v>6760491</v>
      </c>
      <c r="AQ199" s="1">
        <v>54834937</v>
      </c>
      <c r="AR199" s="1">
        <v>12015709</v>
      </c>
      <c r="AS199" s="1">
        <v>1802356</v>
      </c>
      <c r="AT199" s="1">
        <f t="shared" si="17"/>
        <v>75413493</v>
      </c>
    </row>
    <row r="200" spans="1:46" x14ac:dyDescent="0.2">
      <c r="A200" s="1" t="str">
        <f>"00232"</f>
        <v>00232</v>
      </c>
      <c r="B200" s="1" t="str">
        <f>"مهدي"</f>
        <v>مهدي</v>
      </c>
      <c r="C200" s="1" t="str">
        <f>"خليلي نيا"</f>
        <v>خليلي نيا</v>
      </c>
      <c r="D200" s="1" t="str">
        <f t="shared" si="18"/>
        <v>قراردادي کارگري</v>
      </c>
      <c r="E200" s="1" t="str">
        <f t="shared" si="19"/>
        <v>پروژه تعميرات نيروگاه بوشهر</v>
      </c>
      <c r="F200" s="1">
        <v>7549787</v>
      </c>
      <c r="G200" s="1">
        <v>1833472</v>
      </c>
      <c r="H200" s="1">
        <v>0</v>
      </c>
      <c r="I200" s="1">
        <v>5586842</v>
      </c>
      <c r="J200" s="1">
        <v>0</v>
      </c>
      <c r="K200" s="1">
        <v>0</v>
      </c>
      <c r="L200" s="1">
        <v>7628143</v>
      </c>
      <c r="M200" s="1">
        <v>1000000</v>
      </c>
      <c r="N200" s="1">
        <v>3999887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12353790</v>
      </c>
      <c r="W200" s="1">
        <v>1900000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3714699</v>
      </c>
      <c r="AE200" s="1">
        <v>0</v>
      </c>
      <c r="AF200" s="1">
        <v>3033762</v>
      </c>
      <c r="AG200" s="1">
        <v>0</v>
      </c>
      <c r="AH200" s="1">
        <v>0</v>
      </c>
      <c r="AI200" s="1">
        <v>0</v>
      </c>
      <c r="AJ200" s="1">
        <v>5028951</v>
      </c>
      <c r="AK200" s="1">
        <v>0</v>
      </c>
      <c r="AL200" s="1">
        <v>0</v>
      </c>
      <c r="AM200" s="1">
        <v>0</v>
      </c>
      <c r="AN200" s="1">
        <v>0</v>
      </c>
      <c r="AO200" s="1">
        <v>53629333</v>
      </c>
      <c r="AP200" s="1">
        <v>6329530</v>
      </c>
      <c r="AQ200" s="1">
        <v>47299803</v>
      </c>
      <c r="AR200" s="1">
        <v>10119114</v>
      </c>
      <c r="AS200" s="1">
        <v>1517867</v>
      </c>
      <c r="AT200" s="1">
        <f t="shared" si="17"/>
        <v>65266314</v>
      </c>
    </row>
    <row r="201" spans="1:46" x14ac:dyDescent="0.2">
      <c r="A201" s="1" t="str">
        <f>"00233"</f>
        <v>00233</v>
      </c>
      <c r="B201" s="1" t="str">
        <f>"عباس"</f>
        <v>عباس</v>
      </c>
      <c r="C201" s="1" t="str">
        <f>"نيكروان"</f>
        <v>نيكروان</v>
      </c>
      <c r="D201" s="1" t="str">
        <f t="shared" si="18"/>
        <v>قراردادي کارگري</v>
      </c>
      <c r="E201" s="1" t="str">
        <f t="shared" si="19"/>
        <v>پروژه تعميرات نيروگاه بوشهر</v>
      </c>
      <c r="F201" s="1">
        <v>7543643</v>
      </c>
      <c r="G201" s="1">
        <v>1305066</v>
      </c>
      <c r="H201" s="1">
        <v>0</v>
      </c>
      <c r="I201" s="1">
        <v>5506860</v>
      </c>
      <c r="J201" s="1">
        <v>0</v>
      </c>
      <c r="K201" s="1">
        <v>0</v>
      </c>
      <c r="L201" s="1">
        <v>7628143</v>
      </c>
      <c r="M201" s="1">
        <v>1000000</v>
      </c>
      <c r="N201" s="1">
        <v>3996633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12314016</v>
      </c>
      <c r="W201" s="1">
        <v>1900000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3701292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3340969</v>
      </c>
      <c r="AK201" s="1">
        <v>0</v>
      </c>
      <c r="AL201" s="1">
        <v>0</v>
      </c>
      <c r="AM201" s="1">
        <v>0</v>
      </c>
      <c r="AN201" s="1">
        <v>0</v>
      </c>
      <c r="AO201" s="1">
        <v>48236622</v>
      </c>
      <c r="AP201" s="1">
        <v>4678570</v>
      </c>
      <c r="AQ201" s="1">
        <v>43558052</v>
      </c>
      <c r="AR201" s="1">
        <v>9647324</v>
      </c>
      <c r="AS201" s="1">
        <v>1447099</v>
      </c>
      <c r="AT201" s="1">
        <f t="shared" si="17"/>
        <v>59331045</v>
      </c>
    </row>
    <row r="202" spans="1:46" x14ac:dyDescent="0.2">
      <c r="A202" s="1" t="str">
        <f>"00234"</f>
        <v>00234</v>
      </c>
      <c r="B202" s="1" t="str">
        <f>"حسن"</f>
        <v>حسن</v>
      </c>
      <c r="C202" s="1" t="str">
        <f>"فقيه"</f>
        <v>فقيه</v>
      </c>
      <c r="D202" s="1" t="str">
        <f t="shared" si="18"/>
        <v>قراردادي کارگري</v>
      </c>
      <c r="E202" s="1" t="str">
        <f t="shared" si="19"/>
        <v>پروژه تعميرات نيروگاه بوشهر</v>
      </c>
      <c r="F202" s="1">
        <v>7414274</v>
      </c>
      <c r="G202" s="1">
        <v>1804381</v>
      </c>
      <c r="H202" s="1">
        <v>0</v>
      </c>
      <c r="I202" s="1">
        <v>5412420</v>
      </c>
      <c r="J202" s="1">
        <v>0</v>
      </c>
      <c r="K202" s="1">
        <v>0</v>
      </c>
      <c r="L202" s="1">
        <v>7628143</v>
      </c>
      <c r="M202" s="1">
        <v>1000000</v>
      </c>
      <c r="N202" s="1">
        <v>3902249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12172420</v>
      </c>
      <c r="W202" s="1">
        <v>1900000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4550643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45784530</v>
      </c>
      <c r="AP202" s="1">
        <v>6242014</v>
      </c>
      <c r="AQ202" s="1">
        <v>39542516</v>
      </c>
      <c r="AR202" s="1">
        <v>8246777</v>
      </c>
      <c r="AS202" s="1">
        <v>1237017</v>
      </c>
      <c r="AT202" s="1">
        <f t="shared" si="17"/>
        <v>55268324</v>
      </c>
    </row>
    <row r="203" spans="1:46" x14ac:dyDescent="0.2">
      <c r="A203" s="1" t="str">
        <f>"00235"</f>
        <v>00235</v>
      </c>
      <c r="B203" s="1" t="str">
        <f>"حسين"</f>
        <v>حسين</v>
      </c>
      <c r="C203" s="1" t="str">
        <f>"خليلي"</f>
        <v>خليلي</v>
      </c>
      <c r="D203" s="1" t="str">
        <f t="shared" si="18"/>
        <v>قراردادي کارگري</v>
      </c>
      <c r="E203" s="1" t="str">
        <f t="shared" si="19"/>
        <v>پروژه تعميرات نيروگاه بوشهر</v>
      </c>
      <c r="F203" s="1">
        <v>9158081</v>
      </c>
      <c r="G203" s="1">
        <v>2398044</v>
      </c>
      <c r="H203" s="1">
        <v>0</v>
      </c>
      <c r="I203" s="1">
        <v>6868562</v>
      </c>
      <c r="J203" s="1">
        <v>0</v>
      </c>
      <c r="K203" s="1">
        <v>0</v>
      </c>
      <c r="L203" s="1">
        <v>7628143</v>
      </c>
      <c r="M203" s="1">
        <v>1000000</v>
      </c>
      <c r="N203" s="1">
        <v>4820043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14004815</v>
      </c>
      <c r="W203" s="1">
        <v>1900000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4271224</v>
      </c>
      <c r="AE203" s="1">
        <v>0</v>
      </c>
      <c r="AF203" s="1">
        <v>3033762</v>
      </c>
      <c r="AG203" s="1">
        <v>0</v>
      </c>
      <c r="AH203" s="1">
        <v>0</v>
      </c>
      <c r="AI203" s="1">
        <v>0</v>
      </c>
      <c r="AJ203" s="1">
        <v>5755307</v>
      </c>
      <c r="AK203" s="1">
        <v>0</v>
      </c>
      <c r="AL203" s="1">
        <v>0</v>
      </c>
      <c r="AM203" s="1">
        <v>0</v>
      </c>
      <c r="AN203" s="1">
        <v>0</v>
      </c>
      <c r="AO203" s="1">
        <v>60837981</v>
      </c>
      <c r="AP203" s="1">
        <v>7662249</v>
      </c>
      <c r="AQ203" s="1">
        <v>53175732</v>
      </c>
      <c r="AR203" s="1">
        <v>11560844</v>
      </c>
      <c r="AS203" s="1">
        <v>1734127</v>
      </c>
      <c r="AT203" s="1">
        <f t="shared" si="17"/>
        <v>74132952</v>
      </c>
    </row>
    <row r="204" spans="1:46" x14ac:dyDescent="0.2">
      <c r="A204" s="1" t="str">
        <f>"00236"</f>
        <v>00236</v>
      </c>
      <c r="B204" s="1" t="str">
        <f>"مهدي"</f>
        <v>مهدي</v>
      </c>
      <c r="C204" s="1" t="str">
        <f>"افتخار"</f>
        <v>افتخار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8508100</v>
      </c>
      <c r="G204" s="1">
        <v>1981334</v>
      </c>
      <c r="H204" s="1">
        <v>0</v>
      </c>
      <c r="I204" s="1">
        <v>6295994</v>
      </c>
      <c r="J204" s="1">
        <v>0</v>
      </c>
      <c r="K204" s="1">
        <v>0</v>
      </c>
      <c r="L204" s="1">
        <v>7628143</v>
      </c>
      <c r="M204" s="1">
        <v>1000000</v>
      </c>
      <c r="N204" s="1">
        <v>4507602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13172062</v>
      </c>
      <c r="W204" s="1">
        <v>1900000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4040976</v>
      </c>
      <c r="AE204" s="1">
        <v>0</v>
      </c>
      <c r="AF204" s="1">
        <v>3033762</v>
      </c>
      <c r="AG204" s="1">
        <v>0</v>
      </c>
      <c r="AH204" s="1">
        <v>0</v>
      </c>
      <c r="AI204" s="1">
        <v>0</v>
      </c>
      <c r="AJ204" s="1">
        <v>5434516</v>
      </c>
      <c r="AK204" s="1">
        <v>0</v>
      </c>
      <c r="AL204" s="1">
        <v>0</v>
      </c>
      <c r="AM204" s="1">
        <v>0</v>
      </c>
      <c r="AN204" s="1">
        <v>0</v>
      </c>
      <c r="AO204" s="1">
        <v>57502489</v>
      </c>
      <c r="AP204" s="1">
        <v>7046819</v>
      </c>
      <c r="AQ204" s="1">
        <v>50455670</v>
      </c>
      <c r="AR204" s="1">
        <v>10893745</v>
      </c>
      <c r="AS204" s="1">
        <v>1634062</v>
      </c>
      <c r="AT204" s="1">
        <f t="shared" si="17"/>
        <v>70030296</v>
      </c>
    </row>
    <row r="205" spans="1:46" x14ac:dyDescent="0.2">
      <c r="A205" s="1" t="str">
        <f>"00237"</f>
        <v>00237</v>
      </c>
      <c r="B205" s="1" t="str">
        <f>"عارف"</f>
        <v>عارف</v>
      </c>
      <c r="C205" s="1" t="str">
        <f>"حسن احمدي"</f>
        <v>حسن احمدي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7086537</v>
      </c>
      <c r="G205" s="1">
        <v>1492700</v>
      </c>
      <c r="H205" s="1">
        <v>0</v>
      </c>
      <c r="I205" s="1">
        <v>5031442</v>
      </c>
      <c r="J205" s="1">
        <v>0</v>
      </c>
      <c r="K205" s="1">
        <v>0</v>
      </c>
      <c r="L205" s="1">
        <v>7628143</v>
      </c>
      <c r="M205" s="1">
        <v>1000000</v>
      </c>
      <c r="N205" s="1">
        <v>3729755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11780282</v>
      </c>
      <c r="W205" s="1">
        <v>1900000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3521381</v>
      </c>
      <c r="AE205" s="1">
        <v>0</v>
      </c>
      <c r="AF205" s="1">
        <v>4550643</v>
      </c>
      <c r="AG205" s="1">
        <v>0</v>
      </c>
      <c r="AH205" s="1">
        <v>0</v>
      </c>
      <c r="AI205" s="1">
        <v>0</v>
      </c>
      <c r="AJ205" s="1">
        <v>3184427</v>
      </c>
      <c r="AK205" s="1">
        <v>0</v>
      </c>
      <c r="AL205" s="1">
        <v>0</v>
      </c>
      <c r="AM205" s="1">
        <v>0</v>
      </c>
      <c r="AN205" s="1">
        <v>0</v>
      </c>
      <c r="AO205" s="1">
        <v>50905310</v>
      </c>
      <c r="AP205" s="1">
        <v>4826875</v>
      </c>
      <c r="AQ205" s="1">
        <v>46078435</v>
      </c>
      <c r="AR205" s="1">
        <v>9270933</v>
      </c>
      <c r="AS205" s="1">
        <v>1390640</v>
      </c>
      <c r="AT205" s="1">
        <f t="shared" si="17"/>
        <v>61566883</v>
      </c>
    </row>
    <row r="206" spans="1:46" x14ac:dyDescent="0.2">
      <c r="A206" s="1" t="str">
        <f>"00238"</f>
        <v>00238</v>
      </c>
      <c r="B206" s="1" t="str">
        <f>"محمد"</f>
        <v>محمد</v>
      </c>
      <c r="C206" s="1" t="str">
        <f>"حيدري"</f>
        <v>حيدري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7129823</v>
      </c>
      <c r="G206" s="1">
        <v>2009795</v>
      </c>
      <c r="H206" s="1">
        <v>0</v>
      </c>
      <c r="I206" s="1">
        <v>5204771</v>
      </c>
      <c r="J206" s="1">
        <v>0</v>
      </c>
      <c r="K206" s="1">
        <v>0</v>
      </c>
      <c r="L206" s="1">
        <v>7628143</v>
      </c>
      <c r="M206" s="1">
        <v>1000000</v>
      </c>
      <c r="N206" s="1">
        <v>3752538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11886815</v>
      </c>
      <c r="W206" s="1">
        <v>1900000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3557291</v>
      </c>
      <c r="AE206" s="1">
        <v>0</v>
      </c>
      <c r="AF206" s="1">
        <v>3033762</v>
      </c>
      <c r="AG206" s="1">
        <v>0</v>
      </c>
      <c r="AH206" s="1">
        <v>0</v>
      </c>
      <c r="AI206" s="1">
        <v>0</v>
      </c>
      <c r="AJ206" s="1">
        <v>4823509</v>
      </c>
      <c r="AK206" s="1">
        <v>0</v>
      </c>
      <c r="AL206" s="1">
        <v>0</v>
      </c>
      <c r="AM206" s="1">
        <v>0</v>
      </c>
      <c r="AN206" s="1">
        <v>0</v>
      </c>
      <c r="AO206" s="1">
        <v>51926447</v>
      </c>
      <c r="AP206" s="1">
        <v>6588884</v>
      </c>
      <c r="AQ206" s="1">
        <v>45337563</v>
      </c>
      <c r="AR206" s="1">
        <v>9778537</v>
      </c>
      <c r="AS206" s="1">
        <v>1466781</v>
      </c>
      <c r="AT206" s="1">
        <f t="shared" si="17"/>
        <v>63171765</v>
      </c>
    </row>
    <row r="207" spans="1:46" x14ac:dyDescent="0.2">
      <c r="A207" s="1" t="str">
        <f>"00239"</f>
        <v>00239</v>
      </c>
      <c r="B207" s="1" t="str">
        <f>"حيدر"</f>
        <v>حيدر</v>
      </c>
      <c r="C207" s="1" t="str">
        <f>"توكلي"</f>
        <v>توكلي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9245263</v>
      </c>
      <c r="G207" s="1">
        <v>3065928</v>
      </c>
      <c r="H207" s="1">
        <v>0</v>
      </c>
      <c r="I207" s="1">
        <v>7303758</v>
      </c>
      <c r="J207" s="1">
        <v>0</v>
      </c>
      <c r="K207" s="1">
        <v>0</v>
      </c>
      <c r="L207" s="1">
        <v>7628143</v>
      </c>
      <c r="M207" s="1">
        <v>1000000</v>
      </c>
      <c r="N207" s="1">
        <v>4898152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10423395</v>
      </c>
      <c r="W207" s="1">
        <v>1900000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4550643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50015282</v>
      </c>
      <c r="AP207" s="1">
        <v>8237676</v>
      </c>
      <c r="AQ207" s="1">
        <v>41777606</v>
      </c>
      <c r="AR207" s="1">
        <v>9092928</v>
      </c>
      <c r="AS207" s="1">
        <v>1363939</v>
      </c>
      <c r="AT207" s="1">
        <f t="shared" si="17"/>
        <v>60472149</v>
      </c>
    </row>
    <row r="208" spans="1:46" x14ac:dyDescent="0.2">
      <c r="A208" s="1" t="str">
        <f>"00240"</f>
        <v>00240</v>
      </c>
      <c r="B208" s="1" t="str">
        <f>"عبدالنبي"</f>
        <v>عبدالنبي</v>
      </c>
      <c r="C208" s="1" t="str">
        <f>"بحريني"</f>
        <v>بحريني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8527343</v>
      </c>
      <c r="G208" s="1">
        <v>3627683</v>
      </c>
      <c r="H208" s="1">
        <v>0</v>
      </c>
      <c r="I208" s="1">
        <v>6736601</v>
      </c>
      <c r="J208" s="1">
        <v>0</v>
      </c>
      <c r="K208" s="1">
        <v>0</v>
      </c>
      <c r="L208" s="1">
        <v>7628143</v>
      </c>
      <c r="M208" s="1">
        <v>1000000</v>
      </c>
      <c r="N208" s="1">
        <v>4488075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9340875</v>
      </c>
      <c r="W208" s="1">
        <v>1900000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3033762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46282482</v>
      </c>
      <c r="AP208" s="1">
        <v>13428707</v>
      </c>
      <c r="AQ208" s="1">
        <v>32853775</v>
      </c>
      <c r="AR208" s="1">
        <v>8649744</v>
      </c>
      <c r="AS208" s="1">
        <v>1297462</v>
      </c>
      <c r="AT208" s="1">
        <f t="shared" si="17"/>
        <v>56229688</v>
      </c>
    </row>
    <row r="209" spans="1:46" x14ac:dyDescent="0.2">
      <c r="A209" s="1" t="str">
        <f>"00241"</f>
        <v>00241</v>
      </c>
      <c r="B209" s="1" t="str">
        <f>"سجاد"</f>
        <v>سجاد</v>
      </c>
      <c r="C209" s="1" t="str">
        <f>"مقدم پور"</f>
        <v>مقدم پور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1">
        <v>10138735</v>
      </c>
      <c r="G209" s="1">
        <v>0</v>
      </c>
      <c r="H209" s="1">
        <v>0</v>
      </c>
      <c r="I209" s="1">
        <v>8212375</v>
      </c>
      <c r="J209" s="1">
        <v>0</v>
      </c>
      <c r="K209" s="1">
        <v>0</v>
      </c>
      <c r="L209" s="1">
        <v>7462913</v>
      </c>
      <c r="M209" s="1">
        <v>1000000</v>
      </c>
      <c r="N209" s="1">
        <v>5407326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8896684</v>
      </c>
      <c r="W209" s="1">
        <v>1900000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1516881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44534914</v>
      </c>
      <c r="AP209" s="1">
        <v>3979627</v>
      </c>
      <c r="AQ209" s="1">
        <v>40555287</v>
      </c>
      <c r="AR209" s="1">
        <v>8603607</v>
      </c>
      <c r="AS209" s="1">
        <v>1290541</v>
      </c>
      <c r="AT209" s="1">
        <f t="shared" si="17"/>
        <v>54429062</v>
      </c>
    </row>
    <row r="210" spans="1:46" x14ac:dyDescent="0.2">
      <c r="A210" s="1" t="str">
        <f>"00242"</f>
        <v>00242</v>
      </c>
      <c r="B210" s="1" t="str">
        <f>"مجاهد"</f>
        <v>مجاهد</v>
      </c>
      <c r="C210" s="1" t="str">
        <f>"نصاري"</f>
        <v>نصاري</v>
      </c>
      <c r="D210" s="1" t="str">
        <f>"قراردادي بهره بردار"</f>
        <v>قراردادي بهره بردار</v>
      </c>
      <c r="E210" s="1" t="str">
        <f>"پروژه بهره برداري نيروگاه بوشهر"</f>
        <v>پروژه بهره برداري نيروگاه بوشهر</v>
      </c>
      <c r="F210" s="1">
        <v>15301807</v>
      </c>
      <c r="G210" s="1">
        <v>1116498</v>
      </c>
      <c r="H210" s="1">
        <v>0</v>
      </c>
      <c r="I210" s="1">
        <v>12003942</v>
      </c>
      <c r="J210" s="1">
        <v>0</v>
      </c>
      <c r="K210" s="1">
        <v>0</v>
      </c>
      <c r="L210" s="1">
        <v>0</v>
      </c>
      <c r="M210" s="1">
        <v>1000000</v>
      </c>
      <c r="N210" s="1">
        <v>2833080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1606000</v>
      </c>
      <c r="U210" s="1">
        <v>0</v>
      </c>
      <c r="V210" s="1">
        <v>12480747</v>
      </c>
      <c r="W210" s="1">
        <v>1900000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2023628</v>
      </c>
      <c r="AF210" s="1">
        <v>3033762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8098018</v>
      </c>
      <c r="AM210" s="1">
        <v>0</v>
      </c>
      <c r="AN210" s="1">
        <v>0</v>
      </c>
      <c r="AO210" s="1">
        <v>61397482</v>
      </c>
      <c r="AP210" s="1">
        <v>31696636</v>
      </c>
      <c r="AQ210" s="1">
        <v>29700846</v>
      </c>
      <c r="AR210" s="1">
        <v>11672744</v>
      </c>
      <c r="AS210" s="1">
        <v>1750912</v>
      </c>
      <c r="AT210" s="1">
        <f t="shared" si="17"/>
        <v>74821138</v>
      </c>
    </row>
    <row r="211" spans="1:46" x14ac:dyDescent="0.2">
      <c r="A211" s="1" t="str">
        <f>"00243"</f>
        <v>00243</v>
      </c>
      <c r="B211" s="1" t="str">
        <f>"هادي"</f>
        <v>هادي</v>
      </c>
      <c r="C211" s="1" t="str">
        <f>"آذرباد"</f>
        <v>آذرباد</v>
      </c>
      <c r="D211" s="1" t="str">
        <f>"قراردادي کارگري"</f>
        <v>قراردادي کارگري</v>
      </c>
      <c r="E211" s="1" t="str">
        <f>"پروژه تعميرات نيروگاه بوشهر"</f>
        <v>پروژه تعميرات نيروگاه بوشهر</v>
      </c>
      <c r="F211" s="1">
        <v>11903451</v>
      </c>
      <c r="G211" s="1">
        <v>4751924</v>
      </c>
      <c r="H211" s="1">
        <v>0</v>
      </c>
      <c r="I211" s="1">
        <v>9998899</v>
      </c>
      <c r="J211" s="1">
        <v>0</v>
      </c>
      <c r="K211" s="1">
        <v>0</v>
      </c>
      <c r="L211" s="1">
        <v>7462913</v>
      </c>
      <c r="M211" s="1">
        <v>1000000</v>
      </c>
      <c r="N211" s="1">
        <v>6348509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12387340</v>
      </c>
      <c r="W211" s="1">
        <v>1900000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1516881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57269917</v>
      </c>
      <c r="AP211" s="1">
        <v>23203015</v>
      </c>
      <c r="AQ211" s="1">
        <v>34066902</v>
      </c>
      <c r="AR211" s="1">
        <v>11150607</v>
      </c>
      <c r="AS211" s="1">
        <v>1672591</v>
      </c>
      <c r="AT211" s="1">
        <f t="shared" si="17"/>
        <v>70093115</v>
      </c>
    </row>
    <row r="212" spans="1:46" x14ac:dyDescent="0.2">
      <c r="A212" s="1" t="str">
        <f>"00244"</f>
        <v>00244</v>
      </c>
      <c r="B212" s="1" t="str">
        <f>"فريدون"</f>
        <v>فريدون</v>
      </c>
      <c r="C212" s="1" t="str">
        <f>"بناءزاده"</f>
        <v>بناءزاده</v>
      </c>
      <c r="D212" s="1" t="str">
        <f>"قراردادي بهره بردار"</f>
        <v>قراردادي بهره بردار</v>
      </c>
      <c r="E212" s="1" t="str">
        <f>"پروژه بهره برداري نيروگاه بوشهر"</f>
        <v>پروژه بهره برداري نيروگاه بوشهر</v>
      </c>
      <c r="F212" s="1">
        <v>30483127</v>
      </c>
      <c r="G212" s="1">
        <v>4601303</v>
      </c>
      <c r="H212" s="1">
        <v>0</v>
      </c>
      <c r="I212" s="1">
        <v>30913698</v>
      </c>
      <c r="J212" s="1">
        <v>0</v>
      </c>
      <c r="K212" s="1">
        <v>5500000</v>
      </c>
      <c r="L212" s="1">
        <v>0</v>
      </c>
      <c r="M212" s="1">
        <v>1000000</v>
      </c>
      <c r="N212" s="1">
        <v>4660205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1387000</v>
      </c>
      <c r="U212" s="1">
        <v>0</v>
      </c>
      <c r="V212" s="1">
        <v>17109716</v>
      </c>
      <c r="W212" s="1">
        <v>1900000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3328718</v>
      </c>
      <c r="AF212" s="1">
        <v>3033762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6657436</v>
      </c>
      <c r="AM212" s="1">
        <v>0</v>
      </c>
      <c r="AN212" s="1">
        <v>0</v>
      </c>
      <c r="AO212" s="1">
        <v>110574965</v>
      </c>
      <c r="AP212" s="1">
        <v>16847896</v>
      </c>
      <c r="AQ212" s="1">
        <v>93727069</v>
      </c>
      <c r="AR212" s="1">
        <v>21508241</v>
      </c>
      <c r="AS212" s="1">
        <v>3226236</v>
      </c>
      <c r="AT212" s="1">
        <f t="shared" si="17"/>
        <v>135309442</v>
      </c>
    </row>
    <row r="213" spans="1:46" x14ac:dyDescent="0.2">
      <c r="A213" s="1" t="str">
        <f>"00246"</f>
        <v>00246</v>
      </c>
      <c r="B213" s="1" t="str">
        <f>"جاويد"</f>
        <v>جاويد</v>
      </c>
      <c r="C213" s="1" t="str">
        <f>"ارمي"</f>
        <v>ارمي</v>
      </c>
      <c r="D213" s="1" t="str">
        <f>"قراردادي بهره بردار"</f>
        <v>قراردادي بهره بردار</v>
      </c>
      <c r="E213" s="1" t="str">
        <f>"پروژه بهره برداري نيروگاه بوشهر"</f>
        <v>پروژه بهره برداري نيروگاه بوشهر</v>
      </c>
      <c r="F213" s="1">
        <v>13612803</v>
      </c>
      <c r="G213" s="1">
        <v>3119976</v>
      </c>
      <c r="H213" s="1">
        <v>0</v>
      </c>
      <c r="I213" s="1">
        <v>10174882</v>
      </c>
      <c r="J213" s="1">
        <v>0</v>
      </c>
      <c r="K213" s="1">
        <v>4620000</v>
      </c>
      <c r="L213" s="1">
        <v>0</v>
      </c>
      <c r="M213" s="1">
        <v>1000000</v>
      </c>
      <c r="N213" s="1">
        <v>2241928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1606000</v>
      </c>
      <c r="U213" s="1">
        <v>0</v>
      </c>
      <c r="V213" s="1">
        <v>12669177</v>
      </c>
      <c r="W213" s="1">
        <v>1900000</v>
      </c>
      <c r="X213" s="1">
        <v>1976052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1601377</v>
      </c>
      <c r="AF213" s="1">
        <v>1516881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8827072</v>
      </c>
      <c r="AM213" s="1">
        <v>0</v>
      </c>
      <c r="AN213" s="1">
        <v>0</v>
      </c>
      <c r="AO213" s="1">
        <v>64866148</v>
      </c>
      <c r="AP213" s="1">
        <v>23582734</v>
      </c>
      <c r="AQ213" s="1">
        <v>41283414</v>
      </c>
      <c r="AR213" s="1">
        <v>12669853</v>
      </c>
      <c r="AS213" s="1">
        <v>1900478</v>
      </c>
      <c r="AT213" s="1">
        <f t="shared" si="17"/>
        <v>79436479</v>
      </c>
    </row>
    <row r="214" spans="1:46" x14ac:dyDescent="0.2">
      <c r="A214" s="1" t="str">
        <f>"00247"</f>
        <v>00247</v>
      </c>
      <c r="B214" s="1" t="str">
        <f>"آرمان"</f>
        <v>آرمان</v>
      </c>
      <c r="C214" s="1" t="str">
        <f>"غريبي"</f>
        <v>غريبي</v>
      </c>
      <c r="D214" s="1" t="str">
        <f>"قراردادي بهره بردار"</f>
        <v>قراردادي بهره بردار</v>
      </c>
      <c r="E214" s="1" t="str">
        <f>"پروژه بهره برداري نيروگاه بوشهر"</f>
        <v>پروژه بهره برداري نيروگاه بوشهر</v>
      </c>
      <c r="F214" s="1">
        <v>13531748</v>
      </c>
      <c r="G214" s="1">
        <v>3083756</v>
      </c>
      <c r="H214" s="1">
        <v>0</v>
      </c>
      <c r="I214" s="1">
        <v>9882313</v>
      </c>
      <c r="J214" s="1">
        <v>0</v>
      </c>
      <c r="K214" s="1">
        <v>4620000</v>
      </c>
      <c r="L214" s="1">
        <v>0</v>
      </c>
      <c r="M214" s="1">
        <v>1000000</v>
      </c>
      <c r="N214" s="1">
        <v>2213559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1606000</v>
      </c>
      <c r="U214" s="1">
        <v>0</v>
      </c>
      <c r="V214" s="1">
        <v>12522100</v>
      </c>
      <c r="W214" s="1">
        <v>1900000</v>
      </c>
      <c r="X214" s="1">
        <v>1964286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1581114</v>
      </c>
      <c r="AF214" s="1">
        <v>3033762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8826086</v>
      </c>
      <c r="AM214" s="1">
        <v>0</v>
      </c>
      <c r="AN214" s="1">
        <v>0</v>
      </c>
      <c r="AO214" s="1">
        <v>65764724</v>
      </c>
      <c r="AP214" s="1">
        <v>10388593</v>
      </c>
      <c r="AQ214" s="1">
        <v>55376131</v>
      </c>
      <c r="AR214" s="1">
        <v>12546192</v>
      </c>
      <c r="AS214" s="1">
        <v>1881929</v>
      </c>
      <c r="AT214" s="1">
        <f t="shared" si="17"/>
        <v>80192845</v>
      </c>
    </row>
    <row r="215" spans="1:46" x14ac:dyDescent="0.2">
      <c r="A215" s="1" t="str">
        <f>"00248"</f>
        <v>00248</v>
      </c>
      <c r="B215" s="1" t="str">
        <f>"احسان"</f>
        <v>احسان</v>
      </c>
      <c r="C215" s="1" t="str">
        <f>"محمدي نژاد"</f>
        <v>محمدي نژاد</v>
      </c>
      <c r="D215" s="1" t="str">
        <f>"قراردادي کارگري"</f>
        <v>قراردادي کارگري</v>
      </c>
      <c r="E215" s="1" t="str">
        <f>"پروژه تعميرات نيروگاه بوشهر"</f>
        <v>پروژه تعميرات نيروگاه بوشهر</v>
      </c>
      <c r="F215" s="1">
        <v>7358621</v>
      </c>
      <c r="G215" s="1">
        <v>5818604</v>
      </c>
      <c r="H215" s="1">
        <v>0</v>
      </c>
      <c r="I215" s="1">
        <v>5298207</v>
      </c>
      <c r="J215" s="1">
        <v>0</v>
      </c>
      <c r="K215" s="1">
        <v>0</v>
      </c>
      <c r="L215" s="1">
        <v>7628143</v>
      </c>
      <c r="M215" s="1">
        <v>1000000</v>
      </c>
      <c r="N215" s="1">
        <v>3872959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8825243</v>
      </c>
      <c r="W215" s="1">
        <v>1900000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3623690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4468688</v>
      </c>
      <c r="AK215" s="1">
        <v>0</v>
      </c>
      <c r="AL215" s="1">
        <v>0</v>
      </c>
      <c r="AM215" s="1">
        <v>0</v>
      </c>
      <c r="AN215" s="1">
        <v>0</v>
      </c>
      <c r="AO215" s="1">
        <v>49794155</v>
      </c>
      <c r="AP215" s="1">
        <v>4932447</v>
      </c>
      <c r="AQ215" s="1">
        <v>44861708</v>
      </c>
      <c r="AR215" s="1">
        <v>9958831</v>
      </c>
      <c r="AS215" s="1">
        <v>1493825</v>
      </c>
      <c r="AT215" s="1">
        <f t="shared" si="17"/>
        <v>61246811</v>
      </c>
    </row>
    <row r="216" spans="1:46" x14ac:dyDescent="0.2">
      <c r="A216" s="1" t="str">
        <f>"00249"</f>
        <v>00249</v>
      </c>
      <c r="B216" s="1" t="str">
        <f>"سيدمسعود"</f>
        <v>سيدمسعود</v>
      </c>
      <c r="C216" s="1" t="str">
        <f>"امامزاده نژاد"</f>
        <v>امامزاده نژاد</v>
      </c>
      <c r="D216" s="1" t="str">
        <f>"قراردادي بهره بردار"</f>
        <v>قراردادي بهره بردار</v>
      </c>
      <c r="E216" s="1" t="str">
        <f>"پروژه بهره برداري نيروگاه بوشهر"</f>
        <v>پروژه بهره برداري نيروگاه بوشهر</v>
      </c>
      <c r="F216" s="1">
        <v>14162660</v>
      </c>
      <c r="G216" s="1">
        <v>5815809</v>
      </c>
      <c r="H216" s="1">
        <v>0</v>
      </c>
      <c r="I216" s="1">
        <v>10748246</v>
      </c>
      <c r="J216" s="1">
        <v>0</v>
      </c>
      <c r="K216" s="1">
        <v>4620000</v>
      </c>
      <c r="L216" s="1">
        <v>0</v>
      </c>
      <c r="M216" s="1">
        <v>1000000</v>
      </c>
      <c r="N216" s="1">
        <v>2434378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1606000</v>
      </c>
      <c r="U216" s="1">
        <v>0</v>
      </c>
      <c r="V216" s="1">
        <v>13284029</v>
      </c>
      <c r="W216" s="1">
        <v>1900000</v>
      </c>
      <c r="X216" s="1">
        <v>2055870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1738842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9143295</v>
      </c>
      <c r="AM216" s="1">
        <v>0</v>
      </c>
      <c r="AN216" s="1">
        <v>0</v>
      </c>
      <c r="AO216" s="1">
        <v>68509129</v>
      </c>
      <c r="AP216" s="1">
        <v>8816388</v>
      </c>
      <c r="AQ216" s="1">
        <v>59692741</v>
      </c>
      <c r="AR216" s="1">
        <v>13701826</v>
      </c>
      <c r="AS216" s="1">
        <v>2055274</v>
      </c>
      <c r="AT216" s="1">
        <f t="shared" si="17"/>
        <v>84266229</v>
      </c>
    </row>
    <row r="217" spans="1:46" x14ac:dyDescent="0.2">
      <c r="A217" s="1" t="str">
        <f>"00250"</f>
        <v>00250</v>
      </c>
      <c r="B217" s="1" t="str">
        <f>"مهدي"</f>
        <v>مهدي</v>
      </c>
      <c r="C217" s="1" t="str">
        <f>"بندرگاهي"</f>
        <v>بندرگاهي</v>
      </c>
      <c r="D217" s="1" t="str">
        <f>"قراردادي بهره بردار"</f>
        <v>قراردادي بهره بردار</v>
      </c>
      <c r="E217" s="1" t="str">
        <f>"پروژه بهره برداري نيروگاه بوشهر"</f>
        <v>پروژه بهره برداري نيروگاه بوشهر</v>
      </c>
      <c r="F217" s="1">
        <v>13772721</v>
      </c>
      <c r="G217" s="1">
        <v>9195401</v>
      </c>
      <c r="H217" s="1">
        <v>0</v>
      </c>
      <c r="I217" s="1">
        <v>10554867</v>
      </c>
      <c r="J217" s="1">
        <v>0</v>
      </c>
      <c r="K217" s="1">
        <v>4620000</v>
      </c>
      <c r="L217" s="1">
        <v>0</v>
      </c>
      <c r="M217" s="1">
        <v>1000000</v>
      </c>
      <c r="N217" s="1">
        <v>2297900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1606000</v>
      </c>
      <c r="U217" s="1">
        <v>0</v>
      </c>
      <c r="V217" s="1">
        <v>12925192</v>
      </c>
      <c r="W217" s="1">
        <v>1900000</v>
      </c>
      <c r="X217" s="1">
        <v>1999266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1641357</v>
      </c>
      <c r="AF217" s="1">
        <v>3033762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8927952</v>
      </c>
      <c r="AM217" s="1">
        <v>0</v>
      </c>
      <c r="AN217" s="1">
        <v>0</v>
      </c>
      <c r="AO217" s="1">
        <v>73474418</v>
      </c>
      <c r="AP217" s="1">
        <v>24910444</v>
      </c>
      <c r="AQ217" s="1">
        <v>48563974</v>
      </c>
      <c r="AR217" s="1">
        <v>14088131</v>
      </c>
      <c r="AS217" s="1">
        <v>2113220</v>
      </c>
      <c r="AT217" s="1">
        <f t="shared" si="17"/>
        <v>89675769</v>
      </c>
    </row>
    <row r="218" spans="1:46" x14ac:dyDescent="0.2">
      <c r="A218" s="1" t="str">
        <f>"00251"</f>
        <v>00251</v>
      </c>
      <c r="B218" s="1" t="str">
        <f>"قدرت اله"</f>
        <v>قدرت اله</v>
      </c>
      <c r="C218" s="1" t="str">
        <f>"ايازي"</f>
        <v>ايازي</v>
      </c>
      <c r="D218" s="1" t="str">
        <f>"قراردادي کارگري"</f>
        <v>قراردادي کارگري</v>
      </c>
      <c r="E218" s="1" t="str">
        <f>"پروژه تعميرات نيروگاه بوشهر"</f>
        <v>پروژه تعميرات نيروگاه بوشهر</v>
      </c>
      <c r="F218" s="1">
        <v>8255259</v>
      </c>
      <c r="G218" s="1">
        <v>12885044</v>
      </c>
      <c r="H218" s="1">
        <v>0</v>
      </c>
      <c r="I218" s="1">
        <v>6026339</v>
      </c>
      <c r="J218" s="1">
        <v>0</v>
      </c>
      <c r="K218" s="1">
        <v>0</v>
      </c>
      <c r="L218" s="1">
        <v>7660247</v>
      </c>
      <c r="M218" s="1">
        <v>1000000</v>
      </c>
      <c r="N218" s="1">
        <v>4344874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9517100</v>
      </c>
      <c r="W218" s="1">
        <v>1900000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3943008</v>
      </c>
      <c r="AE218" s="1">
        <v>0</v>
      </c>
      <c r="AF218" s="1">
        <v>3033762</v>
      </c>
      <c r="AG218" s="1">
        <v>0</v>
      </c>
      <c r="AH218" s="1">
        <v>0</v>
      </c>
      <c r="AI218" s="1">
        <v>0</v>
      </c>
      <c r="AJ218" s="1">
        <v>4850840</v>
      </c>
      <c r="AK218" s="1">
        <v>0</v>
      </c>
      <c r="AL218" s="1">
        <v>0</v>
      </c>
      <c r="AM218" s="1">
        <v>0</v>
      </c>
      <c r="AN218" s="1">
        <v>0</v>
      </c>
      <c r="AO218" s="1">
        <v>63416473</v>
      </c>
      <c r="AP218" s="1">
        <v>6961758</v>
      </c>
      <c r="AQ218" s="1">
        <v>56454715</v>
      </c>
      <c r="AR218" s="1">
        <v>12076542</v>
      </c>
      <c r="AS218" s="1">
        <v>1811481</v>
      </c>
      <c r="AT218" s="1">
        <f t="shared" si="17"/>
        <v>77304496</v>
      </c>
    </row>
    <row r="219" spans="1:46" x14ac:dyDescent="0.2">
      <c r="A219" s="1" t="str">
        <f>"00252"</f>
        <v>00252</v>
      </c>
      <c r="B219" s="1" t="str">
        <f>"عبدالکريم"</f>
        <v>عبدالکريم</v>
      </c>
      <c r="C219" s="1" t="str">
        <f>"پژمان"</f>
        <v>پژمان</v>
      </c>
      <c r="D219" s="1" t="str">
        <f t="shared" ref="D219:D224" si="20">"قراردادي بهره بردار"</f>
        <v>قراردادي بهره بردار</v>
      </c>
      <c r="E219" s="1" t="str">
        <f t="shared" ref="E219:E224" si="21">"پروژه بهره برداري نيروگاه بوشهر"</f>
        <v>پروژه بهره برداري نيروگاه بوشهر</v>
      </c>
      <c r="F219" s="1">
        <v>25891489</v>
      </c>
      <c r="G219" s="1">
        <v>5682752</v>
      </c>
      <c r="H219" s="1">
        <v>0</v>
      </c>
      <c r="I219" s="1">
        <v>27408054</v>
      </c>
      <c r="J219" s="1">
        <v>0</v>
      </c>
      <c r="K219" s="1">
        <v>5500000</v>
      </c>
      <c r="L219" s="1">
        <v>0</v>
      </c>
      <c r="M219" s="1">
        <v>1000000</v>
      </c>
      <c r="N219" s="1">
        <v>3958644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1387000</v>
      </c>
      <c r="U219" s="1">
        <v>0</v>
      </c>
      <c r="V219" s="1">
        <v>14791724</v>
      </c>
      <c r="W219" s="1">
        <v>1900000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2827603</v>
      </c>
      <c r="AF219" s="1">
        <v>6067524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5655206</v>
      </c>
      <c r="AM219" s="1">
        <v>0</v>
      </c>
      <c r="AN219" s="1">
        <v>0</v>
      </c>
      <c r="AO219" s="1">
        <v>102069996</v>
      </c>
      <c r="AP219" s="1">
        <v>44278590</v>
      </c>
      <c r="AQ219" s="1">
        <v>57791406</v>
      </c>
      <c r="AR219" s="1">
        <v>19200494</v>
      </c>
      <c r="AS219" s="1">
        <v>2880074</v>
      </c>
      <c r="AT219" s="1">
        <f t="shared" si="17"/>
        <v>124150564</v>
      </c>
    </row>
    <row r="220" spans="1:46" x14ac:dyDescent="0.2">
      <c r="A220" s="1" t="str">
        <f>"00254"</f>
        <v>00254</v>
      </c>
      <c r="B220" s="1" t="str">
        <f>"سيداصغر"</f>
        <v>سيداصغر</v>
      </c>
      <c r="C220" s="1" t="str">
        <f>"هاشمي"</f>
        <v>هاشمي</v>
      </c>
      <c r="D220" s="1" t="str">
        <f t="shared" si="20"/>
        <v>قراردادي بهره بردار</v>
      </c>
      <c r="E220" s="1" t="str">
        <f t="shared" si="21"/>
        <v>پروژه بهره برداري نيروگاه بوشهر</v>
      </c>
      <c r="F220" s="1">
        <v>13492316</v>
      </c>
      <c r="G220" s="1">
        <v>2284786</v>
      </c>
      <c r="H220" s="1">
        <v>0</v>
      </c>
      <c r="I220" s="1">
        <v>10261415</v>
      </c>
      <c r="J220" s="1">
        <v>0</v>
      </c>
      <c r="K220" s="1">
        <v>4620000</v>
      </c>
      <c r="L220" s="1">
        <v>0</v>
      </c>
      <c r="M220" s="1">
        <v>1000000</v>
      </c>
      <c r="N220" s="1">
        <v>2199758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1606000</v>
      </c>
      <c r="U220" s="1">
        <v>0</v>
      </c>
      <c r="V220" s="1">
        <v>16618817</v>
      </c>
      <c r="W220" s="1">
        <v>1900000</v>
      </c>
      <c r="X220" s="1">
        <v>1958562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1571256</v>
      </c>
      <c r="AF220" s="1">
        <v>3033762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9820912</v>
      </c>
      <c r="AM220" s="1">
        <v>0</v>
      </c>
      <c r="AN220" s="1">
        <v>0</v>
      </c>
      <c r="AO220" s="1">
        <v>70367584</v>
      </c>
      <c r="AP220" s="1">
        <v>52850420</v>
      </c>
      <c r="AQ220" s="1">
        <v>17517164</v>
      </c>
      <c r="AR220" s="1">
        <v>13466764</v>
      </c>
      <c r="AS220" s="1">
        <v>2020015</v>
      </c>
      <c r="AT220" s="1">
        <f t="shared" si="17"/>
        <v>85854363</v>
      </c>
    </row>
    <row r="221" spans="1:46" x14ac:dyDescent="0.2">
      <c r="A221" s="1" t="str">
        <f>"00255"</f>
        <v>00255</v>
      </c>
      <c r="B221" s="1" t="str">
        <f>"مرتضي"</f>
        <v>مرتضي</v>
      </c>
      <c r="C221" s="1" t="str">
        <f>"بشار"</f>
        <v>بشار</v>
      </c>
      <c r="D221" s="1" t="str">
        <f t="shared" si="20"/>
        <v>قراردادي بهره بردار</v>
      </c>
      <c r="E221" s="1" t="str">
        <f t="shared" si="21"/>
        <v>پروژه بهره برداري نيروگاه بوشهر</v>
      </c>
      <c r="F221" s="1">
        <v>13897589</v>
      </c>
      <c r="G221" s="1">
        <v>17159425</v>
      </c>
      <c r="H221" s="1">
        <v>0</v>
      </c>
      <c r="I221" s="1">
        <v>10447261</v>
      </c>
      <c r="J221" s="1">
        <v>0</v>
      </c>
      <c r="K221" s="1">
        <v>4620000</v>
      </c>
      <c r="L221" s="1">
        <v>0</v>
      </c>
      <c r="M221" s="1">
        <v>1000000</v>
      </c>
      <c r="N221" s="1">
        <v>2341604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1606000</v>
      </c>
      <c r="U221" s="1">
        <v>0</v>
      </c>
      <c r="V221" s="1">
        <v>17019855</v>
      </c>
      <c r="W221" s="1">
        <v>1900000</v>
      </c>
      <c r="X221" s="1">
        <v>2017392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1672574</v>
      </c>
      <c r="AF221" s="1">
        <v>3033762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9887836</v>
      </c>
      <c r="AM221" s="1">
        <v>0</v>
      </c>
      <c r="AN221" s="1">
        <v>0</v>
      </c>
      <c r="AO221" s="1">
        <v>86603298</v>
      </c>
      <c r="AP221" s="1">
        <v>28012881</v>
      </c>
      <c r="AQ221" s="1">
        <v>58590417</v>
      </c>
      <c r="AR221" s="1">
        <v>16713907</v>
      </c>
      <c r="AS221" s="1">
        <v>2507086</v>
      </c>
      <c r="AT221" s="1">
        <f t="shared" si="17"/>
        <v>105824291</v>
      </c>
    </row>
    <row r="222" spans="1:46" x14ac:dyDescent="0.2">
      <c r="A222" s="1" t="str">
        <f>"00256"</f>
        <v>00256</v>
      </c>
      <c r="B222" s="1" t="str">
        <f>"اكبر"</f>
        <v>اكبر</v>
      </c>
      <c r="C222" s="1" t="str">
        <f>"كازروني زاده"</f>
        <v>كازروني زاده</v>
      </c>
      <c r="D222" s="1" t="str">
        <f t="shared" si="20"/>
        <v>قراردادي بهره بردار</v>
      </c>
      <c r="E222" s="1" t="str">
        <f t="shared" si="21"/>
        <v>پروژه بهره برداري نيروگاه بوشهر</v>
      </c>
      <c r="F222" s="1">
        <v>12598524</v>
      </c>
      <c r="G222" s="1">
        <v>2156631</v>
      </c>
      <c r="H222" s="1">
        <v>0</v>
      </c>
      <c r="I222" s="1">
        <v>9619288</v>
      </c>
      <c r="J222" s="1">
        <v>0</v>
      </c>
      <c r="K222" s="1">
        <v>4620000</v>
      </c>
      <c r="L222" s="1">
        <v>0</v>
      </c>
      <c r="M222" s="1">
        <v>1000000</v>
      </c>
      <c r="N222" s="1">
        <v>2128452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1606000</v>
      </c>
      <c r="U222" s="1">
        <v>0</v>
      </c>
      <c r="V222" s="1">
        <v>15686659</v>
      </c>
      <c r="W222" s="1">
        <v>1900000</v>
      </c>
      <c r="X222" s="1">
        <v>1828818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1520323</v>
      </c>
      <c r="AF222" s="1">
        <v>1516881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9384334</v>
      </c>
      <c r="AM222" s="1">
        <v>0</v>
      </c>
      <c r="AN222" s="1">
        <v>0</v>
      </c>
      <c r="AO222" s="1">
        <v>65565910</v>
      </c>
      <c r="AP222" s="1">
        <v>23819644</v>
      </c>
      <c r="AQ222" s="1">
        <v>41746266</v>
      </c>
      <c r="AR222" s="1">
        <v>12809806</v>
      </c>
      <c r="AS222" s="1">
        <v>1921471</v>
      </c>
      <c r="AT222" s="1">
        <f t="shared" si="17"/>
        <v>80297187</v>
      </c>
    </row>
    <row r="223" spans="1:46" x14ac:dyDescent="0.2">
      <c r="A223" s="1" t="str">
        <f>"00257"</f>
        <v>00257</v>
      </c>
      <c r="B223" s="1" t="str">
        <f>"سيدابراهيم"</f>
        <v>سيدابراهيم</v>
      </c>
      <c r="C223" s="1" t="str">
        <f>"طباطبايي"</f>
        <v>طباطبايي</v>
      </c>
      <c r="D223" s="1" t="str">
        <f t="shared" si="20"/>
        <v>قراردادي بهره بردار</v>
      </c>
      <c r="E223" s="1" t="str">
        <f t="shared" si="21"/>
        <v>پروژه بهره برداري نيروگاه بوشهر</v>
      </c>
      <c r="F223" s="1">
        <v>25175141</v>
      </c>
      <c r="G223" s="1">
        <v>3303584</v>
      </c>
      <c r="H223" s="1">
        <v>0</v>
      </c>
      <c r="I223" s="1">
        <v>26337612</v>
      </c>
      <c r="J223" s="1">
        <v>0</v>
      </c>
      <c r="K223" s="1">
        <v>5500000</v>
      </c>
      <c r="L223" s="1">
        <v>0</v>
      </c>
      <c r="M223" s="1">
        <v>1000000</v>
      </c>
      <c r="N223" s="1">
        <v>3707922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1387000</v>
      </c>
      <c r="U223" s="1">
        <v>0</v>
      </c>
      <c r="V223" s="1">
        <v>14331583</v>
      </c>
      <c r="W223" s="1">
        <v>1900000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2648516</v>
      </c>
      <c r="AF223" s="1">
        <v>3033762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5826735</v>
      </c>
      <c r="AM223" s="1">
        <v>0</v>
      </c>
      <c r="AN223" s="1">
        <v>0</v>
      </c>
      <c r="AO223" s="1">
        <v>94151855</v>
      </c>
      <c r="AP223" s="1">
        <v>44072973</v>
      </c>
      <c r="AQ223" s="1">
        <v>50078882</v>
      </c>
      <c r="AR223" s="1">
        <v>18223619</v>
      </c>
      <c r="AS223" s="1">
        <v>2733543</v>
      </c>
      <c r="AT223" s="1">
        <f t="shared" si="17"/>
        <v>115109017</v>
      </c>
    </row>
    <row r="224" spans="1:46" x14ac:dyDescent="0.2">
      <c r="A224" s="1" t="str">
        <f>"00259"</f>
        <v>00259</v>
      </c>
      <c r="B224" s="1" t="str">
        <f>"حسنعلي"</f>
        <v>حسنعلي</v>
      </c>
      <c r="C224" s="1" t="str">
        <f>"لهسائي"</f>
        <v>لهسائي</v>
      </c>
      <c r="D224" s="1" t="str">
        <f t="shared" si="20"/>
        <v>قراردادي بهره بردار</v>
      </c>
      <c r="E224" s="1" t="str">
        <f t="shared" si="21"/>
        <v>پروژه بهره برداري نيروگاه بوشهر</v>
      </c>
      <c r="F224" s="1">
        <v>29464467</v>
      </c>
      <c r="G224" s="1">
        <v>4906518</v>
      </c>
      <c r="H224" s="1">
        <v>0</v>
      </c>
      <c r="I224" s="1">
        <v>29027211</v>
      </c>
      <c r="J224" s="1">
        <v>0</v>
      </c>
      <c r="K224" s="1">
        <v>5500000</v>
      </c>
      <c r="L224" s="1">
        <v>0</v>
      </c>
      <c r="M224" s="1">
        <v>1000000</v>
      </c>
      <c r="N224" s="1">
        <v>4303674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1606000</v>
      </c>
      <c r="U224" s="1">
        <v>0</v>
      </c>
      <c r="V224" s="1">
        <v>14636491</v>
      </c>
      <c r="W224" s="1">
        <v>1900000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3074053</v>
      </c>
      <c r="AF224" s="1">
        <v>3033762</v>
      </c>
      <c r="AG224" s="1">
        <v>876267</v>
      </c>
      <c r="AH224" s="1">
        <v>0</v>
      </c>
      <c r="AI224" s="1">
        <v>0</v>
      </c>
      <c r="AJ224" s="1">
        <v>0</v>
      </c>
      <c r="AK224" s="1">
        <v>0</v>
      </c>
      <c r="AL224" s="1">
        <v>5533295</v>
      </c>
      <c r="AM224" s="1">
        <v>0</v>
      </c>
      <c r="AN224" s="1">
        <v>0</v>
      </c>
      <c r="AO224" s="1">
        <v>104861738</v>
      </c>
      <c r="AP224" s="1">
        <v>45004521</v>
      </c>
      <c r="AQ224" s="1">
        <v>59857217</v>
      </c>
      <c r="AR224" s="1">
        <v>20365595</v>
      </c>
      <c r="AS224" s="1">
        <v>3054839</v>
      </c>
      <c r="AT224" s="1">
        <f t="shared" si="17"/>
        <v>128282172</v>
      </c>
    </row>
    <row r="225" spans="1:46" x14ac:dyDescent="0.2">
      <c r="A225" s="1" t="str">
        <f>"00260"</f>
        <v>00260</v>
      </c>
      <c r="B225" s="1" t="str">
        <f>"بهروز"</f>
        <v>بهروز</v>
      </c>
      <c r="C225" s="1" t="str">
        <f>"مرادي"</f>
        <v>مرادي</v>
      </c>
      <c r="D225" s="1" t="str">
        <f>"قراردادي کارگري"</f>
        <v>قراردادي کارگري</v>
      </c>
      <c r="E225" s="1" t="str">
        <f>"پروژه تعميرات نيروگاه بوشهر"</f>
        <v>پروژه تعميرات نيروگاه بوشهر</v>
      </c>
      <c r="F225" s="1">
        <v>9997826</v>
      </c>
      <c r="G225" s="1">
        <v>7462569</v>
      </c>
      <c r="H225" s="1">
        <v>0</v>
      </c>
      <c r="I225" s="1">
        <v>8398174</v>
      </c>
      <c r="J225" s="1">
        <v>0</v>
      </c>
      <c r="K225" s="1">
        <v>0</v>
      </c>
      <c r="L225" s="1">
        <v>7462913</v>
      </c>
      <c r="M225" s="1">
        <v>1000000</v>
      </c>
      <c r="N225" s="1">
        <v>5332173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11111020</v>
      </c>
      <c r="W225" s="1">
        <v>1900000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52664675</v>
      </c>
      <c r="AP225" s="1">
        <v>6750342</v>
      </c>
      <c r="AQ225" s="1">
        <v>45914333</v>
      </c>
      <c r="AR225" s="1">
        <v>10532935</v>
      </c>
      <c r="AS225" s="1">
        <v>1579940</v>
      </c>
      <c r="AT225" s="1">
        <f t="shared" si="17"/>
        <v>64777550</v>
      </c>
    </row>
    <row r="226" spans="1:46" x14ac:dyDescent="0.2">
      <c r="A226" s="1" t="str">
        <f>"00261"</f>
        <v>00261</v>
      </c>
      <c r="B226" s="1" t="str">
        <f>"محسن"</f>
        <v>محسن</v>
      </c>
      <c r="C226" s="1" t="str">
        <f>"زاهدي كللي"</f>
        <v>زاهدي كللي</v>
      </c>
      <c r="D226" s="1" t="str">
        <f>"قراردادي کارگري"</f>
        <v>قراردادي کارگري</v>
      </c>
      <c r="E226" s="1" t="str">
        <f>"پروژه تعميرات نيروگاه بوشهر"</f>
        <v>پروژه تعميرات نيروگاه بوشهر</v>
      </c>
      <c r="F226" s="1">
        <v>8164090</v>
      </c>
      <c r="G226" s="1">
        <v>4526169</v>
      </c>
      <c r="H226" s="1">
        <v>0</v>
      </c>
      <c r="I226" s="1">
        <v>6041427</v>
      </c>
      <c r="J226" s="1">
        <v>0</v>
      </c>
      <c r="K226" s="1">
        <v>0</v>
      </c>
      <c r="L226" s="1">
        <v>7628143</v>
      </c>
      <c r="M226" s="1">
        <v>1000000</v>
      </c>
      <c r="N226" s="1">
        <v>4325345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9475593</v>
      </c>
      <c r="W226" s="1">
        <v>1900000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4550643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47611410</v>
      </c>
      <c r="AP226" s="1">
        <v>4289970</v>
      </c>
      <c r="AQ226" s="1">
        <v>43321440</v>
      </c>
      <c r="AR226" s="1">
        <v>8612153</v>
      </c>
      <c r="AS226" s="1">
        <v>1291823</v>
      </c>
      <c r="AT226" s="1">
        <f t="shared" si="17"/>
        <v>57515386</v>
      </c>
    </row>
    <row r="227" spans="1:46" x14ac:dyDescent="0.2">
      <c r="A227" s="1" t="str">
        <f>"00262"</f>
        <v>00262</v>
      </c>
      <c r="B227" s="1" t="str">
        <f>"غلامرضا"</f>
        <v>غلامرضا</v>
      </c>
      <c r="C227" s="1" t="str">
        <f>"حيدري"</f>
        <v>حيدري</v>
      </c>
      <c r="D227" s="1" t="str">
        <f>"قراردادي کارگري"</f>
        <v>قراردادي کارگري</v>
      </c>
      <c r="E227" s="1" t="str">
        <f>"پروژه تعميرات نيروگاه بوشهر"</f>
        <v>پروژه تعميرات نيروگاه بوشهر</v>
      </c>
      <c r="F227" s="1">
        <v>7166925</v>
      </c>
      <c r="G227" s="1">
        <v>1150291</v>
      </c>
      <c r="H227" s="1">
        <v>0</v>
      </c>
      <c r="I227" s="1">
        <v>5303524</v>
      </c>
      <c r="J227" s="1">
        <v>0</v>
      </c>
      <c r="K227" s="1">
        <v>0</v>
      </c>
      <c r="L227" s="1">
        <v>7628143</v>
      </c>
      <c r="M227" s="1">
        <v>1000000</v>
      </c>
      <c r="N227" s="1">
        <v>3772066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8731881</v>
      </c>
      <c r="W227" s="1">
        <v>1900000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3033762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39686592</v>
      </c>
      <c r="AP227" s="1">
        <v>3093787</v>
      </c>
      <c r="AQ227" s="1">
        <v>36592805</v>
      </c>
      <c r="AR227" s="1">
        <v>7330566</v>
      </c>
      <c r="AS227" s="1">
        <v>1099585</v>
      </c>
      <c r="AT227" s="1">
        <f t="shared" si="17"/>
        <v>48116743</v>
      </c>
    </row>
    <row r="228" spans="1:46" x14ac:dyDescent="0.2">
      <c r="A228" s="1" t="str">
        <f>"00263"</f>
        <v>00263</v>
      </c>
      <c r="B228" s="1" t="str">
        <f>"محمدمهدي"</f>
        <v>محمدمهدي</v>
      </c>
      <c r="C228" s="1" t="str">
        <f>"لشكرشكن"</f>
        <v>لشكرشكن</v>
      </c>
      <c r="D228" s="1" t="str">
        <f>"قراردادي بهره بردار"</f>
        <v>قراردادي بهره بردار</v>
      </c>
      <c r="E228" s="1" t="str">
        <f>"پروژه بهره برداري نيروگاه بوشهر"</f>
        <v>پروژه بهره برداري نيروگاه بوشهر</v>
      </c>
      <c r="F228" s="1">
        <v>15411340</v>
      </c>
      <c r="G228" s="1">
        <v>5508608</v>
      </c>
      <c r="H228" s="1">
        <v>0</v>
      </c>
      <c r="I228" s="1">
        <v>13349233</v>
      </c>
      <c r="J228" s="1">
        <v>0</v>
      </c>
      <c r="K228" s="1">
        <v>4620000</v>
      </c>
      <c r="L228" s="1">
        <v>0</v>
      </c>
      <c r="M228" s="1">
        <v>1000000</v>
      </c>
      <c r="N228" s="1">
        <v>2871416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1387000</v>
      </c>
      <c r="U228" s="1">
        <v>0</v>
      </c>
      <c r="V228" s="1">
        <v>14379823</v>
      </c>
      <c r="W228" s="1">
        <v>1900000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2051012</v>
      </c>
      <c r="AF228" s="1">
        <v>3033762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7697784</v>
      </c>
      <c r="AM228" s="1">
        <v>0</v>
      </c>
      <c r="AN228" s="1">
        <v>0</v>
      </c>
      <c r="AO228" s="1">
        <v>73209978</v>
      </c>
      <c r="AP228" s="1">
        <v>28840915</v>
      </c>
      <c r="AQ228" s="1">
        <v>44369063</v>
      </c>
      <c r="AR228" s="1">
        <v>14035243</v>
      </c>
      <c r="AS228" s="1">
        <v>2105286</v>
      </c>
      <c r="AT228" s="1">
        <f t="shared" si="17"/>
        <v>89350507</v>
      </c>
    </row>
    <row r="229" spans="1:46" x14ac:dyDescent="0.2">
      <c r="A229" s="1" t="str">
        <f>"00264"</f>
        <v>00264</v>
      </c>
      <c r="B229" s="1" t="str">
        <f>"اكبر"</f>
        <v>اكبر</v>
      </c>
      <c r="C229" s="1" t="str">
        <f>"ملكي"</f>
        <v>ملكي</v>
      </c>
      <c r="D229" s="1" t="str">
        <f>"قراردادي کارگري"</f>
        <v>قراردادي کارگري</v>
      </c>
      <c r="E229" s="1" t="str">
        <f>"پروژه تعميرات نيروگاه بوشهر"</f>
        <v>پروژه تعميرات نيروگاه بوشهر</v>
      </c>
      <c r="F229" s="1">
        <v>8845967</v>
      </c>
      <c r="G229" s="1">
        <v>3988871</v>
      </c>
      <c r="H229" s="1">
        <v>0</v>
      </c>
      <c r="I229" s="1">
        <v>6546015</v>
      </c>
      <c r="J229" s="1">
        <v>0</v>
      </c>
      <c r="K229" s="1">
        <v>0</v>
      </c>
      <c r="L229" s="1">
        <v>7628143</v>
      </c>
      <c r="M229" s="1">
        <v>1000000</v>
      </c>
      <c r="N229" s="1">
        <v>4686605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9978603</v>
      </c>
      <c r="W229" s="1">
        <v>1900000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3033762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47607966</v>
      </c>
      <c r="AP229" s="1">
        <v>5295837</v>
      </c>
      <c r="AQ229" s="1">
        <v>42312129</v>
      </c>
      <c r="AR229" s="1">
        <v>8914841</v>
      </c>
      <c r="AS229" s="1">
        <v>1337226</v>
      </c>
      <c r="AT229" s="1">
        <f t="shared" si="17"/>
        <v>57860033</v>
      </c>
    </row>
    <row r="230" spans="1:46" x14ac:dyDescent="0.2">
      <c r="A230" s="1" t="str">
        <f>"00265"</f>
        <v>00265</v>
      </c>
      <c r="B230" s="1" t="str">
        <f>"مهتاب"</f>
        <v>مهتاب</v>
      </c>
      <c r="C230" s="1" t="str">
        <f>"همتي قلائي"</f>
        <v>همتي قلائي</v>
      </c>
      <c r="D230" s="1" t="str">
        <f>"قراردادي کارگري"</f>
        <v>قراردادي کارگري</v>
      </c>
      <c r="E230" s="1" t="str">
        <f>"پروژه تعميرات نيروگاه بوشهر"</f>
        <v>پروژه تعميرات نيروگاه بوشهر</v>
      </c>
      <c r="F230" s="1">
        <v>8735392</v>
      </c>
      <c r="G230" s="1">
        <v>3907814</v>
      </c>
      <c r="H230" s="1">
        <v>0</v>
      </c>
      <c r="I230" s="1">
        <v>6464190</v>
      </c>
      <c r="J230" s="1">
        <v>0</v>
      </c>
      <c r="K230" s="1">
        <v>0</v>
      </c>
      <c r="L230" s="1">
        <v>7628143</v>
      </c>
      <c r="M230" s="1">
        <v>1000000</v>
      </c>
      <c r="N230" s="1">
        <v>4628023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7156317</v>
      </c>
      <c r="W230" s="1">
        <v>1900000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1516881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42936760</v>
      </c>
      <c r="AP230" s="1">
        <v>3719129</v>
      </c>
      <c r="AQ230" s="1">
        <v>39217631</v>
      </c>
      <c r="AR230" s="1">
        <v>8283976</v>
      </c>
      <c r="AS230" s="1">
        <v>1242596</v>
      </c>
      <c r="AT230" s="1">
        <f t="shared" si="17"/>
        <v>52463332</v>
      </c>
    </row>
    <row r="231" spans="1:46" x14ac:dyDescent="0.2">
      <c r="A231" s="1" t="str">
        <f>"00266"</f>
        <v>00266</v>
      </c>
      <c r="B231" s="1" t="str">
        <f>"سيداسماعيل"</f>
        <v>سيداسماعيل</v>
      </c>
      <c r="C231" s="1" t="str">
        <f>"هاشمي"</f>
        <v>هاشمي</v>
      </c>
      <c r="D231" s="1" t="str">
        <f>"قراردادي کارگري"</f>
        <v>قراردادي کارگري</v>
      </c>
      <c r="E231" s="1" t="str">
        <f>"پروژه تعميرات نيروگاه بوشهر"</f>
        <v>پروژه تعميرات نيروگاه بوشهر</v>
      </c>
      <c r="F231" s="1">
        <v>8385240</v>
      </c>
      <c r="G231" s="1">
        <v>1306895</v>
      </c>
      <c r="H231" s="1">
        <v>0</v>
      </c>
      <c r="I231" s="1">
        <v>6205077</v>
      </c>
      <c r="J231" s="1">
        <v>0</v>
      </c>
      <c r="K231" s="1">
        <v>0</v>
      </c>
      <c r="L231" s="1">
        <v>7628143</v>
      </c>
      <c r="M231" s="1">
        <v>1000000</v>
      </c>
      <c r="N231" s="1">
        <v>4442510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10380173</v>
      </c>
      <c r="W231" s="1">
        <v>1900000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3033762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44281800</v>
      </c>
      <c r="AP231" s="1">
        <v>25302199</v>
      </c>
      <c r="AQ231" s="1">
        <v>18979601</v>
      </c>
      <c r="AR231" s="1">
        <v>8249608</v>
      </c>
      <c r="AS231" s="1">
        <v>1237441</v>
      </c>
      <c r="AT231" s="1">
        <f t="shared" si="17"/>
        <v>53768849</v>
      </c>
    </row>
    <row r="232" spans="1:46" x14ac:dyDescent="0.2">
      <c r="A232" s="1" t="str">
        <f>"00267"</f>
        <v>00267</v>
      </c>
      <c r="B232" s="1" t="str">
        <f>"محمد"</f>
        <v>محمد</v>
      </c>
      <c r="C232" s="1" t="str">
        <f>"دهقاني"</f>
        <v>دهقاني</v>
      </c>
      <c r="D232" s="1" t="str">
        <f>"قراردادي بهره بردار"</f>
        <v>قراردادي بهره بردار</v>
      </c>
      <c r="E232" s="1" t="str">
        <f>"پروژه تعميرات نيروگاه بوشهر"</f>
        <v>پروژه تعميرات نيروگاه بوشهر</v>
      </c>
      <c r="F232" s="1">
        <v>15571259</v>
      </c>
      <c r="G232" s="1">
        <v>7357650</v>
      </c>
      <c r="H232" s="1">
        <v>0</v>
      </c>
      <c r="I232" s="1">
        <v>13101981</v>
      </c>
      <c r="J232" s="1">
        <v>0</v>
      </c>
      <c r="K232" s="1">
        <v>3465000</v>
      </c>
      <c r="L232" s="1">
        <v>0</v>
      </c>
      <c r="M232" s="1">
        <v>1000000</v>
      </c>
      <c r="N232" s="1">
        <v>2927388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1387000</v>
      </c>
      <c r="U232" s="1">
        <v>0</v>
      </c>
      <c r="V232" s="1">
        <v>12412905</v>
      </c>
      <c r="W232" s="1">
        <v>1900000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2090991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6029679</v>
      </c>
      <c r="AM232" s="1">
        <v>0</v>
      </c>
      <c r="AN232" s="1">
        <v>0</v>
      </c>
      <c r="AO232" s="1">
        <v>67243853</v>
      </c>
      <c r="AP232" s="1">
        <v>22822054</v>
      </c>
      <c r="AQ232" s="1">
        <v>44421799</v>
      </c>
      <c r="AR232" s="1">
        <v>13448771</v>
      </c>
      <c r="AS232" s="1">
        <v>2017316</v>
      </c>
      <c r="AT232" s="1">
        <f t="shared" si="17"/>
        <v>82709940</v>
      </c>
    </row>
    <row r="233" spans="1:46" x14ac:dyDescent="0.2">
      <c r="A233" s="1" t="str">
        <f>"00270"</f>
        <v>00270</v>
      </c>
      <c r="B233" s="1" t="str">
        <f>"امين"</f>
        <v>امين</v>
      </c>
      <c r="C233" s="1" t="str">
        <f>"آژده"</f>
        <v>آژده</v>
      </c>
      <c r="D233" s="1" t="str">
        <f>"قراردادي کارگري"</f>
        <v>قراردادي کارگري</v>
      </c>
      <c r="E233" s="1" t="str">
        <f>"پروژه تعميرات نيروگاه بوشهر"</f>
        <v>پروژه تعميرات نيروگاه بوشهر</v>
      </c>
      <c r="F233" s="1">
        <v>7676756</v>
      </c>
      <c r="G233" s="1">
        <v>2108593</v>
      </c>
      <c r="H233" s="1">
        <v>0</v>
      </c>
      <c r="I233" s="1">
        <v>5527265</v>
      </c>
      <c r="J233" s="1">
        <v>0</v>
      </c>
      <c r="K233" s="1">
        <v>0</v>
      </c>
      <c r="L233" s="1">
        <v>7628143</v>
      </c>
      <c r="M233" s="1">
        <v>1000000</v>
      </c>
      <c r="N233" s="1">
        <v>4094269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12425780</v>
      </c>
      <c r="W233" s="1">
        <v>1900000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3738965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3373748</v>
      </c>
      <c r="AK233" s="1">
        <v>0</v>
      </c>
      <c r="AL233" s="1">
        <v>0</v>
      </c>
      <c r="AM233" s="1">
        <v>0</v>
      </c>
      <c r="AN233" s="1">
        <v>0</v>
      </c>
      <c r="AO233" s="1">
        <v>49473519</v>
      </c>
      <c r="AP233" s="1">
        <v>4880183</v>
      </c>
      <c r="AQ233" s="1">
        <v>44593336</v>
      </c>
      <c r="AR233" s="1">
        <v>9894704</v>
      </c>
      <c r="AS233" s="1">
        <v>1484206</v>
      </c>
      <c r="AT233" s="1">
        <f t="shared" si="17"/>
        <v>60852429</v>
      </c>
    </row>
    <row r="234" spans="1:46" x14ac:dyDescent="0.2">
      <c r="A234" s="1" t="str">
        <f>"00271"</f>
        <v>00271</v>
      </c>
      <c r="B234" s="1" t="str">
        <f>"احمد"</f>
        <v>احمد</v>
      </c>
      <c r="C234" s="1" t="str">
        <f>"منصورنژاد"</f>
        <v>منصورنژاد</v>
      </c>
      <c r="D234" s="1" t="str">
        <f>"قراردادي بهره بردار"</f>
        <v>قراردادي بهره بردار</v>
      </c>
      <c r="E234" s="1" t="str">
        <f>"پروژه بهره برداري نيروگاه بوشهر"</f>
        <v>پروژه بهره برداري نيروگاه بوشهر</v>
      </c>
      <c r="F234" s="1">
        <v>13888827</v>
      </c>
      <c r="G234" s="1">
        <v>15070196</v>
      </c>
      <c r="H234" s="1">
        <v>0</v>
      </c>
      <c r="I234" s="1">
        <v>9951436</v>
      </c>
      <c r="J234" s="1">
        <v>0</v>
      </c>
      <c r="K234" s="1">
        <v>4620000</v>
      </c>
      <c r="L234" s="1">
        <v>0</v>
      </c>
      <c r="M234" s="1">
        <v>1000000</v>
      </c>
      <c r="N234" s="1">
        <v>2338537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1606000</v>
      </c>
      <c r="U234" s="1">
        <v>0</v>
      </c>
      <c r="V234" s="1">
        <v>12808259</v>
      </c>
      <c r="W234" s="1">
        <v>1900000</v>
      </c>
      <c r="X234" s="1">
        <v>2016120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1670383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9009117</v>
      </c>
      <c r="AM234" s="1">
        <v>0</v>
      </c>
      <c r="AN234" s="1">
        <v>0</v>
      </c>
      <c r="AO234" s="1">
        <v>75878875</v>
      </c>
      <c r="AP234" s="1">
        <v>25493456</v>
      </c>
      <c r="AQ234" s="1">
        <v>50385419</v>
      </c>
      <c r="AR234" s="1">
        <v>15175775</v>
      </c>
      <c r="AS234" s="1">
        <v>2276366</v>
      </c>
      <c r="AT234" s="1">
        <f t="shared" si="17"/>
        <v>93331016</v>
      </c>
    </row>
    <row r="235" spans="1:46" x14ac:dyDescent="0.2">
      <c r="A235" s="1" t="str">
        <f>"00272"</f>
        <v>00272</v>
      </c>
      <c r="B235" s="1" t="str">
        <f>"هادي"</f>
        <v>هادي</v>
      </c>
      <c r="C235" s="1" t="str">
        <f>"سليماني"</f>
        <v>سليماني</v>
      </c>
      <c r="D235" s="1" t="str">
        <f>"قراردادي کارگري"</f>
        <v>قراردادي کارگري</v>
      </c>
      <c r="E235" s="1" t="str">
        <f>"پروژه تعميرات نيروگاه بوشهر"</f>
        <v>پروژه تعميرات نيروگاه بوشهر</v>
      </c>
      <c r="F235" s="1">
        <v>7643072</v>
      </c>
      <c r="G235" s="1">
        <v>2873648</v>
      </c>
      <c r="H235" s="1">
        <v>0</v>
      </c>
      <c r="I235" s="1">
        <v>5426581</v>
      </c>
      <c r="J235" s="1">
        <v>0</v>
      </c>
      <c r="K235" s="1">
        <v>0</v>
      </c>
      <c r="L235" s="1">
        <v>7628143</v>
      </c>
      <c r="M235" s="1">
        <v>1000000</v>
      </c>
      <c r="N235" s="1">
        <v>4022670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9215946</v>
      </c>
      <c r="W235" s="1">
        <v>1900000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3708070</v>
      </c>
      <c r="AE235" s="1">
        <v>0</v>
      </c>
      <c r="AF235" s="1">
        <v>1516881</v>
      </c>
      <c r="AG235" s="1">
        <v>0</v>
      </c>
      <c r="AH235" s="1">
        <v>0</v>
      </c>
      <c r="AI235" s="1">
        <v>0</v>
      </c>
      <c r="AJ235" s="1">
        <v>3065224</v>
      </c>
      <c r="AK235" s="1">
        <v>0</v>
      </c>
      <c r="AL235" s="1">
        <v>0</v>
      </c>
      <c r="AM235" s="1">
        <v>0</v>
      </c>
      <c r="AN235" s="1">
        <v>0</v>
      </c>
      <c r="AO235" s="1">
        <v>48000235</v>
      </c>
      <c r="AP235" s="1">
        <v>4544475</v>
      </c>
      <c r="AQ235" s="1">
        <v>43455760</v>
      </c>
      <c r="AR235" s="1">
        <v>9296671</v>
      </c>
      <c r="AS235" s="1">
        <v>1394501</v>
      </c>
      <c r="AT235" s="1">
        <f t="shared" si="17"/>
        <v>58691407</v>
      </c>
    </row>
    <row r="236" spans="1:46" x14ac:dyDescent="0.2">
      <c r="A236" s="1" t="str">
        <f>"00273"</f>
        <v>00273</v>
      </c>
      <c r="B236" s="1" t="str">
        <f>"عليرضا"</f>
        <v>عليرضا</v>
      </c>
      <c r="C236" s="1" t="str">
        <f>"امام دادي"</f>
        <v>امام دادي</v>
      </c>
      <c r="D236" s="1" t="str">
        <f>"قراردادي بهره بردار"</f>
        <v>قراردادي بهره بردار</v>
      </c>
      <c r="E236" s="1" t="str">
        <f>"پروژه بهره برداري نيروگاه بوشهر"</f>
        <v>پروژه بهره برداري نيروگاه بوشهر</v>
      </c>
      <c r="F236" s="1">
        <v>20145371</v>
      </c>
      <c r="G236" s="1">
        <v>0</v>
      </c>
      <c r="H236" s="1">
        <v>0</v>
      </c>
      <c r="I236" s="1">
        <v>18265912</v>
      </c>
      <c r="J236" s="1">
        <v>0</v>
      </c>
      <c r="K236" s="1">
        <v>5500000</v>
      </c>
      <c r="L236" s="1">
        <v>0</v>
      </c>
      <c r="M236" s="1">
        <v>1000000</v>
      </c>
      <c r="N236" s="1">
        <v>4171796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1387000</v>
      </c>
      <c r="U236" s="1">
        <v>0</v>
      </c>
      <c r="V236" s="1">
        <v>11257361</v>
      </c>
      <c r="W236" s="1">
        <v>1900000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2979854</v>
      </c>
      <c r="AF236" s="1">
        <v>3033762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4469782</v>
      </c>
      <c r="AM236" s="1">
        <v>0</v>
      </c>
      <c r="AN236" s="1">
        <v>0</v>
      </c>
      <c r="AO236" s="1">
        <v>74110838</v>
      </c>
      <c r="AP236" s="1">
        <v>38641139</v>
      </c>
      <c r="AQ236" s="1">
        <v>35469699</v>
      </c>
      <c r="AR236" s="1">
        <v>14215415</v>
      </c>
      <c r="AS236" s="1">
        <v>2132312</v>
      </c>
      <c r="AT236" s="1">
        <f t="shared" si="17"/>
        <v>90458565</v>
      </c>
    </row>
    <row r="237" spans="1:46" x14ac:dyDescent="0.2">
      <c r="A237" s="1" t="str">
        <f>"00276"</f>
        <v>00276</v>
      </c>
      <c r="B237" s="1" t="str">
        <f>"هوشنگ"</f>
        <v>هوشنگ</v>
      </c>
      <c r="C237" s="1" t="str">
        <f>"جوکار"</f>
        <v>جوکار</v>
      </c>
      <c r="D237" s="1" t="str">
        <f>"قراردادي بهره بردار"</f>
        <v>قراردادي بهره بردار</v>
      </c>
      <c r="E237" s="1" t="str">
        <f>"پروژه بهره برداري نيروگاه بوشهر"</f>
        <v>پروژه بهره برداري نيروگاه بوشهر</v>
      </c>
      <c r="F237" s="1">
        <v>13919496</v>
      </c>
      <c r="G237" s="1">
        <v>5990332</v>
      </c>
      <c r="H237" s="1">
        <v>0</v>
      </c>
      <c r="I237" s="1">
        <v>14395105</v>
      </c>
      <c r="J237" s="1">
        <v>0</v>
      </c>
      <c r="K237" s="1">
        <v>0</v>
      </c>
      <c r="L237" s="1">
        <v>0</v>
      </c>
      <c r="M237" s="1">
        <v>1000000</v>
      </c>
      <c r="N237" s="1">
        <v>2916654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1387000</v>
      </c>
      <c r="U237" s="1">
        <v>0</v>
      </c>
      <c r="V237" s="1">
        <v>3858707</v>
      </c>
      <c r="W237" s="1">
        <v>1900000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2083324</v>
      </c>
      <c r="AF237" s="1">
        <v>3033762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5272497</v>
      </c>
      <c r="AM237" s="1">
        <v>0</v>
      </c>
      <c r="AN237" s="1">
        <v>0</v>
      </c>
      <c r="AO237" s="1">
        <v>55756877</v>
      </c>
      <c r="AP237" s="1">
        <v>13953003</v>
      </c>
      <c r="AQ237" s="1">
        <v>41803874</v>
      </c>
      <c r="AR237" s="1">
        <v>10544623</v>
      </c>
      <c r="AS237" s="1">
        <v>1581693</v>
      </c>
      <c r="AT237" s="1">
        <f t="shared" si="17"/>
        <v>67883193</v>
      </c>
    </row>
    <row r="238" spans="1:46" x14ac:dyDescent="0.2">
      <c r="A238" s="1" t="str">
        <f>"00277"</f>
        <v>00277</v>
      </c>
      <c r="B238" s="1" t="str">
        <f>"سيدآقارضا"</f>
        <v>سيدآقارضا</v>
      </c>
      <c r="C238" s="1" t="str">
        <f>"كسائي"</f>
        <v>كسائي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28890512</v>
      </c>
      <c r="G238" s="1">
        <v>7180807</v>
      </c>
      <c r="H238" s="1">
        <v>0</v>
      </c>
      <c r="I238" s="1">
        <v>31764255</v>
      </c>
      <c r="J238" s="1">
        <v>0</v>
      </c>
      <c r="K238" s="1">
        <v>5500000</v>
      </c>
      <c r="L238" s="1">
        <v>0</v>
      </c>
      <c r="M238" s="1">
        <v>1000000</v>
      </c>
      <c r="N238" s="1">
        <v>4735345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1387000</v>
      </c>
      <c r="U238" s="1">
        <v>0</v>
      </c>
      <c r="V238" s="1">
        <v>22569849</v>
      </c>
      <c r="W238" s="1">
        <v>1900000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3384580</v>
      </c>
      <c r="AD238" s="1">
        <v>0</v>
      </c>
      <c r="AE238" s="1">
        <v>3382389</v>
      </c>
      <c r="AF238" s="1">
        <v>1516881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7035369</v>
      </c>
      <c r="AM238" s="1">
        <v>0</v>
      </c>
      <c r="AN238" s="1">
        <v>0</v>
      </c>
      <c r="AO238" s="1">
        <v>120246987</v>
      </c>
      <c r="AP238" s="1">
        <v>44454983</v>
      </c>
      <c r="AQ238" s="1">
        <v>75792004</v>
      </c>
      <c r="AR238" s="1">
        <v>23746021</v>
      </c>
      <c r="AS238" s="1">
        <v>3561903</v>
      </c>
      <c r="AT238" s="1">
        <f t="shared" si="17"/>
        <v>147554911</v>
      </c>
    </row>
    <row r="239" spans="1:46" x14ac:dyDescent="0.2">
      <c r="A239" s="1" t="str">
        <f>"00279"</f>
        <v>00279</v>
      </c>
      <c r="B239" s="1" t="str">
        <f>"صابر"</f>
        <v>صابر</v>
      </c>
      <c r="C239" s="1" t="str">
        <f>"عليزاده مروانکندي"</f>
        <v>عليزاده مروانکندي</v>
      </c>
      <c r="D239" s="1" t="str">
        <f>"قراردادي بهره بردار"</f>
        <v>قراردادي بهره بردار</v>
      </c>
      <c r="E239" s="1" t="str">
        <f>"پروژه بهره برداري نيروگاه بوشهر"</f>
        <v>پروژه بهره برداري نيروگاه بوشهر</v>
      </c>
      <c r="F239" s="1">
        <v>26833476</v>
      </c>
      <c r="G239" s="1">
        <v>2721315</v>
      </c>
      <c r="H239" s="1">
        <v>0</v>
      </c>
      <c r="I239" s="1">
        <v>28062303</v>
      </c>
      <c r="J239" s="1">
        <v>0</v>
      </c>
      <c r="K239" s="1">
        <v>5500000</v>
      </c>
      <c r="L239" s="1">
        <v>0</v>
      </c>
      <c r="M239" s="1">
        <v>1000000</v>
      </c>
      <c r="N239" s="1">
        <v>4288340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1606000</v>
      </c>
      <c r="U239" s="1">
        <v>0</v>
      </c>
      <c r="V239" s="1">
        <v>11206899</v>
      </c>
      <c r="W239" s="1">
        <v>1900000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3063100</v>
      </c>
      <c r="AF239" s="1">
        <v>3033762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3675720</v>
      </c>
      <c r="AM239" s="1">
        <v>0</v>
      </c>
      <c r="AN239" s="1">
        <v>0</v>
      </c>
      <c r="AO239" s="1">
        <v>92890915</v>
      </c>
      <c r="AP239" s="1">
        <v>12004238</v>
      </c>
      <c r="AQ239" s="1">
        <v>80886677</v>
      </c>
      <c r="AR239" s="1">
        <v>17971431</v>
      </c>
      <c r="AS239" s="1">
        <v>2695715</v>
      </c>
      <c r="AT239" s="1">
        <f t="shared" si="17"/>
        <v>113558061</v>
      </c>
    </row>
    <row r="240" spans="1:46" x14ac:dyDescent="0.2">
      <c r="A240" s="1" t="str">
        <f>"00281"</f>
        <v>00281</v>
      </c>
      <c r="B240" s="1" t="str">
        <f>"روح اله"</f>
        <v>روح اله</v>
      </c>
      <c r="C240" s="1" t="str">
        <f>"جعفري"</f>
        <v>جعفري</v>
      </c>
      <c r="D240" s="1" t="str">
        <f t="shared" ref="D240:D247" si="22">"قراردادي کارگري"</f>
        <v>قراردادي کارگري</v>
      </c>
      <c r="E240" s="1" t="str">
        <f t="shared" ref="E240:E247" si="23">"پروژه تعميرات نيروگاه بوشهر"</f>
        <v>پروژه تعميرات نيروگاه بوشهر</v>
      </c>
      <c r="F240" s="1">
        <v>6696719</v>
      </c>
      <c r="G240" s="1">
        <v>0</v>
      </c>
      <c r="H240" s="1">
        <v>0</v>
      </c>
      <c r="I240" s="1">
        <v>6027047</v>
      </c>
      <c r="J240" s="1">
        <v>0</v>
      </c>
      <c r="K240" s="1">
        <v>0</v>
      </c>
      <c r="L240" s="1">
        <v>7672721</v>
      </c>
      <c r="M240" s="1">
        <v>1000000</v>
      </c>
      <c r="N240" s="1">
        <v>3456372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9397334</v>
      </c>
      <c r="W240" s="1">
        <v>1900000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3033762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39183955</v>
      </c>
      <c r="AP240" s="1">
        <v>3011858</v>
      </c>
      <c r="AQ240" s="1">
        <v>36172097</v>
      </c>
      <c r="AR240" s="1">
        <v>7230039</v>
      </c>
      <c r="AS240" s="1">
        <v>1084506</v>
      </c>
      <c r="AT240" s="1">
        <f t="shared" si="17"/>
        <v>47498500</v>
      </c>
    </row>
    <row r="241" spans="1:46" x14ac:dyDescent="0.2">
      <c r="A241" s="1" t="str">
        <f>"00282"</f>
        <v>00282</v>
      </c>
      <c r="B241" s="1" t="str">
        <f>"اميد"</f>
        <v>اميد</v>
      </c>
      <c r="C241" s="1" t="str">
        <f>"جعفري زاده"</f>
        <v>جعفري زاده</v>
      </c>
      <c r="D241" s="1" t="str">
        <f t="shared" si="22"/>
        <v>قراردادي کارگري</v>
      </c>
      <c r="E241" s="1" t="str">
        <f t="shared" si="23"/>
        <v>پروژه تعميرات نيروگاه بوشهر</v>
      </c>
      <c r="F241" s="1">
        <v>8416036</v>
      </c>
      <c r="G241" s="1">
        <v>2609638</v>
      </c>
      <c r="H241" s="1">
        <v>0</v>
      </c>
      <c r="I241" s="1">
        <v>6143706</v>
      </c>
      <c r="J241" s="1">
        <v>0</v>
      </c>
      <c r="K241" s="1">
        <v>0</v>
      </c>
      <c r="L241" s="1">
        <v>7628143</v>
      </c>
      <c r="M241" s="1">
        <v>1000000</v>
      </c>
      <c r="N241" s="1">
        <v>4429493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10364915</v>
      </c>
      <c r="W241" s="1">
        <v>1900000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1516881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44008812</v>
      </c>
      <c r="AP241" s="1">
        <v>3893873</v>
      </c>
      <c r="AQ241" s="1">
        <v>40114939</v>
      </c>
      <c r="AR241" s="1">
        <v>8498386</v>
      </c>
      <c r="AS241" s="1">
        <v>1274758</v>
      </c>
      <c r="AT241" s="1">
        <f t="shared" si="17"/>
        <v>53781956</v>
      </c>
    </row>
    <row r="242" spans="1:46" x14ac:dyDescent="0.2">
      <c r="A242" s="1" t="str">
        <f>"00283"</f>
        <v>00283</v>
      </c>
      <c r="B242" s="1" t="str">
        <f>"حامد"</f>
        <v>حامد</v>
      </c>
      <c r="C242" s="1" t="str">
        <f>"حاجي پور"</f>
        <v>حاجي پور</v>
      </c>
      <c r="D242" s="1" t="str">
        <f t="shared" si="22"/>
        <v>قراردادي کارگري</v>
      </c>
      <c r="E242" s="1" t="str">
        <f t="shared" si="23"/>
        <v>پروژه تعميرات نيروگاه بوشهر</v>
      </c>
      <c r="F242" s="1">
        <v>6917781</v>
      </c>
      <c r="G242" s="1">
        <v>0</v>
      </c>
      <c r="H242" s="1">
        <v>0</v>
      </c>
      <c r="I242" s="1">
        <v>4980803</v>
      </c>
      <c r="J242" s="1">
        <v>0</v>
      </c>
      <c r="K242" s="1">
        <v>0</v>
      </c>
      <c r="L242" s="1">
        <v>7382074</v>
      </c>
      <c r="M242" s="1">
        <v>967742</v>
      </c>
      <c r="N242" s="1">
        <v>3640938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8392019</v>
      </c>
      <c r="W242" s="1">
        <v>1838710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2935899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37055966</v>
      </c>
      <c r="AP242" s="1">
        <v>12774064</v>
      </c>
      <c r="AQ242" s="1">
        <v>24281902</v>
      </c>
      <c r="AR242" s="1">
        <v>6824013</v>
      </c>
      <c r="AS242" s="1">
        <v>1023602</v>
      </c>
      <c r="AT242" s="1">
        <f t="shared" si="17"/>
        <v>44903581</v>
      </c>
    </row>
    <row r="243" spans="1:46" x14ac:dyDescent="0.2">
      <c r="A243" s="1" t="str">
        <f>"00284"</f>
        <v>00284</v>
      </c>
      <c r="B243" s="1" t="str">
        <f>"محمد"</f>
        <v>محمد</v>
      </c>
      <c r="C243" s="1" t="str">
        <f>"خضري"</f>
        <v>خضري</v>
      </c>
      <c r="D243" s="1" t="str">
        <f t="shared" si="22"/>
        <v>قراردادي کارگري</v>
      </c>
      <c r="E243" s="1" t="str">
        <f t="shared" si="23"/>
        <v>پروژه تعميرات نيروگاه بوشهر</v>
      </c>
      <c r="F243" s="1">
        <v>7655439</v>
      </c>
      <c r="G243" s="1">
        <v>745658</v>
      </c>
      <c r="H243" s="1">
        <v>0</v>
      </c>
      <c r="I243" s="1">
        <v>5588470</v>
      </c>
      <c r="J243" s="1">
        <v>0</v>
      </c>
      <c r="K243" s="1">
        <v>0</v>
      </c>
      <c r="L243" s="1">
        <v>7628143</v>
      </c>
      <c r="M243" s="1">
        <v>1000000</v>
      </c>
      <c r="N243" s="1">
        <v>4029180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10322222</v>
      </c>
      <c r="W243" s="1">
        <v>1900000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1516881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40385993</v>
      </c>
      <c r="AP243" s="1">
        <v>3303354</v>
      </c>
      <c r="AQ243" s="1">
        <v>37082639</v>
      </c>
      <c r="AR243" s="1">
        <v>7773822</v>
      </c>
      <c r="AS243" s="1">
        <v>1166073</v>
      </c>
      <c r="AT243" s="1">
        <f t="shared" si="17"/>
        <v>49325888</v>
      </c>
    </row>
    <row r="244" spans="1:46" x14ac:dyDescent="0.2">
      <c r="A244" s="1" t="str">
        <f>"00285"</f>
        <v>00285</v>
      </c>
      <c r="B244" s="1" t="str">
        <f>"خضر"</f>
        <v>خضر</v>
      </c>
      <c r="C244" s="1" t="str">
        <f>"خورموجي"</f>
        <v>خورموجي</v>
      </c>
      <c r="D244" s="1" t="str">
        <f t="shared" si="22"/>
        <v>قراردادي کارگري</v>
      </c>
      <c r="E244" s="1" t="str">
        <f t="shared" si="23"/>
        <v>پروژه تعميرات نيروگاه بوشهر</v>
      </c>
      <c r="F244" s="1">
        <v>6225861</v>
      </c>
      <c r="G244" s="1">
        <v>475940</v>
      </c>
      <c r="H244" s="1">
        <v>0</v>
      </c>
      <c r="I244" s="1">
        <v>3984551</v>
      </c>
      <c r="J244" s="1">
        <v>0</v>
      </c>
      <c r="K244" s="1">
        <v>0</v>
      </c>
      <c r="L244" s="1">
        <v>7672721</v>
      </c>
      <c r="M244" s="1">
        <v>1000000</v>
      </c>
      <c r="N244" s="1">
        <v>2993203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11220131</v>
      </c>
      <c r="W244" s="1">
        <v>1900000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1627293</v>
      </c>
      <c r="AD244" s="1">
        <v>0</v>
      </c>
      <c r="AE244" s="1">
        <v>0</v>
      </c>
      <c r="AF244" s="1">
        <v>3033762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40133462</v>
      </c>
      <c r="AP244" s="1">
        <v>3166627</v>
      </c>
      <c r="AQ244" s="1">
        <v>36966835</v>
      </c>
      <c r="AR244" s="1">
        <v>7419940</v>
      </c>
      <c r="AS244" s="1">
        <v>1112991</v>
      </c>
      <c r="AT244" s="1">
        <f t="shared" si="17"/>
        <v>48666393</v>
      </c>
    </row>
    <row r="245" spans="1:46" x14ac:dyDescent="0.2">
      <c r="A245" s="1" t="str">
        <f>"00286"</f>
        <v>00286</v>
      </c>
      <c r="B245" s="1" t="str">
        <f>"حسنعلي"</f>
        <v>حسنعلي</v>
      </c>
      <c r="C245" s="1" t="str">
        <f>"كره بندي"</f>
        <v>كره بندي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7236492</v>
      </c>
      <c r="G245" s="1">
        <v>765384</v>
      </c>
      <c r="H245" s="1">
        <v>0</v>
      </c>
      <c r="I245" s="1">
        <v>5355004</v>
      </c>
      <c r="J245" s="1">
        <v>0</v>
      </c>
      <c r="K245" s="1">
        <v>0</v>
      </c>
      <c r="L245" s="1">
        <v>7672721</v>
      </c>
      <c r="M245" s="1">
        <v>1000000</v>
      </c>
      <c r="N245" s="1">
        <v>3833902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12057180</v>
      </c>
      <c r="W245" s="1">
        <v>1900000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1516881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41337564</v>
      </c>
      <c r="AP245" s="1">
        <v>7869108</v>
      </c>
      <c r="AQ245" s="1">
        <v>33468456</v>
      </c>
      <c r="AR245" s="1">
        <v>7964137</v>
      </c>
      <c r="AS245" s="1">
        <v>1194620</v>
      </c>
      <c r="AT245" s="1">
        <f t="shared" si="17"/>
        <v>50496321</v>
      </c>
    </row>
    <row r="246" spans="1:46" x14ac:dyDescent="0.2">
      <c r="A246" s="1" t="str">
        <f>"00287"</f>
        <v>00287</v>
      </c>
      <c r="B246" s="1" t="str">
        <f>"عبدالکريم"</f>
        <v>عبدالکريم</v>
      </c>
      <c r="C246" s="1" t="str">
        <f>"منصوري"</f>
        <v>منصوري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7185477</v>
      </c>
      <c r="G246" s="1">
        <v>2814167</v>
      </c>
      <c r="H246" s="1">
        <v>0</v>
      </c>
      <c r="I246" s="1">
        <v>5245397</v>
      </c>
      <c r="J246" s="1">
        <v>0</v>
      </c>
      <c r="K246" s="1">
        <v>0</v>
      </c>
      <c r="L246" s="1">
        <v>7628143</v>
      </c>
      <c r="M246" s="1">
        <v>1000000</v>
      </c>
      <c r="N246" s="1">
        <v>3781828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9393130</v>
      </c>
      <c r="W246" s="1">
        <v>1900000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1516881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40465023</v>
      </c>
      <c r="AP246" s="1">
        <v>3516235</v>
      </c>
      <c r="AQ246" s="1">
        <v>36948788</v>
      </c>
      <c r="AR246" s="1">
        <v>7789628</v>
      </c>
      <c r="AS246" s="1">
        <v>1168444</v>
      </c>
      <c r="AT246" s="1">
        <f t="shared" si="17"/>
        <v>49423095</v>
      </c>
    </row>
    <row r="247" spans="1:46" x14ac:dyDescent="0.2">
      <c r="A247" s="1" t="str">
        <f>"00288"</f>
        <v>00288</v>
      </c>
      <c r="B247" s="1" t="str">
        <f>"سيدمحسن"</f>
        <v>سيدمحسن</v>
      </c>
      <c r="C247" s="1" t="str">
        <f>"موسوي"</f>
        <v>موسوي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1">
        <v>8416335</v>
      </c>
      <c r="G247" s="1">
        <v>0</v>
      </c>
      <c r="H247" s="1">
        <v>0</v>
      </c>
      <c r="I247" s="1">
        <v>6143924</v>
      </c>
      <c r="J247" s="1">
        <v>0</v>
      </c>
      <c r="K247" s="1">
        <v>0</v>
      </c>
      <c r="L247" s="1">
        <v>7628143</v>
      </c>
      <c r="M247" s="1">
        <v>1000000</v>
      </c>
      <c r="N247" s="1">
        <v>4458986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7707455</v>
      </c>
      <c r="W247" s="1">
        <v>1900000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1516881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38771724</v>
      </c>
      <c r="AP247" s="1">
        <v>7292631</v>
      </c>
      <c r="AQ247" s="1">
        <v>31479093</v>
      </c>
      <c r="AR247" s="1">
        <v>7450969</v>
      </c>
      <c r="AS247" s="1">
        <v>1117645</v>
      </c>
      <c r="AT247" s="1">
        <f t="shared" si="17"/>
        <v>47340338</v>
      </c>
    </row>
    <row r="248" spans="1:46" x14ac:dyDescent="0.2">
      <c r="A248" s="1" t="str">
        <f>"00290"</f>
        <v>00290</v>
      </c>
      <c r="B248" s="1" t="str">
        <f>"محمدرضا"</f>
        <v>محمدرضا</v>
      </c>
      <c r="C248" s="1" t="str">
        <f>"اميدوار ماکلواني"</f>
        <v>اميدوار ماکلواني</v>
      </c>
      <c r="D248" s="1" t="str">
        <f t="shared" ref="D248:D294" si="24">"قراردادي بهره بردار"</f>
        <v>قراردادي بهره بردار</v>
      </c>
      <c r="E248" s="1" t="str">
        <f t="shared" ref="E248:E258" si="25">"پروژه بهره برداري نيروگاه بوشهر"</f>
        <v>پروژه بهره برداري نيروگاه بوشهر</v>
      </c>
      <c r="F248" s="1">
        <v>14475925</v>
      </c>
      <c r="G248" s="1">
        <v>0</v>
      </c>
      <c r="H248" s="1">
        <v>0</v>
      </c>
      <c r="I248" s="1">
        <v>10442051</v>
      </c>
      <c r="J248" s="1">
        <v>0</v>
      </c>
      <c r="K248" s="1">
        <v>3465000</v>
      </c>
      <c r="L248" s="1">
        <v>0</v>
      </c>
      <c r="M248" s="1">
        <v>1000000</v>
      </c>
      <c r="N248" s="1">
        <v>2467348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1387000</v>
      </c>
      <c r="U248" s="1">
        <v>0</v>
      </c>
      <c r="V248" s="1">
        <v>6277184</v>
      </c>
      <c r="W248" s="1">
        <v>1900000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1762391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4330598</v>
      </c>
      <c r="AM248" s="1">
        <v>0</v>
      </c>
      <c r="AN248" s="1">
        <v>0</v>
      </c>
      <c r="AO248" s="1">
        <v>47507497</v>
      </c>
      <c r="AP248" s="1">
        <v>12013025</v>
      </c>
      <c r="AQ248" s="1">
        <v>35494472</v>
      </c>
      <c r="AR248" s="1">
        <v>9501499</v>
      </c>
      <c r="AS248" s="1">
        <v>1425225</v>
      </c>
      <c r="AT248" s="1">
        <f t="shared" si="17"/>
        <v>58434221</v>
      </c>
    </row>
    <row r="249" spans="1:46" x14ac:dyDescent="0.2">
      <c r="A249" s="1" t="str">
        <f>"00292"</f>
        <v>00292</v>
      </c>
      <c r="B249" s="1" t="str">
        <f>"مهدي"</f>
        <v>مهدي</v>
      </c>
      <c r="C249" s="1" t="str">
        <f>"حصارکي"</f>
        <v>حصارکي</v>
      </c>
      <c r="D249" s="1" t="str">
        <f t="shared" si="24"/>
        <v>قراردادي بهره بردار</v>
      </c>
      <c r="E249" s="1" t="str">
        <f t="shared" si="25"/>
        <v>پروژه بهره برداري نيروگاه بوشهر</v>
      </c>
      <c r="F249" s="1">
        <v>24509179</v>
      </c>
      <c r="G249" s="1">
        <v>11246505</v>
      </c>
      <c r="H249" s="1">
        <v>0</v>
      </c>
      <c r="I249" s="1">
        <v>20600591</v>
      </c>
      <c r="J249" s="1">
        <v>0</v>
      </c>
      <c r="K249" s="1">
        <v>5500000</v>
      </c>
      <c r="L249" s="1">
        <v>0</v>
      </c>
      <c r="M249" s="1">
        <v>1000000</v>
      </c>
      <c r="N249" s="1">
        <v>3906506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1387000</v>
      </c>
      <c r="U249" s="1">
        <v>0</v>
      </c>
      <c r="V249" s="1">
        <v>18507424</v>
      </c>
      <c r="W249" s="1">
        <v>1900000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2790362</v>
      </c>
      <c r="AF249" s="1">
        <v>3033762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5580723</v>
      </c>
      <c r="AM249" s="1">
        <v>0</v>
      </c>
      <c r="AN249" s="1">
        <v>0</v>
      </c>
      <c r="AO249" s="1">
        <v>99962052</v>
      </c>
      <c r="AP249" s="1">
        <v>41389225</v>
      </c>
      <c r="AQ249" s="1">
        <v>58572827</v>
      </c>
      <c r="AR249" s="1">
        <v>19385658</v>
      </c>
      <c r="AS249" s="1">
        <v>2907849</v>
      </c>
      <c r="AT249" s="1">
        <f t="shared" si="17"/>
        <v>122255559</v>
      </c>
    </row>
    <row r="250" spans="1:46" x14ac:dyDescent="0.2">
      <c r="A250" s="1" t="str">
        <f>"00293"</f>
        <v>00293</v>
      </c>
      <c r="B250" s="1" t="str">
        <f>"حامد"</f>
        <v>حامد</v>
      </c>
      <c r="C250" s="1" t="str">
        <f>"پور تيموري"</f>
        <v>پور تيموري</v>
      </c>
      <c r="D250" s="1" t="str">
        <f t="shared" si="24"/>
        <v>قراردادي بهره بردار</v>
      </c>
      <c r="E250" s="1" t="str">
        <f t="shared" si="25"/>
        <v>پروژه بهره برداري نيروگاه بوشهر</v>
      </c>
      <c r="F250" s="1">
        <v>16156167</v>
      </c>
      <c r="G250" s="1">
        <v>5131523</v>
      </c>
      <c r="H250" s="1">
        <v>0</v>
      </c>
      <c r="I250" s="1">
        <v>15442008</v>
      </c>
      <c r="J250" s="1">
        <v>0</v>
      </c>
      <c r="K250" s="1">
        <v>4620000</v>
      </c>
      <c r="L250" s="1">
        <v>0</v>
      </c>
      <c r="M250" s="1">
        <v>1000000</v>
      </c>
      <c r="N250" s="1">
        <v>3132106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1606000</v>
      </c>
      <c r="U250" s="1">
        <v>0</v>
      </c>
      <c r="V250" s="1">
        <v>16957587</v>
      </c>
      <c r="W250" s="1">
        <v>1900000</v>
      </c>
      <c r="X250" s="1">
        <v>2345250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2237218</v>
      </c>
      <c r="AF250" s="1">
        <v>1516881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12184926</v>
      </c>
      <c r="AM250" s="1">
        <v>0</v>
      </c>
      <c r="AN250" s="1">
        <v>0</v>
      </c>
      <c r="AO250" s="1">
        <v>84229666</v>
      </c>
      <c r="AP250" s="1">
        <v>10283272</v>
      </c>
      <c r="AQ250" s="1">
        <v>73946394</v>
      </c>
      <c r="AR250" s="1">
        <v>16542557</v>
      </c>
      <c r="AS250" s="1">
        <v>2481384</v>
      </c>
      <c r="AT250" s="1">
        <f t="shared" si="17"/>
        <v>103253607</v>
      </c>
    </row>
    <row r="251" spans="1:46" x14ac:dyDescent="0.2">
      <c r="A251" s="1" t="str">
        <f>"00294"</f>
        <v>00294</v>
      </c>
      <c r="B251" s="1" t="str">
        <f>"آزاده"</f>
        <v>آزاده</v>
      </c>
      <c r="C251" s="1" t="str">
        <f>"محمدطاهري"</f>
        <v>محمدطاهري</v>
      </c>
      <c r="D251" s="1" t="str">
        <f t="shared" si="24"/>
        <v>قراردادي بهره بردار</v>
      </c>
      <c r="E251" s="1" t="str">
        <f t="shared" si="25"/>
        <v>پروژه بهره برداري نيروگاه بوشهر</v>
      </c>
      <c r="F251" s="1">
        <v>13744243</v>
      </c>
      <c r="G251" s="1">
        <v>0</v>
      </c>
      <c r="H251" s="1">
        <v>0</v>
      </c>
      <c r="I251" s="1">
        <v>10629203</v>
      </c>
      <c r="J251" s="1">
        <v>0</v>
      </c>
      <c r="K251" s="1">
        <v>3465000</v>
      </c>
      <c r="L251" s="1">
        <v>0</v>
      </c>
      <c r="M251" s="1">
        <v>1000000</v>
      </c>
      <c r="N251" s="1">
        <v>2556289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1387000</v>
      </c>
      <c r="U251" s="1">
        <v>0</v>
      </c>
      <c r="V251" s="1">
        <v>3333546</v>
      </c>
      <c r="W251" s="1">
        <v>1900000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1825921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4579808</v>
      </c>
      <c r="AM251" s="1">
        <v>0</v>
      </c>
      <c r="AN251" s="1">
        <v>0</v>
      </c>
      <c r="AO251" s="1">
        <v>44421010</v>
      </c>
      <c r="AP251" s="1">
        <v>6480380</v>
      </c>
      <c r="AQ251" s="1">
        <v>37940630</v>
      </c>
      <c r="AR251" s="1">
        <v>8884202</v>
      </c>
      <c r="AS251" s="1">
        <v>1332630</v>
      </c>
      <c r="AT251" s="1">
        <f t="shared" si="17"/>
        <v>54637842</v>
      </c>
    </row>
    <row r="252" spans="1:46" x14ac:dyDescent="0.2">
      <c r="A252" s="1" t="str">
        <f>"00295"</f>
        <v>00295</v>
      </c>
      <c r="B252" s="1" t="str">
        <f>"احسان"</f>
        <v>احسان</v>
      </c>
      <c r="C252" s="1" t="str">
        <f>"ياوري پور"</f>
        <v>ياوري پور</v>
      </c>
      <c r="D252" s="1" t="str">
        <f t="shared" si="24"/>
        <v>قراردادي بهره بردار</v>
      </c>
      <c r="E252" s="1" t="str">
        <f t="shared" si="25"/>
        <v>پروژه بهره برداري نيروگاه بوشهر</v>
      </c>
      <c r="F252" s="1">
        <v>14535073</v>
      </c>
      <c r="G252" s="1">
        <v>3850317</v>
      </c>
      <c r="H252" s="1">
        <v>0</v>
      </c>
      <c r="I252" s="1">
        <v>11856724</v>
      </c>
      <c r="J252" s="1">
        <v>0</v>
      </c>
      <c r="K252" s="1">
        <v>4620000</v>
      </c>
      <c r="L252" s="1">
        <v>0</v>
      </c>
      <c r="M252" s="1">
        <v>1000000</v>
      </c>
      <c r="N252" s="1">
        <v>2564723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1606000</v>
      </c>
      <c r="U252" s="1">
        <v>0</v>
      </c>
      <c r="V252" s="1">
        <v>18959028</v>
      </c>
      <c r="W252" s="1">
        <v>1900000</v>
      </c>
      <c r="X252" s="1">
        <v>2109930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1831945</v>
      </c>
      <c r="AF252" s="1">
        <v>1516881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10879727</v>
      </c>
      <c r="AM252" s="1">
        <v>0</v>
      </c>
      <c r="AN252" s="1">
        <v>0</v>
      </c>
      <c r="AO252" s="1">
        <v>77230348</v>
      </c>
      <c r="AP252" s="1">
        <v>29743074</v>
      </c>
      <c r="AQ252" s="1">
        <v>47487274</v>
      </c>
      <c r="AR252" s="1">
        <v>15142693</v>
      </c>
      <c r="AS252" s="1">
        <v>2271404</v>
      </c>
      <c r="AT252" s="1">
        <f t="shared" si="17"/>
        <v>94644445</v>
      </c>
    </row>
    <row r="253" spans="1:46" x14ac:dyDescent="0.2">
      <c r="A253" s="1" t="str">
        <f>"00296"</f>
        <v>00296</v>
      </c>
      <c r="B253" s="1" t="str">
        <f>"رضا"</f>
        <v>رضا</v>
      </c>
      <c r="C253" s="1" t="str">
        <f>"فاضلي"</f>
        <v>فاضلي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24038185</v>
      </c>
      <c r="G253" s="1">
        <v>7257262</v>
      </c>
      <c r="H253" s="1">
        <v>0</v>
      </c>
      <c r="I253" s="1">
        <v>19749582</v>
      </c>
      <c r="J253" s="1">
        <v>0</v>
      </c>
      <c r="K253" s="1">
        <v>5500000</v>
      </c>
      <c r="L253" s="1">
        <v>0</v>
      </c>
      <c r="M253" s="1">
        <v>1000000</v>
      </c>
      <c r="N253" s="1">
        <v>3741659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1606000</v>
      </c>
      <c r="U253" s="1">
        <v>0</v>
      </c>
      <c r="V253" s="1">
        <v>17913994</v>
      </c>
      <c r="W253" s="1">
        <v>1900000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2672613</v>
      </c>
      <c r="AF253" s="1">
        <v>1516881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5345227</v>
      </c>
      <c r="AM253" s="1">
        <v>0</v>
      </c>
      <c r="AN253" s="1">
        <v>0</v>
      </c>
      <c r="AO253" s="1">
        <v>92241403</v>
      </c>
      <c r="AP253" s="1">
        <v>25739369</v>
      </c>
      <c r="AQ253" s="1">
        <v>66502034</v>
      </c>
      <c r="AR253" s="1">
        <v>18144904</v>
      </c>
      <c r="AS253" s="1">
        <v>2721736</v>
      </c>
      <c r="AT253" s="1">
        <f t="shared" si="17"/>
        <v>113108043</v>
      </c>
    </row>
    <row r="254" spans="1:46" x14ac:dyDescent="0.2">
      <c r="A254" s="1" t="str">
        <f>"00297"</f>
        <v>00297</v>
      </c>
      <c r="B254" s="1" t="str">
        <f>"محمد"</f>
        <v>محمد</v>
      </c>
      <c r="C254" s="1" t="str">
        <f>"احمد نيا"</f>
        <v>احمد نيا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14979779</v>
      </c>
      <c r="G254" s="1">
        <v>10046179</v>
      </c>
      <c r="H254" s="1">
        <v>0</v>
      </c>
      <c r="I254" s="1">
        <v>13248774</v>
      </c>
      <c r="J254" s="1">
        <v>0</v>
      </c>
      <c r="K254" s="1">
        <v>4620000</v>
      </c>
      <c r="L254" s="1">
        <v>0</v>
      </c>
      <c r="M254" s="1">
        <v>1000000</v>
      </c>
      <c r="N254" s="1">
        <v>2720370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1606000</v>
      </c>
      <c r="U254" s="1">
        <v>0</v>
      </c>
      <c r="V254" s="1">
        <v>10329450</v>
      </c>
      <c r="W254" s="1">
        <v>1900000</v>
      </c>
      <c r="X254" s="1">
        <v>2174484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1943121</v>
      </c>
      <c r="AF254" s="1">
        <v>3033762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11535700</v>
      </c>
      <c r="AM254" s="1">
        <v>0</v>
      </c>
      <c r="AN254" s="1">
        <v>0</v>
      </c>
      <c r="AO254" s="1">
        <v>79137619</v>
      </c>
      <c r="AP254" s="1">
        <v>29562353</v>
      </c>
      <c r="AQ254" s="1">
        <v>49575266</v>
      </c>
      <c r="AR254" s="1">
        <v>15220771</v>
      </c>
      <c r="AS254" s="1">
        <v>2283116</v>
      </c>
      <c r="AT254" s="1">
        <f t="shared" si="17"/>
        <v>96641506</v>
      </c>
    </row>
    <row r="255" spans="1:46" x14ac:dyDescent="0.2">
      <c r="A255" s="1" t="str">
        <f>"00298"</f>
        <v>00298</v>
      </c>
      <c r="B255" s="1" t="str">
        <f>"حميدرضا"</f>
        <v>حميدرضا</v>
      </c>
      <c r="C255" s="1" t="str">
        <f>"كرمي"</f>
        <v>كرمي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15612881</v>
      </c>
      <c r="G255" s="1">
        <v>6654863</v>
      </c>
      <c r="H255" s="1">
        <v>0</v>
      </c>
      <c r="I255" s="1">
        <v>14734521</v>
      </c>
      <c r="J255" s="1">
        <v>0</v>
      </c>
      <c r="K255" s="1">
        <v>4620000</v>
      </c>
      <c r="L255" s="1">
        <v>0</v>
      </c>
      <c r="M255" s="1">
        <v>1000000</v>
      </c>
      <c r="N255" s="1">
        <v>2941956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1606000</v>
      </c>
      <c r="U255" s="1">
        <v>0</v>
      </c>
      <c r="V255" s="1">
        <v>11119079</v>
      </c>
      <c r="W255" s="1">
        <v>1900000</v>
      </c>
      <c r="X255" s="1">
        <v>2266386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2101397</v>
      </c>
      <c r="AF255" s="1">
        <v>1516881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12433238</v>
      </c>
      <c r="AM255" s="1">
        <v>0</v>
      </c>
      <c r="AN255" s="1">
        <v>0</v>
      </c>
      <c r="AO255" s="1">
        <v>78507202</v>
      </c>
      <c r="AP255" s="1">
        <v>10843992</v>
      </c>
      <c r="AQ255" s="1">
        <v>67663210</v>
      </c>
      <c r="AR255" s="1">
        <v>15398064</v>
      </c>
      <c r="AS255" s="1">
        <v>2309710</v>
      </c>
      <c r="AT255" s="1">
        <f t="shared" si="17"/>
        <v>96214976</v>
      </c>
    </row>
    <row r="256" spans="1:46" x14ac:dyDescent="0.2">
      <c r="A256" s="1" t="str">
        <f>"00299"</f>
        <v>00299</v>
      </c>
      <c r="B256" s="1" t="str">
        <f>"محمدمحسن"</f>
        <v>محمدمحسن</v>
      </c>
      <c r="C256" s="1" t="str">
        <f>"اکرام زاده"</f>
        <v>اکرام زاده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14232761</v>
      </c>
      <c r="G256" s="1">
        <v>3350950</v>
      </c>
      <c r="H256" s="1">
        <v>0</v>
      </c>
      <c r="I256" s="1">
        <v>11751013</v>
      </c>
      <c r="J256" s="1">
        <v>0</v>
      </c>
      <c r="K256" s="1">
        <v>4620000</v>
      </c>
      <c r="L256" s="1">
        <v>0</v>
      </c>
      <c r="M256" s="1">
        <v>1000000</v>
      </c>
      <c r="N256" s="1">
        <v>2458914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1606000</v>
      </c>
      <c r="U256" s="1">
        <v>0</v>
      </c>
      <c r="V256" s="1">
        <v>18492431</v>
      </c>
      <c r="W256" s="1">
        <v>1900000</v>
      </c>
      <c r="X256" s="1">
        <v>2066046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1756367</v>
      </c>
      <c r="AF256" s="1">
        <v>1516881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10668196</v>
      </c>
      <c r="AM256" s="1">
        <v>0</v>
      </c>
      <c r="AN256" s="1">
        <v>0</v>
      </c>
      <c r="AO256" s="1">
        <v>75419559</v>
      </c>
      <c r="AP256" s="1">
        <v>31146819</v>
      </c>
      <c r="AQ256" s="1">
        <v>44272740</v>
      </c>
      <c r="AR256" s="1">
        <v>14780536</v>
      </c>
      <c r="AS256" s="1">
        <v>2217080</v>
      </c>
      <c r="AT256" s="1">
        <f t="shared" si="17"/>
        <v>92417175</v>
      </c>
    </row>
    <row r="257" spans="1:46" x14ac:dyDescent="0.2">
      <c r="A257" s="1" t="str">
        <f>"00300"</f>
        <v>00300</v>
      </c>
      <c r="B257" s="1" t="str">
        <f>"هادي"</f>
        <v>هادي</v>
      </c>
      <c r="C257" s="1" t="str">
        <f>"غلامي سرلک"</f>
        <v>غلامي سرلک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15978723</v>
      </c>
      <c r="G257" s="1">
        <v>10281807</v>
      </c>
      <c r="H257" s="1">
        <v>0</v>
      </c>
      <c r="I257" s="1">
        <v>13901231</v>
      </c>
      <c r="J257" s="1">
        <v>0</v>
      </c>
      <c r="K257" s="1">
        <v>4620000</v>
      </c>
      <c r="L257" s="1">
        <v>0</v>
      </c>
      <c r="M257" s="1">
        <v>1000000</v>
      </c>
      <c r="N257" s="1">
        <v>3070000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1606000</v>
      </c>
      <c r="U257" s="1">
        <v>0</v>
      </c>
      <c r="V257" s="1">
        <v>10994592</v>
      </c>
      <c r="W257" s="1">
        <v>1900000</v>
      </c>
      <c r="X257" s="1">
        <v>2319492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2192857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12145757</v>
      </c>
      <c r="AM257" s="1">
        <v>0</v>
      </c>
      <c r="AN257" s="1">
        <v>0</v>
      </c>
      <c r="AO257" s="1">
        <v>80010459</v>
      </c>
      <c r="AP257" s="1">
        <v>35375578</v>
      </c>
      <c r="AQ257" s="1">
        <v>44634881</v>
      </c>
      <c r="AR257" s="1">
        <v>16002092</v>
      </c>
      <c r="AS257" s="1">
        <v>2400314</v>
      </c>
      <c r="AT257" s="1">
        <f t="shared" si="17"/>
        <v>98412865</v>
      </c>
    </row>
    <row r="258" spans="1:46" x14ac:dyDescent="0.2">
      <c r="A258" s="1" t="str">
        <f>"00301"</f>
        <v>00301</v>
      </c>
      <c r="B258" s="1" t="str">
        <f>"علي اکبر"</f>
        <v>علي اکبر</v>
      </c>
      <c r="C258" s="1" t="str">
        <f>"مدبري"</f>
        <v>مدبري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1">
        <v>17297504</v>
      </c>
      <c r="G258" s="1">
        <v>6575615</v>
      </c>
      <c r="H258" s="1">
        <v>0</v>
      </c>
      <c r="I258" s="1">
        <v>16443079</v>
      </c>
      <c r="J258" s="1">
        <v>0</v>
      </c>
      <c r="K258" s="1">
        <v>4620000</v>
      </c>
      <c r="L258" s="1">
        <v>0</v>
      </c>
      <c r="M258" s="1">
        <v>1000000</v>
      </c>
      <c r="N258" s="1">
        <v>3531574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1387000</v>
      </c>
      <c r="U258" s="1">
        <v>0</v>
      </c>
      <c r="V258" s="1">
        <v>12665516</v>
      </c>
      <c r="W258" s="1">
        <v>1900000</v>
      </c>
      <c r="X258" s="1">
        <v>2510928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2522553</v>
      </c>
      <c r="AF258" s="1">
        <v>3033762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14101102</v>
      </c>
      <c r="AM258" s="1">
        <v>0</v>
      </c>
      <c r="AN258" s="1">
        <v>0</v>
      </c>
      <c r="AO258" s="1">
        <v>87588633</v>
      </c>
      <c r="AP258" s="1">
        <v>29912268</v>
      </c>
      <c r="AQ258" s="1">
        <v>57676365</v>
      </c>
      <c r="AR258" s="1">
        <v>16910974</v>
      </c>
      <c r="AS258" s="1">
        <v>2536646</v>
      </c>
      <c r="AT258" s="1">
        <f t="shared" si="17"/>
        <v>107036253</v>
      </c>
    </row>
    <row r="259" spans="1:46" x14ac:dyDescent="0.2">
      <c r="A259" s="1" t="str">
        <f>"00303"</f>
        <v>00303</v>
      </c>
      <c r="B259" s="1" t="str">
        <f>"مسعود"</f>
        <v>مسعود</v>
      </c>
      <c r="C259" s="1" t="str">
        <f>"قهرماني"</f>
        <v>قهرماني</v>
      </c>
      <c r="D259" s="1" t="str">
        <f t="shared" si="24"/>
        <v>قراردادي بهره بردار</v>
      </c>
      <c r="E259" s="1" t="str">
        <f>"پروژه تعميرات نيروگاه بوشهر"</f>
        <v>پروژه تعميرات نيروگاه بوشهر</v>
      </c>
      <c r="F259" s="1">
        <v>24414980</v>
      </c>
      <c r="G259" s="1">
        <v>6781634</v>
      </c>
      <c r="H259" s="1">
        <v>0</v>
      </c>
      <c r="I259" s="1">
        <v>24442941</v>
      </c>
      <c r="J259" s="1">
        <v>0</v>
      </c>
      <c r="K259" s="1">
        <v>5500000</v>
      </c>
      <c r="L259" s="1">
        <v>0</v>
      </c>
      <c r="M259" s="1">
        <v>1000000</v>
      </c>
      <c r="N259" s="1">
        <v>3873537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1387000</v>
      </c>
      <c r="U259" s="1">
        <v>0</v>
      </c>
      <c r="V259" s="1">
        <v>16651932</v>
      </c>
      <c r="W259" s="1">
        <v>1900000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2957400</v>
      </c>
      <c r="AD259" s="1">
        <v>0</v>
      </c>
      <c r="AE259" s="1">
        <v>2766812</v>
      </c>
      <c r="AF259" s="1">
        <v>1516881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4980262</v>
      </c>
      <c r="AM259" s="1">
        <v>0</v>
      </c>
      <c r="AN259" s="1">
        <v>0</v>
      </c>
      <c r="AO259" s="1">
        <v>98173379</v>
      </c>
      <c r="AP259" s="1">
        <v>40355595</v>
      </c>
      <c r="AQ259" s="1">
        <v>57817784</v>
      </c>
      <c r="AR259" s="1">
        <v>19331300</v>
      </c>
      <c r="AS259" s="1">
        <v>2899695</v>
      </c>
      <c r="AT259" s="1">
        <f t="shared" ref="AT259:AT322" si="26">AO259+AR259+AS259</f>
        <v>120404374</v>
      </c>
    </row>
    <row r="260" spans="1:46" x14ac:dyDescent="0.2">
      <c r="A260" s="1" t="str">
        <f>"00304"</f>
        <v>00304</v>
      </c>
      <c r="B260" s="1" t="str">
        <f>"سيد اسماعيل"</f>
        <v>سيد اسماعيل</v>
      </c>
      <c r="C260" s="1" t="str">
        <f>"حسيني"</f>
        <v>حسيني</v>
      </c>
      <c r="D260" s="1" t="str">
        <f t="shared" si="24"/>
        <v>قراردادي بهره بردار</v>
      </c>
      <c r="E260" s="1" t="str">
        <f t="shared" ref="E260:E267" si="27">"پروژه بهره برداري نيروگاه بوشهر"</f>
        <v>پروژه بهره برداري نيروگاه بوشهر</v>
      </c>
      <c r="F260" s="1">
        <v>16423428</v>
      </c>
      <c r="G260" s="1">
        <v>11407576</v>
      </c>
      <c r="H260" s="1">
        <v>0</v>
      </c>
      <c r="I260" s="1">
        <v>15638082</v>
      </c>
      <c r="J260" s="1">
        <v>0</v>
      </c>
      <c r="K260" s="1">
        <v>4620000</v>
      </c>
      <c r="L260" s="1">
        <v>0</v>
      </c>
      <c r="M260" s="1">
        <v>1000000</v>
      </c>
      <c r="N260" s="1">
        <v>3225647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1387000</v>
      </c>
      <c r="U260" s="1">
        <v>0</v>
      </c>
      <c r="V260" s="1">
        <v>11729235</v>
      </c>
      <c r="W260" s="1">
        <v>1900000</v>
      </c>
      <c r="X260" s="1">
        <v>2384046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2304034</v>
      </c>
      <c r="AF260" s="1">
        <v>1516881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12857132</v>
      </c>
      <c r="AM260" s="1">
        <v>0</v>
      </c>
      <c r="AN260" s="1">
        <v>0</v>
      </c>
      <c r="AO260" s="1">
        <v>86393061</v>
      </c>
      <c r="AP260" s="1">
        <v>32850386</v>
      </c>
      <c r="AQ260" s="1">
        <v>53542675</v>
      </c>
      <c r="AR260" s="1">
        <v>16975236</v>
      </c>
      <c r="AS260" s="1">
        <v>2546285</v>
      </c>
      <c r="AT260" s="1">
        <f t="shared" si="26"/>
        <v>105914582</v>
      </c>
    </row>
    <row r="261" spans="1:46" x14ac:dyDescent="0.2">
      <c r="A261" s="1" t="str">
        <f>"00305"</f>
        <v>00305</v>
      </c>
      <c r="B261" s="1" t="str">
        <f>"حميد رضا"</f>
        <v>حميد رضا</v>
      </c>
      <c r="C261" s="1" t="str">
        <f>"راجي"</f>
        <v>راجي</v>
      </c>
      <c r="D261" s="1" t="str">
        <f t="shared" si="24"/>
        <v>قراردادي بهره بردار</v>
      </c>
      <c r="E261" s="1" t="str">
        <f t="shared" si="27"/>
        <v>پروژه بهره برداري نيروگاه بوشهر</v>
      </c>
      <c r="F261" s="1">
        <v>21302043</v>
      </c>
      <c r="G261" s="1">
        <v>5884725</v>
      </c>
      <c r="H261" s="1">
        <v>0</v>
      </c>
      <c r="I261" s="1">
        <v>16227856</v>
      </c>
      <c r="J261" s="1">
        <v>0</v>
      </c>
      <c r="K261" s="1">
        <v>5500000</v>
      </c>
      <c r="L261" s="1">
        <v>0</v>
      </c>
      <c r="M261" s="1">
        <v>1000000</v>
      </c>
      <c r="N261" s="1">
        <v>3717890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1387000</v>
      </c>
      <c r="U261" s="1">
        <v>0</v>
      </c>
      <c r="V261" s="1">
        <v>20812226</v>
      </c>
      <c r="W261" s="1">
        <v>1900000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2655636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4780144</v>
      </c>
      <c r="AM261" s="1">
        <v>0</v>
      </c>
      <c r="AN261" s="1">
        <v>0</v>
      </c>
      <c r="AO261" s="1">
        <v>85167520</v>
      </c>
      <c r="AP261" s="1">
        <v>30307725</v>
      </c>
      <c r="AQ261" s="1">
        <v>54859795</v>
      </c>
      <c r="AR261" s="1">
        <v>17033504</v>
      </c>
      <c r="AS261" s="1">
        <v>2555026</v>
      </c>
      <c r="AT261" s="1">
        <f t="shared" si="26"/>
        <v>104756050</v>
      </c>
    </row>
    <row r="262" spans="1:46" x14ac:dyDescent="0.2">
      <c r="A262" s="1" t="str">
        <f>"00306"</f>
        <v>00306</v>
      </c>
      <c r="B262" s="1" t="str">
        <f>"ميثم"</f>
        <v>ميثم</v>
      </c>
      <c r="C262" s="1" t="str">
        <f>"اماني هاروني"</f>
        <v>اماني هاروني</v>
      </c>
      <c r="D262" s="1" t="str">
        <f t="shared" si="24"/>
        <v>قراردادي بهره بردار</v>
      </c>
      <c r="E262" s="1" t="str">
        <f t="shared" si="27"/>
        <v>پروژه بهره برداري نيروگاه بوشهر</v>
      </c>
      <c r="F262" s="1">
        <v>24209057</v>
      </c>
      <c r="G262" s="1">
        <v>2788591</v>
      </c>
      <c r="H262" s="1">
        <v>0</v>
      </c>
      <c r="I262" s="1">
        <v>21194791</v>
      </c>
      <c r="J262" s="1">
        <v>0</v>
      </c>
      <c r="K262" s="1">
        <v>5500000</v>
      </c>
      <c r="L262" s="1">
        <v>0</v>
      </c>
      <c r="M262" s="1">
        <v>1000000</v>
      </c>
      <c r="N262" s="1">
        <v>3801464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1606000</v>
      </c>
      <c r="U262" s="1">
        <v>0</v>
      </c>
      <c r="V262" s="1">
        <v>20599197</v>
      </c>
      <c r="W262" s="1">
        <v>1900000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2715331</v>
      </c>
      <c r="AF262" s="1">
        <v>1516881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6516795</v>
      </c>
      <c r="AM262" s="1">
        <v>0</v>
      </c>
      <c r="AN262" s="1">
        <v>0</v>
      </c>
      <c r="AO262" s="1">
        <v>93348107</v>
      </c>
      <c r="AP262" s="1">
        <v>57960791</v>
      </c>
      <c r="AQ262" s="1">
        <v>35387316</v>
      </c>
      <c r="AR262" s="1">
        <v>18366245</v>
      </c>
      <c r="AS262" s="1">
        <v>2754937</v>
      </c>
      <c r="AT262" s="1">
        <f t="shared" si="26"/>
        <v>114469289</v>
      </c>
    </row>
    <row r="263" spans="1:46" x14ac:dyDescent="0.2">
      <c r="A263" s="1" t="str">
        <f>"00307"</f>
        <v>00307</v>
      </c>
      <c r="B263" s="1" t="str">
        <f>"حبيب اله"</f>
        <v>حبيب اله</v>
      </c>
      <c r="C263" s="1" t="str">
        <f>"خدادادي"</f>
        <v>خدادادي</v>
      </c>
      <c r="D263" s="1" t="str">
        <f t="shared" si="24"/>
        <v>قراردادي بهره بردار</v>
      </c>
      <c r="E263" s="1" t="str">
        <f t="shared" si="27"/>
        <v>پروژه بهره برداري نيروگاه بوشهر</v>
      </c>
      <c r="F263" s="1">
        <v>15529636</v>
      </c>
      <c r="G263" s="1">
        <v>2426040</v>
      </c>
      <c r="H263" s="1">
        <v>0</v>
      </c>
      <c r="I263" s="1">
        <v>14083892</v>
      </c>
      <c r="J263" s="1">
        <v>0</v>
      </c>
      <c r="K263" s="1">
        <v>0</v>
      </c>
      <c r="L263" s="1">
        <v>0</v>
      </c>
      <c r="M263" s="1">
        <v>1000000</v>
      </c>
      <c r="N263" s="1">
        <v>2912820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1606000</v>
      </c>
      <c r="U263" s="1">
        <v>0</v>
      </c>
      <c r="V263" s="1">
        <v>15245153</v>
      </c>
      <c r="W263" s="1">
        <v>1900000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2080586</v>
      </c>
      <c r="AF263" s="1">
        <v>3033762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7448661</v>
      </c>
      <c r="AM263" s="1">
        <v>0</v>
      </c>
      <c r="AN263" s="1">
        <v>0</v>
      </c>
      <c r="AO263" s="1">
        <v>67266550</v>
      </c>
      <c r="AP263" s="1">
        <v>59579113</v>
      </c>
      <c r="AQ263" s="1">
        <v>7687437</v>
      </c>
      <c r="AR263" s="1">
        <v>12846558</v>
      </c>
      <c r="AS263" s="1">
        <v>1926984</v>
      </c>
      <c r="AT263" s="1">
        <f t="shared" si="26"/>
        <v>82040092</v>
      </c>
    </row>
    <row r="264" spans="1:46" x14ac:dyDescent="0.2">
      <c r="A264" s="1" t="str">
        <f>"00308"</f>
        <v>00308</v>
      </c>
      <c r="B264" s="1" t="str">
        <f>"هادي"</f>
        <v>هادي</v>
      </c>
      <c r="C264" s="1" t="str">
        <f>"حداديان نژاد يوسفي"</f>
        <v>حداديان نژاد يوسفي</v>
      </c>
      <c r="D264" s="1" t="str">
        <f t="shared" si="24"/>
        <v>قراردادي بهره بردار</v>
      </c>
      <c r="E264" s="1" t="str">
        <f t="shared" si="27"/>
        <v>پروژه بهره برداري نيروگاه بوشهر</v>
      </c>
      <c r="F264" s="1">
        <v>24390883</v>
      </c>
      <c r="G264" s="1">
        <v>12934150</v>
      </c>
      <c r="H264" s="1">
        <v>0</v>
      </c>
      <c r="I264" s="1">
        <v>21409012</v>
      </c>
      <c r="J264" s="1">
        <v>0</v>
      </c>
      <c r="K264" s="1">
        <v>5500000</v>
      </c>
      <c r="L264" s="1">
        <v>0</v>
      </c>
      <c r="M264" s="1">
        <v>1000000</v>
      </c>
      <c r="N264" s="1">
        <v>3865103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1387000</v>
      </c>
      <c r="U264" s="1">
        <v>0</v>
      </c>
      <c r="V264" s="1">
        <v>29689789</v>
      </c>
      <c r="W264" s="1">
        <v>1900000</v>
      </c>
      <c r="X264" s="1">
        <v>3540612</v>
      </c>
      <c r="Y264" s="1">
        <v>0</v>
      </c>
      <c r="Z264" s="1">
        <v>0</v>
      </c>
      <c r="AA264" s="1">
        <v>0</v>
      </c>
      <c r="AB264" s="1">
        <v>0</v>
      </c>
      <c r="AC264" s="1">
        <v>3877480</v>
      </c>
      <c r="AD264" s="1">
        <v>0</v>
      </c>
      <c r="AE264" s="1">
        <v>2760788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21827759</v>
      </c>
      <c r="AM264" s="1">
        <v>0</v>
      </c>
      <c r="AN264" s="1">
        <v>0</v>
      </c>
      <c r="AO264" s="1">
        <v>134082576</v>
      </c>
      <c r="AP264" s="1">
        <v>43384253</v>
      </c>
      <c r="AQ264" s="1">
        <v>90698323</v>
      </c>
      <c r="AR264" s="1">
        <v>26552511</v>
      </c>
      <c r="AS264" s="1">
        <v>3982877</v>
      </c>
      <c r="AT264" s="1">
        <f t="shared" si="26"/>
        <v>164617964</v>
      </c>
    </row>
    <row r="265" spans="1:46" x14ac:dyDescent="0.2">
      <c r="A265" s="1" t="str">
        <f>"00310"</f>
        <v>00310</v>
      </c>
      <c r="B265" s="1" t="str">
        <f>"سيد محمدرضا"</f>
        <v>سيد محمدرضا</v>
      </c>
      <c r="C265" s="1" t="str">
        <f>"موسوي"</f>
        <v>موسوي</v>
      </c>
      <c r="D265" s="1" t="str">
        <f t="shared" si="24"/>
        <v>قراردادي بهره بردار</v>
      </c>
      <c r="E265" s="1" t="str">
        <f t="shared" si="27"/>
        <v>پروژه بهره برداري نيروگاه بوشهر</v>
      </c>
      <c r="F265" s="1">
        <v>14425540</v>
      </c>
      <c r="G265" s="1">
        <v>2535785</v>
      </c>
      <c r="H265" s="1">
        <v>0</v>
      </c>
      <c r="I265" s="1">
        <v>11947853</v>
      </c>
      <c r="J265" s="1">
        <v>0</v>
      </c>
      <c r="K265" s="1">
        <v>4620000</v>
      </c>
      <c r="L265" s="1">
        <v>0</v>
      </c>
      <c r="M265" s="1">
        <v>1000000</v>
      </c>
      <c r="N265" s="1">
        <v>2526386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1387000</v>
      </c>
      <c r="U265" s="1">
        <v>0</v>
      </c>
      <c r="V265" s="1">
        <v>18729374</v>
      </c>
      <c r="W265" s="1">
        <v>1900000</v>
      </c>
      <c r="X265" s="1">
        <v>2094030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1804562</v>
      </c>
      <c r="AF265" s="1">
        <v>1516881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10459119</v>
      </c>
      <c r="AM265" s="1">
        <v>0</v>
      </c>
      <c r="AN265" s="1">
        <v>0</v>
      </c>
      <c r="AO265" s="1">
        <v>74946530</v>
      </c>
      <c r="AP265" s="1">
        <v>35458687</v>
      </c>
      <c r="AQ265" s="1">
        <v>39487843</v>
      </c>
      <c r="AR265" s="1">
        <v>14685930</v>
      </c>
      <c r="AS265" s="1">
        <v>2202889</v>
      </c>
      <c r="AT265" s="1">
        <f t="shared" si="26"/>
        <v>91835349</v>
      </c>
    </row>
    <row r="266" spans="1:46" x14ac:dyDescent="0.2">
      <c r="A266" s="1" t="str">
        <f>"00311"</f>
        <v>00311</v>
      </c>
      <c r="B266" s="1" t="str">
        <f>"سروش"</f>
        <v>سروش</v>
      </c>
      <c r="C266" s="1" t="str">
        <f>"سياره"</f>
        <v>سياره</v>
      </c>
      <c r="D266" s="1" t="str">
        <f t="shared" si="24"/>
        <v>قراردادي بهره بردار</v>
      </c>
      <c r="E266" s="1" t="str">
        <f t="shared" si="27"/>
        <v>پروژه بهره برداري نيروگاه بوشهر</v>
      </c>
      <c r="F266" s="1">
        <v>15891096</v>
      </c>
      <c r="G266" s="1">
        <v>5857650</v>
      </c>
      <c r="H266" s="1">
        <v>0</v>
      </c>
      <c r="I266" s="1">
        <v>14005737</v>
      </c>
      <c r="J266" s="1">
        <v>0</v>
      </c>
      <c r="K266" s="1">
        <v>4620000</v>
      </c>
      <c r="L266" s="1">
        <v>0</v>
      </c>
      <c r="M266" s="1">
        <v>1000000</v>
      </c>
      <c r="N266" s="1">
        <v>3039331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1387000</v>
      </c>
      <c r="U266" s="1">
        <v>0</v>
      </c>
      <c r="V266" s="1">
        <v>9211369</v>
      </c>
      <c r="W266" s="1">
        <v>1900000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2170951</v>
      </c>
      <c r="AF266" s="1">
        <v>3033762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4511678</v>
      </c>
      <c r="AM266" s="1">
        <v>0</v>
      </c>
      <c r="AN266" s="1">
        <v>0</v>
      </c>
      <c r="AO266" s="1">
        <v>66628574</v>
      </c>
      <c r="AP266" s="1">
        <v>8646631</v>
      </c>
      <c r="AQ266" s="1">
        <v>57981943</v>
      </c>
      <c r="AR266" s="1">
        <v>12718962</v>
      </c>
      <c r="AS266" s="1">
        <v>1907844</v>
      </c>
      <c r="AT266" s="1">
        <f t="shared" si="26"/>
        <v>81255380</v>
      </c>
    </row>
    <row r="267" spans="1:46" x14ac:dyDescent="0.2">
      <c r="A267" s="1" t="str">
        <f>"00312"</f>
        <v>00312</v>
      </c>
      <c r="B267" s="1" t="str">
        <f>"فهيمه"</f>
        <v>فهيمه</v>
      </c>
      <c r="C267" s="1" t="str">
        <f>"قنبري"</f>
        <v>قنبري</v>
      </c>
      <c r="D267" s="1" t="str">
        <f t="shared" si="24"/>
        <v>قراردادي بهره بردار</v>
      </c>
      <c r="E267" s="1" t="str">
        <f t="shared" si="27"/>
        <v>پروژه بهره برداري نيروگاه بوشهر</v>
      </c>
      <c r="F267" s="1">
        <v>24136765</v>
      </c>
      <c r="G267" s="1">
        <v>0</v>
      </c>
      <c r="H267" s="1">
        <v>0</v>
      </c>
      <c r="I267" s="1">
        <v>18076607</v>
      </c>
      <c r="J267" s="1">
        <v>1100000</v>
      </c>
      <c r="K267" s="1">
        <v>4125000</v>
      </c>
      <c r="L267" s="1">
        <v>0</v>
      </c>
      <c r="M267" s="1">
        <v>1000000</v>
      </c>
      <c r="N267" s="1">
        <v>3776162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1387000</v>
      </c>
      <c r="U267" s="1">
        <v>0</v>
      </c>
      <c r="V267" s="1">
        <v>9505090</v>
      </c>
      <c r="W267" s="1">
        <v>1900000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2697258</v>
      </c>
      <c r="AF267" s="1">
        <v>1516881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4863006</v>
      </c>
      <c r="AM267" s="1">
        <v>0</v>
      </c>
      <c r="AN267" s="1">
        <v>0</v>
      </c>
      <c r="AO267" s="1">
        <v>74083769</v>
      </c>
      <c r="AP267" s="1">
        <v>32992105</v>
      </c>
      <c r="AQ267" s="1">
        <v>41091664</v>
      </c>
      <c r="AR267" s="1">
        <v>14293378</v>
      </c>
      <c r="AS267" s="1">
        <v>2144007</v>
      </c>
      <c r="AT267" s="1">
        <f t="shared" si="26"/>
        <v>90521154</v>
      </c>
    </row>
    <row r="268" spans="1:46" x14ac:dyDescent="0.2">
      <c r="A268" s="1" t="str">
        <f>"00313"</f>
        <v>00313</v>
      </c>
      <c r="B268" s="1" t="str">
        <f>"محمدرضا"</f>
        <v>محمدرضا</v>
      </c>
      <c r="C268" s="1" t="str">
        <f>"غلامي"</f>
        <v>غلامي</v>
      </c>
      <c r="D268" s="1" t="str">
        <f t="shared" si="24"/>
        <v>قراردادي بهره بردار</v>
      </c>
      <c r="E268" s="1" t="str">
        <f>"پروژه تعميرات نيروگاه بوشهر"</f>
        <v>پروژه تعميرات نيروگاه بوشهر</v>
      </c>
      <c r="F268" s="1">
        <v>20176040</v>
      </c>
      <c r="G268" s="1">
        <v>0</v>
      </c>
      <c r="H268" s="1">
        <v>0</v>
      </c>
      <c r="I268" s="1">
        <v>20621659</v>
      </c>
      <c r="J268" s="1">
        <v>0</v>
      </c>
      <c r="K268" s="1">
        <v>5500000</v>
      </c>
      <c r="L268" s="1">
        <v>0</v>
      </c>
      <c r="M268" s="1">
        <v>1000000</v>
      </c>
      <c r="N268" s="1">
        <v>3323789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1387000</v>
      </c>
      <c r="U268" s="1">
        <v>0</v>
      </c>
      <c r="V268" s="1">
        <v>12249803</v>
      </c>
      <c r="W268" s="1">
        <v>1900000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2374135</v>
      </c>
      <c r="AF268" s="1">
        <v>1516881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6191700</v>
      </c>
      <c r="AM268" s="1">
        <v>0</v>
      </c>
      <c r="AN268" s="1">
        <v>0</v>
      </c>
      <c r="AO268" s="1">
        <v>76241007</v>
      </c>
      <c r="AP268" s="1">
        <v>30860104</v>
      </c>
      <c r="AQ268" s="1">
        <v>45380903</v>
      </c>
      <c r="AR268" s="1">
        <v>14944825</v>
      </c>
      <c r="AS268" s="1">
        <v>2241724</v>
      </c>
      <c r="AT268" s="1">
        <f t="shared" si="26"/>
        <v>93427556</v>
      </c>
    </row>
    <row r="269" spans="1:46" x14ac:dyDescent="0.2">
      <c r="A269" s="1" t="str">
        <f>"00314"</f>
        <v>00314</v>
      </c>
      <c r="B269" s="1" t="str">
        <f>"مجتبي"</f>
        <v>مجتبي</v>
      </c>
      <c r="C269" s="1" t="str">
        <f>"طبسي"</f>
        <v>طبسي</v>
      </c>
      <c r="D269" s="1" t="str">
        <f t="shared" si="24"/>
        <v>قراردادي بهره بردار</v>
      </c>
      <c r="E269" s="1" t="str">
        <f t="shared" ref="E269:E294" si="28">"پروژه بهره برداري نيروگاه بوشهر"</f>
        <v>پروژه بهره برداري نيروگاه بوشهر</v>
      </c>
      <c r="F269" s="1">
        <v>15816613</v>
      </c>
      <c r="G269" s="1">
        <v>3293308</v>
      </c>
      <c r="H269" s="1">
        <v>0</v>
      </c>
      <c r="I269" s="1">
        <v>14334992</v>
      </c>
      <c r="J269" s="1">
        <v>0</v>
      </c>
      <c r="K269" s="1">
        <v>4620000</v>
      </c>
      <c r="L269" s="1">
        <v>0</v>
      </c>
      <c r="M269" s="1">
        <v>1000000</v>
      </c>
      <c r="N269" s="1">
        <v>3013262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1387000</v>
      </c>
      <c r="U269" s="1">
        <v>0</v>
      </c>
      <c r="V269" s="1">
        <v>15442570</v>
      </c>
      <c r="W269" s="1">
        <v>1900000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2152330</v>
      </c>
      <c r="AF269" s="1">
        <v>1516881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7578830</v>
      </c>
      <c r="AM269" s="1">
        <v>0</v>
      </c>
      <c r="AN269" s="1">
        <v>0</v>
      </c>
      <c r="AO269" s="1">
        <v>72055786</v>
      </c>
      <c r="AP269" s="1">
        <v>35370171</v>
      </c>
      <c r="AQ269" s="1">
        <v>36685615</v>
      </c>
      <c r="AR269" s="1">
        <v>14107781</v>
      </c>
      <c r="AS269" s="1">
        <v>2116167</v>
      </c>
      <c r="AT269" s="1">
        <f t="shared" si="26"/>
        <v>88279734</v>
      </c>
    </row>
    <row r="270" spans="1:46" x14ac:dyDescent="0.2">
      <c r="A270" s="1" t="str">
        <f>"00315"</f>
        <v>00315</v>
      </c>
      <c r="B270" s="1" t="str">
        <f>"فرشاد"</f>
        <v>فرشاد</v>
      </c>
      <c r="C270" s="1" t="str">
        <f>"خالقي قناتغستاني"</f>
        <v>خالقي قناتغستاني</v>
      </c>
      <c r="D270" s="1" t="str">
        <f t="shared" si="24"/>
        <v>قراردادي بهره بردار</v>
      </c>
      <c r="E270" s="1" t="str">
        <f t="shared" si="28"/>
        <v>پروژه بهره برداري نيروگاه بوشهر</v>
      </c>
      <c r="F270" s="1">
        <v>15457344</v>
      </c>
      <c r="G270" s="1">
        <v>2627383</v>
      </c>
      <c r="H270" s="1">
        <v>0</v>
      </c>
      <c r="I270" s="1">
        <v>14004663</v>
      </c>
      <c r="J270" s="1">
        <v>0</v>
      </c>
      <c r="K270" s="1">
        <v>4620000</v>
      </c>
      <c r="L270" s="1">
        <v>0</v>
      </c>
      <c r="M270" s="1">
        <v>1000000</v>
      </c>
      <c r="N270" s="1">
        <v>2887518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1606000</v>
      </c>
      <c r="U270" s="1">
        <v>0</v>
      </c>
      <c r="V270" s="1">
        <v>15917783</v>
      </c>
      <c r="W270" s="1">
        <v>1900000</v>
      </c>
      <c r="X270" s="1">
        <v>2243808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2062513</v>
      </c>
      <c r="AF270" s="1">
        <v>1516881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11726463</v>
      </c>
      <c r="AM270" s="1">
        <v>0</v>
      </c>
      <c r="AN270" s="1">
        <v>0</v>
      </c>
      <c r="AO270" s="1">
        <v>77570356</v>
      </c>
      <c r="AP270" s="1">
        <v>41011536</v>
      </c>
      <c r="AQ270" s="1">
        <v>36558820</v>
      </c>
      <c r="AR270" s="1">
        <v>15210695</v>
      </c>
      <c r="AS270" s="1">
        <v>2281604</v>
      </c>
      <c r="AT270" s="1">
        <f t="shared" si="26"/>
        <v>95062655</v>
      </c>
    </row>
    <row r="271" spans="1:46" x14ac:dyDescent="0.2">
      <c r="A271" s="1" t="str">
        <f>"00316"</f>
        <v>00316</v>
      </c>
      <c r="B271" s="1" t="str">
        <f>"مهدي"</f>
        <v>مهدي</v>
      </c>
      <c r="C271" s="1" t="str">
        <f>"دهقان زاده"</f>
        <v>دهقان زاده</v>
      </c>
      <c r="D271" s="1" t="str">
        <f t="shared" si="24"/>
        <v>قراردادي بهره بردار</v>
      </c>
      <c r="E271" s="1" t="str">
        <f t="shared" si="28"/>
        <v>پروژه بهره برداري نيروگاه بوشهر</v>
      </c>
      <c r="F271" s="1">
        <v>15619453</v>
      </c>
      <c r="G271" s="1">
        <v>5792987</v>
      </c>
      <c r="H271" s="1">
        <v>0</v>
      </c>
      <c r="I271" s="1">
        <v>12943821</v>
      </c>
      <c r="J271" s="1">
        <v>0</v>
      </c>
      <c r="K271" s="1">
        <v>4620000</v>
      </c>
      <c r="L271" s="1">
        <v>0</v>
      </c>
      <c r="M271" s="1">
        <v>1000000</v>
      </c>
      <c r="N271" s="1">
        <v>2944256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1387000</v>
      </c>
      <c r="U271" s="1">
        <v>0</v>
      </c>
      <c r="V271" s="1">
        <v>9109684</v>
      </c>
      <c r="W271" s="1">
        <v>1900000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2103040</v>
      </c>
      <c r="AF271" s="1">
        <v>1516881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5570865</v>
      </c>
      <c r="AM271" s="1">
        <v>0</v>
      </c>
      <c r="AN271" s="1">
        <v>0</v>
      </c>
      <c r="AO271" s="1">
        <v>64507987</v>
      </c>
      <c r="AP271" s="1">
        <v>28473022</v>
      </c>
      <c r="AQ271" s="1">
        <v>36034965</v>
      </c>
      <c r="AR271" s="1">
        <v>12598221</v>
      </c>
      <c r="AS271" s="1">
        <v>1889733</v>
      </c>
      <c r="AT271" s="1">
        <f t="shared" si="26"/>
        <v>78995941</v>
      </c>
    </row>
    <row r="272" spans="1:46" x14ac:dyDescent="0.2">
      <c r="A272" s="1" t="str">
        <f>"00317"</f>
        <v>00317</v>
      </c>
      <c r="B272" s="1" t="str">
        <f>"محمدرضا"</f>
        <v>محمدرضا</v>
      </c>
      <c r="C272" s="1" t="str">
        <f>"جليلي"</f>
        <v>جليلي</v>
      </c>
      <c r="D272" s="1" t="str">
        <f t="shared" si="24"/>
        <v>قراردادي بهره بردار</v>
      </c>
      <c r="E272" s="1" t="str">
        <f t="shared" si="28"/>
        <v>پروژه بهره برداري نيروگاه بوشهر</v>
      </c>
      <c r="F272" s="1">
        <v>21170603</v>
      </c>
      <c r="G272" s="1">
        <v>6497695</v>
      </c>
      <c r="H272" s="1">
        <v>0</v>
      </c>
      <c r="I272" s="1">
        <v>17022709</v>
      </c>
      <c r="J272" s="1">
        <v>0</v>
      </c>
      <c r="K272" s="1">
        <v>5500000</v>
      </c>
      <c r="L272" s="1">
        <v>0</v>
      </c>
      <c r="M272" s="1">
        <v>1000000</v>
      </c>
      <c r="N272" s="1">
        <v>3671886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1606000</v>
      </c>
      <c r="U272" s="1">
        <v>0</v>
      </c>
      <c r="V272" s="1">
        <v>16039061</v>
      </c>
      <c r="W272" s="1">
        <v>1900000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2622776</v>
      </c>
      <c r="AF272" s="1">
        <v>1516881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5245551</v>
      </c>
      <c r="AM272" s="1">
        <v>0</v>
      </c>
      <c r="AN272" s="1">
        <v>0</v>
      </c>
      <c r="AO272" s="1">
        <v>83793162</v>
      </c>
      <c r="AP272" s="1">
        <v>37250836</v>
      </c>
      <c r="AQ272" s="1">
        <v>46542326</v>
      </c>
      <c r="AR272" s="1">
        <v>16455256</v>
      </c>
      <c r="AS272" s="1">
        <v>2468288</v>
      </c>
      <c r="AT272" s="1">
        <f t="shared" si="26"/>
        <v>102716706</v>
      </c>
    </row>
    <row r="273" spans="1:46" x14ac:dyDescent="0.2">
      <c r="A273" s="1" t="str">
        <f>"00318"</f>
        <v>00318</v>
      </c>
      <c r="B273" s="1" t="str">
        <f>"حميد"</f>
        <v>حميد</v>
      </c>
      <c r="C273" s="1" t="str">
        <f>"صحرائي"</f>
        <v>صحرائي</v>
      </c>
      <c r="D273" s="1" t="str">
        <f t="shared" si="24"/>
        <v>قراردادي بهره بردار</v>
      </c>
      <c r="E273" s="1" t="str">
        <f t="shared" si="28"/>
        <v>پروژه بهره برداري نيروگاه بوشهر</v>
      </c>
      <c r="F273" s="1">
        <v>15323713</v>
      </c>
      <c r="G273" s="1">
        <v>3608075</v>
      </c>
      <c r="H273" s="1">
        <v>0</v>
      </c>
      <c r="I273" s="1">
        <v>13534654</v>
      </c>
      <c r="J273" s="1">
        <v>0</v>
      </c>
      <c r="K273" s="1">
        <v>4620000</v>
      </c>
      <c r="L273" s="1">
        <v>0</v>
      </c>
      <c r="M273" s="1">
        <v>1000000</v>
      </c>
      <c r="N273" s="1">
        <v>2840747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1606000</v>
      </c>
      <c r="U273" s="1">
        <v>0</v>
      </c>
      <c r="V273" s="1">
        <v>19374773</v>
      </c>
      <c r="W273" s="1">
        <v>1900000</v>
      </c>
      <c r="X273" s="1">
        <v>2224410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2029105</v>
      </c>
      <c r="AF273" s="1">
        <v>1516881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10811488</v>
      </c>
      <c r="AM273" s="1">
        <v>0</v>
      </c>
      <c r="AN273" s="1">
        <v>0</v>
      </c>
      <c r="AO273" s="1">
        <v>80389846</v>
      </c>
      <c r="AP273" s="1">
        <v>13506479</v>
      </c>
      <c r="AQ273" s="1">
        <v>66883367</v>
      </c>
      <c r="AR273" s="1">
        <v>15774593</v>
      </c>
      <c r="AS273" s="1">
        <v>2366189</v>
      </c>
      <c r="AT273" s="1">
        <f t="shared" si="26"/>
        <v>98530628</v>
      </c>
    </row>
    <row r="274" spans="1:46" x14ac:dyDescent="0.2">
      <c r="A274" s="1" t="str">
        <f>"00319"</f>
        <v>00319</v>
      </c>
      <c r="B274" s="1" t="str">
        <f>"سعيد"</f>
        <v>سعيد</v>
      </c>
      <c r="C274" s="1" t="str">
        <f>"لازمي"</f>
        <v>لازمي</v>
      </c>
      <c r="D274" s="1" t="str">
        <f t="shared" si="24"/>
        <v>قراردادي بهره بردار</v>
      </c>
      <c r="E274" s="1" t="str">
        <f t="shared" si="28"/>
        <v>پروژه بهره برداري نيروگاه بوشهر</v>
      </c>
      <c r="F274" s="1">
        <v>24305447</v>
      </c>
      <c r="G274" s="1">
        <v>11363796</v>
      </c>
      <c r="H274" s="1">
        <v>0</v>
      </c>
      <c r="I274" s="1">
        <v>21287564</v>
      </c>
      <c r="J274" s="1">
        <v>0</v>
      </c>
      <c r="K274" s="1">
        <v>5500000</v>
      </c>
      <c r="L274" s="1">
        <v>0</v>
      </c>
      <c r="M274" s="1">
        <v>1000000</v>
      </c>
      <c r="N274" s="1">
        <v>3835200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1387000</v>
      </c>
      <c r="U274" s="1">
        <v>0</v>
      </c>
      <c r="V274" s="1">
        <v>29563124</v>
      </c>
      <c r="W274" s="1">
        <v>1900000</v>
      </c>
      <c r="X274" s="1">
        <v>3528210</v>
      </c>
      <c r="Y274" s="1">
        <v>0</v>
      </c>
      <c r="Z274" s="1">
        <v>0</v>
      </c>
      <c r="AA274" s="1">
        <v>0</v>
      </c>
      <c r="AB274" s="1">
        <v>0</v>
      </c>
      <c r="AC274" s="1">
        <v>3877480</v>
      </c>
      <c r="AD274" s="1">
        <v>0</v>
      </c>
      <c r="AE274" s="1">
        <v>2739429</v>
      </c>
      <c r="AF274" s="1">
        <v>1516881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21752575</v>
      </c>
      <c r="AM274" s="1">
        <v>0</v>
      </c>
      <c r="AN274" s="1">
        <v>0</v>
      </c>
      <c r="AO274" s="1">
        <v>133556706</v>
      </c>
      <c r="AP274" s="1">
        <v>45528344</v>
      </c>
      <c r="AQ274" s="1">
        <v>88028362</v>
      </c>
      <c r="AR274" s="1">
        <v>26407965</v>
      </c>
      <c r="AS274" s="1">
        <v>3961195</v>
      </c>
      <c r="AT274" s="1">
        <f t="shared" si="26"/>
        <v>163925866</v>
      </c>
    </row>
    <row r="275" spans="1:46" x14ac:dyDescent="0.2">
      <c r="A275" s="1" t="str">
        <f>"00320"</f>
        <v>00320</v>
      </c>
      <c r="B275" s="1" t="str">
        <f>"داريوش"</f>
        <v>داريوش</v>
      </c>
      <c r="C275" s="1" t="str">
        <f>"راهواره"</f>
        <v>راهواره</v>
      </c>
      <c r="D275" s="1" t="str">
        <f t="shared" si="24"/>
        <v>قراردادي بهره بردار</v>
      </c>
      <c r="E275" s="1" t="str">
        <f t="shared" si="28"/>
        <v>پروژه بهره برداري نيروگاه بوشهر</v>
      </c>
      <c r="F275" s="1">
        <v>14955681</v>
      </c>
      <c r="G275" s="1">
        <v>4871115</v>
      </c>
      <c r="H275" s="1">
        <v>0</v>
      </c>
      <c r="I275" s="1">
        <v>10926529</v>
      </c>
      <c r="J275" s="1">
        <v>0</v>
      </c>
      <c r="K275" s="1">
        <v>7623000</v>
      </c>
      <c r="L275" s="1">
        <v>0</v>
      </c>
      <c r="M275" s="1">
        <v>1000000</v>
      </c>
      <c r="N275" s="1">
        <v>2711936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1387000</v>
      </c>
      <c r="U275" s="1">
        <v>0</v>
      </c>
      <c r="V275" s="1">
        <v>8138757</v>
      </c>
      <c r="W275" s="1">
        <v>1900000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1937097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4474163</v>
      </c>
      <c r="AM275" s="1">
        <v>0</v>
      </c>
      <c r="AN275" s="1">
        <v>0</v>
      </c>
      <c r="AO275" s="1">
        <v>59925278</v>
      </c>
      <c r="AP275" s="1">
        <v>7562594</v>
      </c>
      <c r="AQ275" s="1">
        <v>52362684</v>
      </c>
      <c r="AR275" s="1">
        <v>11985056</v>
      </c>
      <c r="AS275" s="1">
        <v>1797758</v>
      </c>
      <c r="AT275" s="1">
        <f t="shared" si="26"/>
        <v>73708092</v>
      </c>
    </row>
    <row r="276" spans="1:46" x14ac:dyDescent="0.2">
      <c r="A276" s="1" t="str">
        <f>"00321"</f>
        <v>00321</v>
      </c>
      <c r="B276" s="1" t="str">
        <f>"محمد"</f>
        <v>محمد</v>
      </c>
      <c r="C276" s="1" t="str">
        <f>"ابراهيمي"</f>
        <v>ابراهيمي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15590975</v>
      </c>
      <c r="G276" s="1">
        <v>2007308</v>
      </c>
      <c r="H276" s="1">
        <v>0</v>
      </c>
      <c r="I276" s="1">
        <v>13523190</v>
      </c>
      <c r="J276" s="1">
        <v>0</v>
      </c>
      <c r="K276" s="1">
        <v>4620000</v>
      </c>
      <c r="L276" s="1">
        <v>0</v>
      </c>
      <c r="M276" s="1">
        <v>1000000</v>
      </c>
      <c r="N276" s="1">
        <v>2934288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1606000</v>
      </c>
      <c r="U276" s="1">
        <v>0</v>
      </c>
      <c r="V276" s="1">
        <v>10732323</v>
      </c>
      <c r="W276" s="1">
        <v>1900000</v>
      </c>
      <c r="X276" s="1">
        <v>2263206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2095920</v>
      </c>
      <c r="AF276" s="1">
        <v>1516881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12016157</v>
      </c>
      <c r="AM276" s="1">
        <v>0</v>
      </c>
      <c r="AN276" s="1">
        <v>0</v>
      </c>
      <c r="AO276" s="1">
        <v>71806248</v>
      </c>
      <c r="AP276" s="1">
        <v>34678057</v>
      </c>
      <c r="AQ276" s="1">
        <v>37128191</v>
      </c>
      <c r="AR276" s="1">
        <v>14057873</v>
      </c>
      <c r="AS276" s="1">
        <v>2108681</v>
      </c>
      <c r="AT276" s="1">
        <f t="shared" si="26"/>
        <v>87972802</v>
      </c>
    </row>
    <row r="277" spans="1:46" x14ac:dyDescent="0.2">
      <c r="A277" s="1" t="str">
        <f>"00322"</f>
        <v>00322</v>
      </c>
      <c r="B277" s="1" t="str">
        <f>"ميثم"</f>
        <v>ميثم</v>
      </c>
      <c r="C277" s="1" t="str">
        <f>"توتونچي رازليقي"</f>
        <v>توتونچي رازليقي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15744321</v>
      </c>
      <c r="G277" s="1">
        <v>1153262</v>
      </c>
      <c r="H277" s="1">
        <v>0</v>
      </c>
      <c r="I277" s="1">
        <v>13555441</v>
      </c>
      <c r="J277" s="1">
        <v>0</v>
      </c>
      <c r="K277" s="1">
        <v>3465000</v>
      </c>
      <c r="L277" s="1">
        <v>0</v>
      </c>
      <c r="M277" s="1">
        <v>1000000</v>
      </c>
      <c r="N277" s="1">
        <v>2987960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1387000</v>
      </c>
      <c r="U277" s="1">
        <v>0</v>
      </c>
      <c r="V277" s="1">
        <v>13284778</v>
      </c>
      <c r="W277" s="1">
        <v>1900000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2134257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6771132</v>
      </c>
      <c r="AM277" s="1">
        <v>0</v>
      </c>
      <c r="AN277" s="1">
        <v>0</v>
      </c>
      <c r="AO277" s="1">
        <v>63383151</v>
      </c>
      <c r="AP277" s="1">
        <v>8008754</v>
      </c>
      <c r="AQ277" s="1">
        <v>55374397</v>
      </c>
      <c r="AR277" s="1">
        <v>12676630</v>
      </c>
      <c r="AS277" s="1">
        <v>1901495</v>
      </c>
      <c r="AT277" s="1">
        <f t="shared" si="26"/>
        <v>77961276</v>
      </c>
    </row>
    <row r="278" spans="1:46" x14ac:dyDescent="0.2">
      <c r="A278" s="1" t="str">
        <f>"00323"</f>
        <v>00323</v>
      </c>
      <c r="B278" s="1" t="str">
        <f>"احد"</f>
        <v>احد</v>
      </c>
      <c r="C278" s="1" t="str">
        <f>"بلاغي اينالو"</f>
        <v>بلاغي اينالو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14962253</v>
      </c>
      <c r="G278" s="1">
        <v>3813824</v>
      </c>
      <c r="H278" s="1">
        <v>0</v>
      </c>
      <c r="I278" s="1">
        <v>13646895</v>
      </c>
      <c r="J278" s="1">
        <v>0</v>
      </c>
      <c r="K278" s="1">
        <v>4620000</v>
      </c>
      <c r="L278" s="1">
        <v>0</v>
      </c>
      <c r="M278" s="1">
        <v>1000000</v>
      </c>
      <c r="N278" s="1">
        <v>2714236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1606000</v>
      </c>
      <c r="U278" s="1">
        <v>0</v>
      </c>
      <c r="V278" s="1">
        <v>15403827</v>
      </c>
      <c r="W278" s="1">
        <v>1900000</v>
      </c>
      <c r="X278" s="1">
        <v>2171940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1938740</v>
      </c>
      <c r="AF278" s="1">
        <v>1516881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11386647</v>
      </c>
      <c r="AM278" s="1">
        <v>0</v>
      </c>
      <c r="AN278" s="1">
        <v>0</v>
      </c>
      <c r="AO278" s="1">
        <v>76681243</v>
      </c>
      <c r="AP278" s="1">
        <v>13994426</v>
      </c>
      <c r="AQ278" s="1">
        <v>62686817</v>
      </c>
      <c r="AR278" s="1">
        <v>15032872</v>
      </c>
      <c r="AS278" s="1">
        <v>2254931</v>
      </c>
      <c r="AT278" s="1">
        <f t="shared" si="26"/>
        <v>93969046</v>
      </c>
    </row>
    <row r="279" spans="1:46" x14ac:dyDescent="0.2">
      <c r="A279" s="1" t="str">
        <f>"00324"</f>
        <v>00324</v>
      </c>
      <c r="B279" s="1" t="str">
        <f>"مسعود"</f>
        <v>مسعود</v>
      </c>
      <c r="C279" s="1" t="str">
        <f>"خواجوي قره ميرشاملو"</f>
        <v>خواجوي قره ميرشاملو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15553733</v>
      </c>
      <c r="G279" s="1">
        <v>3521619</v>
      </c>
      <c r="H279" s="1">
        <v>0</v>
      </c>
      <c r="I279" s="1">
        <v>13850830</v>
      </c>
      <c r="J279" s="1">
        <v>0</v>
      </c>
      <c r="K279" s="1">
        <v>4620000</v>
      </c>
      <c r="L279" s="1">
        <v>0</v>
      </c>
      <c r="M279" s="1">
        <v>1000000</v>
      </c>
      <c r="N279" s="1">
        <v>2921254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1387000</v>
      </c>
      <c r="U279" s="1">
        <v>0</v>
      </c>
      <c r="V279" s="1">
        <v>16173362</v>
      </c>
      <c r="W279" s="1">
        <v>1900000</v>
      </c>
      <c r="X279" s="1">
        <v>2257800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2086610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11797178</v>
      </c>
      <c r="AM279" s="1">
        <v>0</v>
      </c>
      <c r="AN279" s="1">
        <v>0</v>
      </c>
      <c r="AO279" s="1">
        <v>77069386</v>
      </c>
      <c r="AP279" s="1">
        <v>28219618</v>
      </c>
      <c r="AQ279" s="1">
        <v>48849768</v>
      </c>
      <c r="AR279" s="1">
        <v>15413877</v>
      </c>
      <c r="AS279" s="1">
        <v>2312082</v>
      </c>
      <c r="AT279" s="1">
        <f t="shared" si="26"/>
        <v>94795345</v>
      </c>
    </row>
    <row r="280" spans="1:46" x14ac:dyDescent="0.2">
      <c r="A280" s="1" t="str">
        <f>"00325"</f>
        <v>00325</v>
      </c>
      <c r="B280" s="1" t="str">
        <f>"وحيد"</f>
        <v>وحيد</v>
      </c>
      <c r="C280" s="1" t="str">
        <f>"ابراهيمي اصطهباناتي"</f>
        <v>ابراهيمي اصطهباناتي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15446391</v>
      </c>
      <c r="G280" s="1">
        <v>4836072</v>
      </c>
      <c r="H280" s="1">
        <v>0</v>
      </c>
      <c r="I280" s="1">
        <v>14346745</v>
      </c>
      <c r="J280" s="1">
        <v>0</v>
      </c>
      <c r="K280" s="1">
        <v>4620000</v>
      </c>
      <c r="L280" s="1">
        <v>0</v>
      </c>
      <c r="M280" s="1">
        <v>1000000</v>
      </c>
      <c r="N280" s="1">
        <v>2883684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1606000</v>
      </c>
      <c r="U280" s="1">
        <v>0</v>
      </c>
      <c r="V280" s="1">
        <v>10773609</v>
      </c>
      <c r="W280" s="1">
        <v>1900000</v>
      </c>
      <c r="X280" s="1">
        <v>2015030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2059774</v>
      </c>
      <c r="AF280" s="1">
        <v>1516881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11601508</v>
      </c>
      <c r="AM280" s="1">
        <v>0</v>
      </c>
      <c r="AN280" s="1">
        <v>0</v>
      </c>
      <c r="AO280" s="1">
        <v>74605694</v>
      </c>
      <c r="AP280" s="1">
        <v>38746499</v>
      </c>
      <c r="AQ280" s="1">
        <v>35859195</v>
      </c>
      <c r="AR280" s="1">
        <v>14617763</v>
      </c>
      <c r="AS280" s="1">
        <v>2192664</v>
      </c>
      <c r="AT280" s="1">
        <f t="shared" si="26"/>
        <v>91416121</v>
      </c>
    </row>
    <row r="281" spans="1:46" x14ac:dyDescent="0.2">
      <c r="A281" s="1" t="str">
        <f>"00326"</f>
        <v>00326</v>
      </c>
      <c r="B281" s="1" t="str">
        <f>"هادي"</f>
        <v>هادي</v>
      </c>
      <c r="C281" s="1" t="str">
        <f>"زراعت پيشه"</f>
        <v>زراعت پيشه</v>
      </c>
      <c r="D281" s="1" t="str">
        <f t="shared" si="24"/>
        <v>قراردادي بهره بردار</v>
      </c>
      <c r="E281" s="1" t="str">
        <f t="shared" si="28"/>
        <v>پروژه بهره برداري نيروگاه بوشهر</v>
      </c>
      <c r="F281" s="1">
        <v>15882333</v>
      </c>
      <c r="G281" s="1">
        <v>3827458</v>
      </c>
      <c r="H281" s="1">
        <v>0</v>
      </c>
      <c r="I281" s="1">
        <v>14889526</v>
      </c>
      <c r="J281" s="1">
        <v>0</v>
      </c>
      <c r="K281" s="1">
        <v>4620000</v>
      </c>
      <c r="L281" s="1">
        <v>0</v>
      </c>
      <c r="M281" s="1">
        <v>1000000</v>
      </c>
      <c r="N281" s="1">
        <v>3036264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1606000</v>
      </c>
      <c r="U281" s="1">
        <v>0</v>
      </c>
      <c r="V281" s="1">
        <v>20552820</v>
      </c>
      <c r="W281" s="1">
        <v>1900000</v>
      </c>
      <c r="X281" s="1">
        <v>2305500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2168760</v>
      </c>
      <c r="AF281" s="1">
        <v>3033762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11270980</v>
      </c>
      <c r="AM281" s="1">
        <v>0</v>
      </c>
      <c r="AN281" s="1">
        <v>0</v>
      </c>
      <c r="AO281" s="1">
        <v>86093403</v>
      </c>
      <c r="AP281" s="1">
        <v>35229408</v>
      </c>
      <c r="AQ281" s="1">
        <v>50863995</v>
      </c>
      <c r="AR281" s="1">
        <v>16611928</v>
      </c>
      <c r="AS281" s="1">
        <v>2491789</v>
      </c>
      <c r="AT281" s="1">
        <f t="shared" si="26"/>
        <v>105197120</v>
      </c>
    </row>
    <row r="282" spans="1:46" x14ac:dyDescent="0.2">
      <c r="A282" s="1" t="str">
        <f>"00327"</f>
        <v>00327</v>
      </c>
      <c r="B282" s="1" t="str">
        <f>"محمد"</f>
        <v>محمد</v>
      </c>
      <c r="C282" s="1" t="str">
        <f>"بختياري"</f>
        <v>بختياري</v>
      </c>
      <c r="D282" s="1" t="str">
        <f t="shared" si="24"/>
        <v>قراردادي بهره بردار</v>
      </c>
      <c r="E282" s="1" t="str">
        <f t="shared" si="28"/>
        <v>پروژه بهره برداري نيروگاه بوشهر</v>
      </c>
      <c r="F282" s="1">
        <v>20338149</v>
      </c>
      <c r="G282" s="1">
        <v>7978488</v>
      </c>
      <c r="H282" s="1">
        <v>0</v>
      </c>
      <c r="I282" s="1">
        <v>15846288</v>
      </c>
      <c r="J282" s="1">
        <v>0</v>
      </c>
      <c r="K282" s="1">
        <v>0</v>
      </c>
      <c r="L282" s="1">
        <v>0</v>
      </c>
      <c r="M282" s="1">
        <v>1000000</v>
      </c>
      <c r="N282" s="1">
        <v>3380527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1606000</v>
      </c>
      <c r="U282" s="1">
        <v>0</v>
      </c>
      <c r="V282" s="1">
        <v>16198983</v>
      </c>
      <c r="W282" s="1">
        <v>1900000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2414662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4636151</v>
      </c>
      <c r="AM282" s="1">
        <v>0</v>
      </c>
      <c r="AN282" s="1">
        <v>0</v>
      </c>
      <c r="AO282" s="1">
        <v>75299248</v>
      </c>
      <c r="AP282" s="1">
        <v>16965408</v>
      </c>
      <c r="AQ282" s="1">
        <v>58333840</v>
      </c>
      <c r="AR282" s="1">
        <v>15059850</v>
      </c>
      <c r="AS282" s="1">
        <v>2258977</v>
      </c>
      <c r="AT282" s="1">
        <f t="shared" si="26"/>
        <v>92618075</v>
      </c>
    </row>
    <row r="283" spans="1:46" x14ac:dyDescent="0.2">
      <c r="A283" s="1" t="str">
        <f>"00328"</f>
        <v>00328</v>
      </c>
      <c r="B283" s="1" t="str">
        <f>"يوسف"</f>
        <v>يوسف</v>
      </c>
      <c r="C283" s="1" t="str">
        <f>"برکاتي"</f>
        <v>برکاتي</v>
      </c>
      <c r="D283" s="1" t="str">
        <f t="shared" si="24"/>
        <v>قراردادي بهره بردار</v>
      </c>
      <c r="E283" s="1" t="str">
        <f t="shared" si="28"/>
        <v>پروژه بهره برداري نيروگاه بوشهر</v>
      </c>
      <c r="F283" s="1">
        <v>15435437</v>
      </c>
      <c r="G283" s="1">
        <v>7898613</v>
      </c>
      <c r="H283" s="1">
        <v>0</v>
      </c>
      <c r="I283" s="1">
        <v>13581397</v>
      </c>
      <c r="J283" s="1">
        <v>0</v>
      </c>
      <c r="K283" s="1">
        <v>7084000</v>
      </c>
      <c r="L283" s="1">
        <v>0</v>
      </c>
      <c r="M283" s="1">
        <v>1000000</v>
      </c>
      <c r="N283" s="1">
        <v>2879850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1606000</v>
      </c>
      <c r="U283" s="1">
        <v>0</v>
      </c>
      <c r="V283" s="1">
        <v>20512472</v>
      </c>
      <c r="W283" s="1">
        <v>1900000</v>
      </c>
      <c r="X283" s="1">
        <v>2240628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2057036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11377709</v>
      </c>
      <c r="AM283" s="1">
        <v>0</v>
      </c>
      <c r="AN283" s="1">
        <v>0</v>
      </c>
      <c r="AO283" s="1">
        <v>87573142</v>
      </c>
      <c r="AP283" s="1">
        <v>36130373</v>
      </c>
      <c r="AQ283" s="1">
        <v>51442769</v>
      </c>
      <c r="AR283" s="1">
        <v>17514628</v>
      </c>
      <c r="AS283" s="1">
        <v>2627194</v>
      </c>
      <c r="AT283" s="1">
        <f t="shared" si="26"/>
        <v>107714964</v>
      </c>
    </row>
    <row r="284" spans="1:46" x14ac:dyDescent="0.2">
      <c r="A284" s="1" t="str">
        <f>"00329"</f>
        <v>00329</v>
      </c>
      <c r="B284" s="1" t="str">
        <f>"رضا"</f>
        <v>رضا</v>
      </c>
      <c r="C284" s="1" t="str">
        <f>"پرناک"</f>
        <v>پرناک</v>
      </c>
      <c r="D284" s="1" t="str">
        <f t="shared" si="24"/>
        <v>قراردادي بهره بردار</v>
      </c>
      <c r="E284" s="1" t="str">
        <f t="shared" si="28"/>
        <v>پروژه بهره برداري نيروگاه بوشهر</v>
      </c>
      <c r="F284" s="1">
        <v>15284281</v>
      </c>
      <c r="G284" s="1">
        <v>4693042</v>
      </c>
      <c r="H284" s="1">
        <v>0</v>
      </c>
      <c r="I284" s="1">
        <v>13510570</v>
      </c>
      <c r="J284" s="1">
        <v>0</v>
      </c>
      <c r="K284" s="1">
        <v>4620000</v>
      </c>
      <c r="L284" s="1">
        <v>0</v>
      </c>
      <c r="M284" s="1">
        <v>1000000</v>
      </c>
      <c r="N284" s="1">
        <v>2826946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1606000</v>
      </c>
      <c r="U284" s="1">
        <v>0</v>
      </c>
      <c r="V284" s="1">
        <v>15508585</v>
      </c>
      <c r="W284" s="1">
        <v>1900000</v>
      </c>
      <c r="X284" s="1">
        <v>2218686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2019247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11311376</v>
      </c>
      <c r="AM284" s="1">
        <v>0</v>
      </c>
      <c r="AN284" s="1">
        <v>0</v>
      </c>
      <c r="AO284" s="1">
        <v>76498733</v>
      </c>
      <c r="AP284" s="1">
        <v>22106923</v>
      </c>
      <c r="AQ284" s="1">
        <v>54391810</v>
      </c>
      <c r="AR284" s="1">
        <v>15299747</v>
      </c>
      <c r="AS284" s="1">
        <v>2294962</v>
      </c>
      <c r="AT284" s="1">
        <f t="shared" si="26"/>
        <v>94093442</v>
      </c>
    </row>
    <row r="285" spans="1:46" x14ac:dyDescent="0.2">
      <c r="A285" s="1" t="str">
        <f>"00330"</f>
        <v>00330</v>
      </c>
      <c r="B285" s="1" t="str">
        <f>"مهدي"</f>
        <v>مهدي</v>
      </c>
      <c r="C285" s="1" t="str">
        <f>"حيدري"</f>
        <v>حيدري</v>
      </c>
      <c r="D285" s="1" t="str">
        <f t="shared" si="24"/>
        <v>قراردادي بهره بردار</v>
      </c>
      <c r="E285" s="1" t="str">
        <f t="shared" si="28"/>
        <v>پروژه بهره برداري نيروگاه بوشهر</v>
      </c>
      <c r="F285" s="1">
        <v>25164188</v>
      </c>
      <c r="G285" s="1">
        <v>6356130</v>
      </c>
      <c r="H285" s="1">
        <v>0</v>
      </c>
      <c r="I285" s="1">
        <v>22021921</v>
      </c>
      <c r="J285" s="1">
        <v>0</v>
      </c>
      <c r="K285" s="1">
        <v>5500000</v>
      </c>
      <c r="L285" s="1">
        <v>0</v>
      </c>
      <c r="M285" s="1">
        <v>1000000</v>
      </c>
      <c r="N285" s="1">
        <v>4135760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1606000</v>
      </c>
      <c r="U285" s="1">
        <v>0</v>
      </c>
      <c r="V285" s="1">
        <v>21229904</v>
      </c>
      <c r="W285" s="1">
        <v>1900000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2954114</v>
      </c>
      <c r="AF285" s="1">
        <v>3033762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6380886</v>
      </c>
      <c r="AM285" s="1">
        <v>0</v>
      </c>
      <c r="AN285" s="1">
        <v>0</v>
      </c>
      <c r="AO285" s="1">
        <v>101282665</v>
      </c>
      <c r="AP285" s="1">
        <v>44265568</v>
      </c>
      <c r="AQ285" s="1">
        <v>57017097</v>
      </c>
      <c r="AR285" s="1">
        <v>19649781</v>
      </c>
      <c r="AS285" s="1">
        <v>2947467</v>
      </c>
      <c r="AT285" s="1">
        <f t="shared" si="26"/>
        <v>123879913</v>
      </c>
    </row>
    <row r="286" spans="1:46" x14ac:dyDescent="0.2">
      <c r="A286" s="1" t="str">
        <f>"00331"</f>
        <v>00331</v>
      </c>
      <c r="B286" s="1" t="str">
        <f>"رويا"</f>
        <v>رويا</v>
      </c>
      <c r="C286" s="1" t="str">
        <f>"مرادي"</f>
        <v>مرادي</v>
      </c>
      <c r="D286" s="1" t="str">
        <f t="shared" si="24"/>
        <v>قراردادي بهره بردار</v>
      </c>
      <c r="E286" s="1" t="str">
        <f t="shared" si="28"/>
        <v>پروژه بهره برداري نيروگاه بوشهر</v>
      </c>
      <c r="F286" s="1">
        <v>23849788</v>
      </c>
      <c r="G286" s="1">
        <v>0</v>
      </c>
      <c r="H286" s="1">
        <v>0</v>
      </c>
      <c r="I286" s="1">
        <v>18404204</v>
      </c>
      <c r="J286" s="1">
        <v>1100000</v>
      </c>
      <c r="K286" s="1">
        <v>4125000</v>
      </c>
      <c r="L286" s="1">
        <v>0</v>
      </c>
      <c r="M286" s="1">
        <v>1000000</v>
      </c>
      <c r="N286" s="1">
        <v>3675720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1606000</v>
      </c>
      <c r="U286" s="1">
        <v>0</v>
      </c>
      <c r="V286" s="1">
        <v>9428547</v>
      </c>
      <c r="W286" s="1">
        <v>1900000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2625514</v>
      </c>
      <c r="AF286" s="1">
        <v>1516881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5322181</v>
      </c>
      <c r="AM286" s="1">
        <v>0</v>
      </c>
      <c r="AN286" s="1">
        <v>0</v>
      </c>
      <c r="AO286" s="1">
        <v>74553835</v>
      </c>
      <c r="AP286" s="1">
        <v>8526812</v>
      </c>
      <c r="AQ286" s="1">
        <v>66027023</v>
      </c>
      <c r="AR286" s="1">
        <v>14387391</v>
      </c>
      <c r="AS286" s="1">
        <v>2158109</v>
      </c>
      <c r="AT286" s="1">
        <f t="shared" si="26"/>
        <v>91099335</v>
      </c>
    </row>
    <row r="287" spans="1:46" x14ac:dyDescent="0.2">
      <c r="A287" s="1" t="str">
        <f>"00332"</f>
        <v>00332</v>
      </c>
      <c r="B287" s="1" t="str">
        <f>"افسانه"</f>
        <v>افسانه</v>
      </c>
      <c r="C287" s="1" t="str">
        <f>"غريبي"</f>
        <v>غريبي</v>
      </c>
      <c r="D287" s="1" t="str">
        <f t="shared" si="24"/>
        <v>قراردادي بهره بردار</v>
      </c>
      <c r="E287" s="1" t="str">
        <f t="shared" si="28"/>
        <v>پروژه بهره برداري نيروگاه بوشهر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6367120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6367120</v>
      </c>
      <c r="AP287" s="1">
        <v>6367120</v>
      </c>
      <c r="AQ287" s="1">
        <v>0</v>
      </c>
      <c r="AR287" s="1">
        <v>0</v>
      </c>
      <c r="AS287" s="1">
        <v>0</v>
      </c>
      <c r="AT287" s="1">
        <f t="shared" si="26"/>
        <v>6367120</v>
      </c>
    </row>
    <row r="288" spans="1:46" x14ac:dyDescent="0.2">
      <c r="A288" s="1" t="str">
        <f>"00333"</f>
        <v>00333</v>
      </c>
      <c r="B288" s="1" t="str">
        <f>"اعظم"</f>
        <v>اعظم</v>
      </c>
      <c r="C288" s="1" t="str">
        <f>"دشت پوري"</f>
        <v>دشت پوري</v>
      </c>
      <c r="D288" s="1" t="str">
        <f t="shared" si="24"/>
        <v>قراردادي بهره بردار</v>
      </c>
      <c r="E288" s="1" t="str">
        <f t="shared" si="28"/>
        <v>پروژه بهره برداري نيروگاه بوشهر</v>
      </c>
      <c r="F288" s="1">
        <v>23120296</v>
      </c>
      <c r="G288" s="1">
        <v>0</v>
      </c>
      <c r="H288" s="1">
        <v>0</v>
      </c>
      <c r="I288" s="1">
        <v>18885297</v>
      </c>
      <c r="J288" s="1">
        <v>0</v>
      </c>
      <c r="K288" s="1">
        <v>4125000</v>
      </c>
      <c r="L288" s="1">
        <v>0</v>
      </c>
      <c r="M288" s="1">
        <v>1000000</v>
      </c>
      <c r="N288" s="1">
        <v>3420397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1387000</v>
      </c>
      <c r="U288" s="1">
        <v>0</v>
      </c>
      <c r="V288" s="1">
        <v>9511800</v>
      </c>
      <c r="W288" s="1">
        <v>1900000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2443141</v>
      </c>
      <c r="AF288" s="1">
        <v>1516881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5718473</v>
      </c>
      <c r="AM288" s="1">
        <v>0</v>
      </c>
      <c r="AN288" s="1">
        <v>0</v>
      </c>
      <c r="AO288" s="1">
        <v>73028285</v>
      </c>
      <c r="AP288" s="1">
        <v>8485347</v>
      </c>
      <c r="AQ288" s="1">
        <v>64542938</v>
      </c>
      <c r="AR288" s="1">
        <v>14302281</v>
      </c>
      <c r="AS288" s="1">
        <v>2145342</v>
      </c>
      <c r="AT288" s="1">
        <f t="shared" si="26"/>
        <v>89475908</v>
      </c>
    </row>
    <row r="289" spans="1:46" x14ac:dyDescent="0.2">
      <c r="A289" s="1" t="str">
        <f>"00334"</f>
        <v>00334</v>
      </c>
      <c r="B289" s="1" t="str">
        <f>"اسماعيل"</f>
        <v>اسماعيل</v>
      </c>
      <c r="C289" s="1" t="str">
        <f>"عبدلي محمدآبادي"</f>
        <v>عبدلي محمدآبادي</v>
      </c>
      <c r="D289" s="1" t="str">
        <f t="shared" si="24"/>
        <v>قراردادي بهره بردار</v>
      </c>
      <c r="E289" s="1" t="str">
        <f t="shared" si="28"/>
        <v>پروژه بهره برداري نيروگاه بوشهر</v>
      </c>
      <c r="F289" s="1">
        <v>23556239</v>
      </c>
      <c r="G289" s="1">
        <v>3023489</v>
      </c>
      <c r="H289" s="1">
        <v>0</v>
      </c>
      <c r="I289" s="1">
        <v>19419321</v>
      </c>
      <c r="J289" s="1">
        <v>0</v>
      </c>
      <c r="K289" s="1">
        <v>5500000</v>
      </c>
      <c r="L289" s="1">
        <v>0</v>
      </c>
      <c r="M289" s="1">
        <v>1000000</v>
      </c>
      <c r="N289" s="1">
        <v>3572977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1387000</v>
      </c>
      <c r="U289" s="1">
        <v>0</v>
      </c>
      <c r="V289" s="1">
        <v>17002840</v>
      </c>
      <c r="W289" s="1">
        <v>1900000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2552127</v>
      </c>
      <c r="AF289" s="1">
        <v>1516881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5308423</v>
      </c>
      <c r="AM289" s="1">
        <v>0</v>
      </c>
      <c r="AN289" s="1">
        <v>0</v>
      </c>
      <c r="AO289" s="1">
        <v>85739297</v>
      </c>
      <c r="AP289" s="1">
        <v>39824149</v>
      </c>
      <c r="AQ289" s="1">
        <v>45915148</v>
      </c>
      <c r="AR289" s="1">
        <v>16844483</v>
      </c>
      <c r="AS289" s="1">
        <v>2526672</v>
      </c>
      <c r="AT289" s="1">
        <f t="shared" si="26"/>
        <v>105110452</v>
      </c>
    </row>
    <row r="290" spans="1:46" x14ac:dyDescent="0.2">
      <c r="A290" s="1" t="str">
        <f>"00335"</f>
        <v>00335</v>
      </c>
      <c r="B290" s="1" t="str">
        <f>"علي"</f>
        <v>علي</v>
      </c>
      <c r="C290" s="1" t="str">
        <f>"توکلي"</f>
        <v>توکلي</v>
      </c>
      <c r="D290" s="1" t="str">
        <f t="shared" si="24"/>
        <v>قراردادي بهره بردار</v>
      </c>
      <c r="E290" s="1" t="str">
        <f t="shared" si="28"/>
        <v>پروژه بهره برداري نيروگاه بوشهر</v>
      </c>
      <c r="F290" s="1">
        <v>15168176</v>
      </c>
      <c r="G290" s="1">
        <v>0</v>
      </c>
      <c r="H290" s="1">
        <v>0</v>
      </c>
      <c r="I290" s="1">
        <v>12545291</v>
      </c>
      <c r="J290" s="1">
        <v>0</v>
      </c>
      <c r="K290" s="1">
        <v>4620000</v>
      </c>
      <c r="L290" s="1">
        <v>0</v>
      </c>
      <c r="M290" s="1">
        <v>1000000</v>
      </c>
      <c r="N290" s="1">
        <v>3054666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1606000</v>
      </c>
      <c r="U290" s="1">
        <v>0</v>
      </c>
      <c r="V290" s="1">
        <v>3805122</v>
      </c>
      <c r="W290" s="1">
        <v>1900000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2181904</v>
      </c>
      <c r="AF290" s="1">
        <v>1516881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5101186</v>
      </c>
      <c r="AM290" s="1">
        <v>0</v>
      </c>
      <c r="AN290" s="1">
        <v>0</v>
      </c>
      <c r="AO290" s="1">
        <v>52499226</v>
      </c>
      <c r="AP290" s="1">
        <v>27106245</v>
      </c>
      <c r="AQ290" s="1">
        <v>25392981</v>
      </c>
      <c r="AR290" s="1">
        <v>10196469</v>
      </c>
      <c r="AS290" s="1">
        <v>1529470</v>
      </c>
      <c r="AT290" s="1">
        <f t="shared" si="26"/>
        <v>64225165</v>
      </c>
    </row>
    <row r="291" spans="1:46" x14ac:dyDescent="0.2">
      <c r="A291" s="1" t="str">
        <f>"00337"</f>
        <v>00337</v>
      </c>
      <c r="B291" s="1" t="str">
        <f>"عباس"</f>
        <v>عباس</v>
      </c>
      <c r="C291" s="1" t="str">
        <f>"دهقاني"</f>
        <v>دهقاني</v>
      </c>
      <c r="D291" s="1" t="str">
        <f t="shared" si="24"/>
        <v>قراردادي بهره بردار</v>
      </c>
      <c r="E291" s="1" t="str">
        <f t="shared" si="28"/>
        <v>پروژه بهره برداري نيروگاه بوشهر</v>
      </c>
      <c r="F291" s="1">
        <v>15779372</v>
      </c>
      <c r="G291" s="1">
        <v>3441474</v>
      </c>
      <c r="H291" s="1">
        <v>0</v>
      </c>
      <c r="I291" s="1">
        <v>13143794</v>
      </c>
      <c r="J291" s="1">
        <v>0</v>
      </c>
      <c r="K291" s="1">
        <v>4620000</v>
      </c>
      <c r="L291" s="1">
        <v>0</v>
      </c>
      <c r="M291" s="1">
        <v>1000000</v>
      </c>
      <c r="N291" s="1">
        <v>3000228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1606000</v>
      </c>
      <c r="U291" s="1">
        <v>0</v>
      </c>
      <c r="V291" s="1">
        <v>9200132</v>
      </c>
      <c r="W291" s="1">
        <v>1900000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2143020</v>
      </c>
      <c r="AF291" s="1">
        <v>1516881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5504050</v>
      </c>
      <c r="AM291" s="1">
        <v>0</v>
      </c>
      <c r="AN291" s="1">
        <v>0</v>
      </c>
      <c r="AO291" s="1">
        <v>62854951</v>
      </c>
      <c r="AP291" s="1">
        <v>27384031</v>
      </c>
      <c r="AQ291" s="1">
        <v>35470920</v>
      </c>
      <c r="AR291" s="1">
        <v>12267614</v>
      </c>
      <c r="AS291" s="1">
        <v>1840142</v>
      </c>
      <c r="AT291" s="1">
        <f t="shared" si="26"/>
        <v>76962707</v>
      </c>
    </row>
    <row r="292" spans="1:46" x14ac:dyDescent="0.2">
      <c r="A292" s="1" t="str">
        <f>"00338"</f>
        <v>00338</v>
      </c>
      <c r="B292" s="1" t="str">
        <f>"رضا"</f>
        <v>رضا</v>
      </c>
      <c r="C292" s="1" t="str">
        <f>"دهقان"</f>
        <v>دهقان</v>
      </c>
      <c r="D292" s="1" t="str">
        <f t="shared" si="24"/>
        <v>قراردادي بهره بردار</v>
      </c>
      <c r="E292" s="1" t="str">
        <f t="shared" si="28"/>
        <v>پروژه بهره برداري نيروگاه بوشهر</v>
      </c>
      <c r="F292" s="1">
        <v>15444200</v>
      </c>
      <c r="G292" s="1">
        <v>5589343</v>
      </c>
      <c r="H292" s="1">
        <v>0</v>
      </c>
      <c r="I292" s="1">
        <v>13807733</v>
      </c>
      <c r="J292" s="1">
        <v>0</v>
      </c>
      <c r="K292" s="1">
        <v>3465000</v>
      </c>
      <c r="L292" s="1">
        <v>0</v>
      </c>
      <c r="M292" s="1">
        <v>1000000</v>
      </c>
      <c r="N292" s="1">
        <v>2882917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1606000</v>
      </c>
      <c r="U292" s="1">
        <v>0</v>
      </c>
      <c r="V292" s="1">
        <v>10672899</v>
      </c>
      <c r="W292" s="1">
        <v>1900000</v>
      </c>
      <c r="X292" s="1">
        <v>2241900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2059227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11710866</v>
      </c>
      <c r="AM292" s="1">
        <v>0</v>
      </c>
      <c r="AN292" s="1">
        <v>0</v>
      </c>
      <c r="AO292" s="1">
        <v>72380085</v>
      </c>
      <c r="AP292" s="1">
        <v>28691093</v>
      </c>
      <c r="AQ292" s="1">
        <v>43688992</v>
      </c>
      <c r="AR292" s="1">
        <v>14476017</v>
      </c>
      <c r="AS292" s="1">
        <v>2171403</v>
      </c>
      <c r="AT292" s="1">
        <f t="shared" si="26"/>
        <v>89027505</v>
      </c>
    </row>
    <row r="293" spans="1:46" x14ac:dyDescent="0.2">
      <c r="A293" s="1" t="str">
        <f>"00340"</f>
        <v>00340</v>
      </c>
      <c r="B293" s="1" t="str">
        <f>"مجيد"</f>
        <v>مجيد</v>
      </c>
      <c r="C293" s="1" t="str">
        <f>"سعادت پور"</f>
        <v>سعادت پور</v>
      </c>
      <c r="D293" s="1" t="str">
        <f t="shared" si="24"/>
        <v>قراردادي بهره بردار</v>
      </c>
      <c r="E293" s="1" t="str">
        <f t="shared" si="28"/>
        <v>پروژه بهره برداري نيروگاه بوشهر</v>
      </c>
      <c r="F293" s="1">
        <v>21744557</v>
      </c>
      <c r="G293" s="1">
        <v>2053844</v>
      </c>
      <c r="H293" s="1">
        <v>0</v>
      </c>
      <c r="I293" s="1">
        <v>18517131</v>
      </c>
      <c r="J293" s="1">
        <v>0</v>
      </c>
      <c r="K293" s="1">
        <v>5500000</v>
      </c>
      <c r="L293" s="1">
        <v>0</v>
      </c>
      <c r="M293" s="1">
        <v>1000000</v>
      </c>
      <c r="N293" s="1">
        <v>3872770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1387000</v>
      </c>
      <c r="U293" s="1">
        <v>0</v>
      </c>
      <c r="V293" s="1">
        <v>18259324</v>
      </c>
      <c r="W293" s="1">
        <v>1900000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2957400</v>
      </c>
      <c r="AD293" s="1">
        <v>0</v>
      </c>
      <c r="AE293" s="1">
        <v>2766264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4647324</v>
      </c>
      <c r="AM293" s="1">
        <v>0</v>
      </c>
      <c r="AN293" s="1">
        <v>0</v>
      </c>
      <c r="AO293" s="1">
        <v>84605614</v>
      </c>
      <c r="AP293" s="1">
        <v>10487826</v>
      </c>
      <c r="AQ293" s="1">
        <v>74117788</v>
      </c>
      <c r="AR293" s="1">
        <v>16921123</v>
      </c>
      <c r="AS293" s="1">
        <v>2538168</v>
      </c>
      <c r="AT293" s="1">
        <f t="shared" si="26"/>
        <v>104064905</v>
      </c>
    </row>
    <row r="294" spans="1:46" x14ac:dyDescent="0.2">
      <c r="A294" s="1" t="str">
        <f>"00341"</f>
        <v>00341</v>
      </c>
      <c r="B294" s="1" t="str">
        <f>"عباس"</f>
        <v>عباس</v>
      </c>
      <c r="C294" s="1" t="str">
        <f>"حيدري"</f>
        <v>حيدري</v>
      </c>
      <c r="D294" s="1" t="str">
        <f t="shared" si="24"/>
        <v>قراردادي بهره بردار</v>
      </c>
      <c r="E294" s="1" t="str">
        <f t="shared" si="28"/>
        <v>پروژه بهره برداري نيروگاه بوشهر</v>
      </c>
      <c r="F294" s="1">
        <v>14543836</v>
      </c>
      <c r="G294" s="1">
        <v>5645819</v>
      </c>
      <c r="H294" s="1">
        <v>0</v>
      </c>
      <c r="I294" s="1">
        <v>10540385</v>
      </c>
      <c r="J294" s="1">
        <v>0</v>
      </c>
      <c r="K294" s="1">
        <v>4620000</v>
      </c>
      <c r="L294" s="1">
        <v>0</v>
      </c>
      <c r="M294" s="1">
        <v>1000000</v>
      </c>
      <c r="N294" s="1">
        <v>2567790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1387000</v>
      </c>
      <c r="U294" s="1">
        <v>0</v>
      </c>
      <c r="V294" s="1">
        <v>6102406</v>
      </c>
      <c r="W294" s="1">
        <v>1900000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1834136</v>
      </c>
      <c r="AF294" s="1">
        <v>6067524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4416110</v>
      </c>
      <c r="AM294" s="1">
        <v>0</v>
      </c>
      <c r="AN294" s="1">
        <v>0</v>
      </c>
      <c r="AO294" s="1">
        <v>60625006</v>
      </c>
      <c r="AP294" s="1">
        <v>31900216</v>
      </c>
      <c r="AQ294" s="1">
        <v>28724790</v>
      </c>
      <c r="AR294" s="1">
        <v>10911496</v>
      </c>
      <c r="AS294" s="1">
        <v>1636724</v>
      </c>
      <c r="AT294" s="1">
        <f t="shared" si="26"/>
        <v>73173226</v>
      </c>
    </row>
    <row r="295" spans="1:46" x14ac:dyDescent="0.2">
      <c r="A295" s="1" t="str">
        <f>"00342"</f>
        <v>00342</v>
      </c>
      <c r="B295" s="1" t="str">
        <f>"اسماعيل"</f>
        <v>اسماعيل</v>
      </c>
      <c r="C295" s="1" t="str">
        <f>"محمدي"</f>
        <v>محمدي</v>
      </c>
      <c r="D295" s="1" t="str">
        <f t="shared" ref="D295:D301" si="29">"قراردادي کارگري"</f>
        <v>قراردادي کارگري</v>
      </c>
      <c r="E295" s="1" t="str">
        <f t="shared" ref="E295:E301" si="30">"پروژه تعميرات نيروگاه بوشهر"</f>
        <v>پروژه تعميرات نيروگاه بوشهر</v>
      </c>
      <c r="F295" s="1">
        <v>6285421</v>
      </c>
      <c r="G295" s="1">
        <v>4495522</v>
      </c>
      <c r="H295" s="1">
        <v>0</v>
      </c>
      <c r="I295" s="1">
        <v>4965482</v>
      </c>
      <c r="J295" s="1">
        <v>0</v>
      </c>
      <c r="K295" s="1">
        <v>0</v>
      </c>
      <c r="L295" s="1">
        <v>7672721</v>
      </c>
      <c r="M295" s="1">
        <v>1000000</v>
      </c>
      <c r="N295" s="1">
        <v>3142712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8270791</v>
      </c>
      <c r="W295" s="1">
        <v>1900000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3309950</v>
      </c>
      <c r="AE295" s="1">
        <v>0</v>
      </c>
      <c r="AF295" s="1">
        <v>3033762</v>
      </c>
      <c r="AG295" s="1">
        <v>0</v>
      </c>
      <c r="AH295" s="1">
        <v>0</v>
      </c>
      <c r="AI295" s="1">
        <v>0</v>
      </c>
      <c r="AJ295" s="1">
        <v>2740128</v>
      </c>
      <c r="AK295" s="1">
        <v>0</v>
      </c>
      <c r="AL295" s="1">
        <v>0</v>
      </c>
      <c r="AM295" s="1">
        <v>0</v>
      </c>
      <c r="AN295" s="1">
        <v>0</v>
      </c>
      <c r="AO295" s="1">
        <v>46816489</v>
      </c>
      <c r="AP295" s="1">
        <v>4255961</v>
      </c>
      <c r="AQ295" s="1">
        <v>42560528</v>
      </c>
      <c r="AR295" s="1">
        <v>8756545</v>
      </c>
      <c r="AS295" s="1">
        <v>1313482</v>
      </c>
      <c r="AT295" s="1">
        <f t="shared" si="26"/>
        <v>56886516</v>
      </c>
    </row>
    <row r="296" spans="1:46" x14ac:dyDescent="0.2">
      <c r="A296" s="1" t="str">
        <f>"00343"</f>
        <v>00343</v>
      </c>
      <c r="B296" s="1" t="str">
        <f>"علي"</f>
        <v>علي</v>
      </c>
      <c r="C296" s="1" t="str">
        <f>"حيدري"</f>
        <v>حيدري</v>
      </c>
      <c r="D296" s="1" t="str">
        <f t="shared" si="29"/>
        <v>قراردادي کارگري</v>
      </c>
      <c r="E296" s="1" t="str">
        <f t="shared" si="30"/>
        <v>پروژه تعميرات نيروگاه بوشهر</v>
      </c>
      <c r="F296" s="1">
        <v>7327701</v>
      </c>
      <c r="G296" s="1">
        <v>4605991</v>
      </c>
      <c r="H296" s="1">
        <v>0</v>
      </c>
      <c r="I296" s="1">
        <v>4982838</v>
      </c>
      <c r="J296" s="1">
        <v>0</v>
      </c>
      <c r="K296" s="1">
        <v>0</v>
      </c>
      <c r="L296" s="1">
        <v>7628143</v>
      </c>
      <c r="M296" s="1">
        <v>1000000</v>
      </c>
      <c r="N296" s="1">
        <v>3856684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8841372</v>
      </c>
      <c r="W296" s="1">
        <v>1900000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3569305</v>
      </c>
      <c r="AE296" s="1">
        <v>0</v>
      </c>
      <c r="AF296" s="1">
        <v>3033762</v>
      </c>
      <c r="AG296" s="1">
        <v>0</v>
      </c>
      <c r="AH296" s="1">
        <v>0</v>
      </c>
      <c r="AI296" s="1">
        <v>0</v>
      </c>
      <c r="AJ296" s="1">
        <v>4421752</v>
      </c>
      <c r="AK296" s="1">
        <v>0</v>
      </c>
      <c r="AL296" s="1">
        <v>0</v>
      </c>
      <c r="AM296" s="1">
        <v>0</v>
      </c>
      <c r="AN296" s="1">
        <v>0</v>
      </c>
      <c r="AO296" s="1">
        <v>51167548</v>
      </c>
      <c r="AP296" s="1">
        <v>5747558</v>
      </c>
      <c r="AQ296" s="1">
        <v>45419990</v>
      </c>
      <c r="AR296" s="1">
        <v>9626757</v>
      </c>
      <c r="AS296" s="1">
        <v>1444014</v>
      </c>
      <c r="AT296" s="1">
        <f t="shared" si="26"/>
        <v>62238319</v>
      </c>
    </row>
    <row r="297" spans="1:46" x14ac:dyDescent="0.2">
      <c r="A297" s="1" t="str">
        <f>"00344"</f>
        <v>00344</v>
      </c>
      <c r="B297" s="1" t="str">
        <f>"مهدي"</f>
        <v>مهدي</v>
      </c>
      <c r="C297" s="1" t="str">
        <f>"حسن پور"</f>
        <v>حسن پور</v>
      </c>
      <c r="D297" s="1" t="str">
        <f t="shared" si="29"/>
        <v>قراردادي کارگري</v>
      </c>
      <c r="E297" s="1" t="str">
        <f t="shared" si="30"/>
        <v>پروژه تعميرات نيروگاه بوشهر</v>
      </c>
      <c r="F297" s="1">
        <v>8968827</v>
      </c>
      <c r="G297" s="1">
        <v>3195100</v>
      </c>
      <c r="H297" s="1">
        <v>0</v>
      </c>
      <c r="I297" s="1">
        <v>6278179</v>
      </c>
      <c r="J297" s="1">
        <v>0</v>
      </c>
      <c r="K297" s="1">
        <v>0</v>
      </c>
      <c r="L297" s="1">
        <v>7628143</v>
      </c>
      <c r="M297" s="1">
        <v>1000000</v>
      </c>
      <c r="N297" s="1">
        <v>4751697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10105759</v>
      </c>
      <c r="W297" s="1">
        <v>1900000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4144027</v>
      </c>
      <c r="AE297" s="1">
        <v>0</v>
      </c>
      <c r="AF297" s="1">
        <v>3033762</v>
      </c>
      <c r="AG297" s="1">
        <v>0</v>
      </c>
      <c r="AH297" s="1">
        <v>0</v>
      </c>
      <c r="AI297" s="1">
        <v>0</v>
      </c>
      <c r="AJ297" s="1">
        <v>3408106</v>
      </c>
      <c r="AK297" s="1">
        <v>0</v>
      </c>
      <c r="AL297" s="1">
        <v>0</v>
      </c>
      <c r="AM297" s="1">
        <v>0</v>
      </c>
      <c r="AN297" s="1">
        <v>0</v>
      </c>
      <c r="AO297" s="1">
        <v>54413600</v>
      </c>
      <c r="AP297" s="1">
        <v>5494290</v>
      </c>
      <c r="AQ297" s="1">
        <v>48919310</v>
      </c>
      <c r="AR297" s="1">
        <v>10275968</v>
      </c>
      <c r="AS297" s="1">
        <v>1541395</v>
      </c>
      <c r="AT297" s="1">
        <f t="shared" si="26"/>
        <v>66230963</v>
      </c>
    </row>
    <row r="298" spans="1:46" x14ac:dyDescent="0.2">
      <c r="A298" s="1" t="str">
        <f>"00345"</f>
        <v>00345</v>
      </c>
      <c r="B298" s="1" t="str">
        <f>"حسن"</f>
        <v>حسن</v>
      </c>
      <c r="C298" s="1" t="str">
        <f>"ابراهيمي"</f>
        <v>ابراهيمي</v>
      </c>
      <c r="D298" s="1" t="str">
        <f t="shared" si="29"/>
        <v>قراردادي کارگري</v>
      </c>
      <c r="E298" s="1" t="str">
        <f t="shared" si="30"/>
        <v>پروژه تعميرات نيروگاه بوشهر</v>
      </c>
      <c r="F298" s="1">
        <v>7117455</v>
      </c>
      <c r="G298" s="1">
        <v>1753284</v>
      </c>
      <c r="H298" s="1">
        <v>0</v>
      </c>
      <c r="I298" s="1">
        <v>5195743</v>
      </c>
      <c r="J298" s="1">
        <v>0</v>
      </c>
      <c r="K298" s="1">
        <v>0</v>
      </c>
      <c r="L298" s="1">
        <v>7628143</v>
      </c>
      <c r="M298" s="1">
        <v>1000000</v>
      </c>
      <c r="N298" s="1">
        <v>3746030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11807686</v>
      </c>
      <c r="W298" s="1">
        <v>1900000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3553106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4809008</v>
      </c>
      <c r="AK298" s="1">
        <v>0</v>
      </c>
      <c r="AL298" s="1">
        <v>0</v>
      </c>
      <c r="AM298" s="1">
        <v>0</v>
      </c>
      <c r="AN298" s="1">
        <v>0</v>
      </c>
      <c r="AO298" s="1">
        <v>48510455</v>
      </c>
      <c r="AP298" s="1">
        <v>7738937</v>
      </c>
      <c r="AQ298" s="1">
        <v>40771518</v>
      </c>
      <c r="AR298" s="1">
        <v>9702091</v>
      </c>
      <c r="AS298" s="1">
        <v>1455314</v>
      </c>
      <c r="AT298" s="1">
        <f t="shared" si="26"/>
        <v>59667860</v>
      </c>
    </row>
    <row r="299" spans="1:46" x14ac:dyDescent="0.2">
      <c r="A299" s="1" t="str">
        <f>"00346"</f>
        <v>00346</v>
      </c>
      <c r="B299" s="1" t="str">
        <f>"رحمن"</f>
        <v>رحمن</v>
      </c>
      <c r="C299" s="1" t="str">
        <f>"باروني"</f>
        <v>باروني</v>
      </c>
      <c r="D299" s="1" t="str">
        <f t="shared" si="29"/>
        <v>قراردادي کارگري</v>
      </c>
      <c r="E299" s="1" t="str">
        <f t="shared" si="30"/>
        <v>پروژه تعميرات نيروگاه بوشهر</v>
      </c>
      <c r="F299" s="1">
        <v>9855296</v>
      </c>
      <c r="G299" s="1">
        <v>2205392</v>
      </c>
      <c r="H299" s="1">
        <v>0</v>
      </c>
      <c r="I299" s="1">
        <v>7292918</v>
      </c>
      <c r="J299" s="1">
        <v>0</v>
      </c>
      <c r="K299" s="1">
        <v>0</v>
      </c>
      <c r="L299" s="1">
        <v>7628143</v>
      </c>
      <c r="M299" s="1">
        <v>1000000</v>
      </c>
      <c r="N299" s="1">
        <v>5256159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14615413</v>
      </c>
      <c r="W299" s="1">
        <v>1900000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4504877</v>
      </c>
      <c r="AE299" s="1">
        <v>0</v>
      </c>
      <c r="AF299" s="1">
        <v>1516881</v>
      </c>
      <c r="AG299" s="1">
        <v>0</v>
      </c>
      <c r="AH299" s="1">
        <v>0</v>
      </c>
      <c r="AI299" s="1">
        <v>0</v>
      </c>
      <c r="AJ299" s="1">
        <v>6049074</v>
      </c>
      <c r="AK299" s="1">
        <v>0</v>
      </c>
      <c r="AL299" s="1">
        <v>0</v>
      </c>
      <c r="AM299" s="1">
        <v>0</v>
      </c>
      <c r="AN299" s="1">
        <v>0</v>
      </c>
      <c r="AO299" s="1">
        <v>61824153</v>
      </c>
      <c r="AP299" s="1">
        <v>10586006</v>
      </c>
      <c r="AQ299" s="1">
        <v>51238147</v>
      </c>
      <c r="AR299" s="1">
        <v>12061454</v>
      </c>
      <c r="AS299" s="1">
        <v>1809218</v>
      </c>
      <c r="AT299" s="1">
        <f t="shared" si="26"/>
        <v>75694825</v>
      </c>
    </row>
    <row r="300" spans="1:46" x14ac:dyDescent="0.2">
      <c r="A300" s="1" t="str">
        <f>"00348"</f>
        <v>00348</v>
      </c>
      <c r="B300" s="1" t="str">
        <f>"اسماعيل"</f>
        <v>اسماعيل</v>
      </c>
      <c r="C300" s="1" t="str">
        <f>"جهان بخت"</f>
        <v>جهان بخت</v>
      </c>
      <c r="D300" s="1" t="str">
        <f t="shared" si="29"/>
        <v>قراردادي کارگري</v>
      </c>
      <c r="E300" s="1" t="str">
        <f t="shared" si="30"/>
        <v>پروژه تعميرات نيروگاه بوشهر</v>
      </c>
      <c r="F300" s="1">
        <v>7603528</v>
      </c>
      <c r="G300" s="1">
        <v>0</v>
      </c>
      <c r="H300" s="1">
        <v>0</v>
      </c>
      <c r="I300" s="1">
        <v>5398505</v>
      </c>
      <c r="J300" s="1">
        <v>0</v>
      </c>
      <c r="K300" s="1">
        <v>0</v>
      </c>
      <c r="L300" s="1">
        <v>7628143</v>
      </c>
      <c r="M300" s="1">
        <v>1000000</v>
      </c>
      <c r="N300" s="1">
        <v>4055215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8927464</v>
      </c>
      <c r="W300" s="1">
        <v>1900000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36512855</v>
      </c>
      <c r="AP300" s="1">
        <v>3667596</v>
      </c>
      <c r="AQ300" s="1">
        <v>32845259</v>
      </c>
      <c r="AR300" s="1">
        <v>7302571</v>
      </c>
      <c r="AS300" s="1">
        <v>1095386</v>
      </c>
      <c r="AT300" s="1">
        <f t="shared" si="26"/>
        <v>44910812</v>
      </c>
    </row>
    <row r="301" spans="1:46" x14ac:dyDescent="0.2">
      <c r="A301" s="1" t="str">
        <f>"00349"</f>
        <v>00349</v>
      </c>
      <c r="B301" s="1" t="str">
        <f>"ابوالفضل"</f>
        <v>ابوالفضل</v>
      </c>
      <c r="C301" s="1" t="str">
        <f>"اورنگ"</f>
        <v>اورنگ</v>
      </c>
      <c r="D301" s="1" t="str">
        <f t="shared" si="29"/>
        <v>قراردادي کارگري</v>
      </c>
      <c r="E301" s="1" t="str">
        <f t="shared" si="30"/>
        <v>پروژه تعميرات نيروگاه بوشهر</v>
      </c>
      <c r="F301" s="1">
        <v>7721792</v>
      </c>
      <c r="G301" s="1">
        <v>0</v>
      </c>
      <c r="H301" s="1">
        <v>0</v>
      </c>
      <c r="I301" s="1">
        <v>5714126</v>
      </c>
      <c r="J301" s="1">
        <v>0</v>
      </c>
      <c r="K301" s="1">
        <v>0</v>
      </c>
      <c r="L301" s="1">
        <v>7628143</v>
      </c>
      <c r="M301" s="1">
        <v>1000000</v>
      </c>
      <c r="N301" s="1">
        <v>4091014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12457146</v>
      </c>
      <c r="W301" s="1">
        <v>1900000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1516881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42029102</v>
      </c>
      <c r="AP301" s="1">
        <v>3571180</v>
      </c>
      <c r="AQ301" s="1">
        <v>38457922</v>
      </c>
      <c r="AR301" s="1">
        <v>8102444</v>
      </c>
      <c r="AS301" s="1">
        <v>1215367</v>
      </c>
      <c r="AT301" s="1">
        <f t="shared" si="26"/>
        <v>51346913</v>
      </c>
    </row>
    <row r="302" spans="1:46" x14ac:dyDescent="0.2">
      <c r="A302" s="1" t="str">
        <f>"00350"</f>
        <v>00350</v>
      </c>
      <c r="B302" s="1" t="str">
        <f>"علي"</f>
        <v>علي</v>
      </c>
      <c r="C302" s="1" t="str">
        <f>"بهرامي پور"</f>
        <v>بهرامي پور</v>
      </c>
      <c r="D302" s="1" t="str">
        <f>"قراردادي بهره بردار"</f>
        <v>قراردادي بهره بردار</v>
      </c>
      <c r="E302" s="1" t="str">
        <f>"پروژه بهره برداري نيروگاه بوشهر"</f>
        <v>پروژه بهره برداري نيروگاه بوشهر</v>
      </c>
      <c r="F302" s="1">
        <v>18079572</v>
      </c>
      <c r="G302" s="1">
        <v>3572800</v>
      </c>
      <c r="H302" s="1">
        <v>0</v>
      </c>
      <c r="I302" s="1">
        <v>15941713</v>
      </c>
      <c r="J302" s="1">
        <v>0</v>
      </c>
      <c r="K302" s="1">
        <v>4620000</v>
      </c>
      <c r="L302" s="1">
        <v>0</v>
      </c>
      <c r="M302" s="1">
        <v>1000000</v>
      </c>
      <c r="N302" s="1">
        <v>3448767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1387000</v>
      </c>
      <c r="U302" s="1">
        <v>0</v>
      </c>
      <c r="V302" s="1">
        <v>25886215</v>
      </c>
      <c r="W302" s="1">
        <v>1900000</v>
      </c>
      <c r="X302" s="1">
        <v>1786400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2463405</v>
      </c>
      <c r="AF302" s="1">
        <v>4550643</v>
      </c>
      <c r="AG302" s="1">
        <v>5949453</v>
      </c>
      <c r="AH302" s="1">
        <v>0</v>
      </c>
      <c r="AI302" s="1">
        <v>0</v>
      </c>
      <c r="AJ302" s="1">
        <v>0</v>
      </c>
      <c r="AK302" s="1">
        <v>0</v>
      </c>
      <c r="AL302" s="1">
        <v>12617013</v>
      </c>
      <c r="AM302" s="1">
        <v>0</v>
      </c>
      <c r="AN302" s="1">
        <v>0</v>
      </c>
      <c r="AO302" s="1">
        <v>103202981</v>
      </c>
      <c r="AP302" s="1">
        <v>33093143</v>
      </c>
      <c r="AQ302" s="1">
        <v>70109838</v>
      </c>
      <c r="AR302" s="1">
        <v>19730468</v>
      </c>
      <c r="AS302" s="1">
        <v>2959570</v>
      </c>
      <c r="AT302" s="1">
        <f t="shared" si="26"/>
        <v>125893019</v>
      </c>
    </row>
    <row r="303" spans="1:46" x14ac:dyDescent="0.2">
      <c r="A303" s="1" t="str">
        <f>"00351"</f>
        <v>00351</v>
      </c>
      <c r="B303" s="1" t="str">
        <f>"عادل"</f>
        <v>عادل</v>
      </c>
      <c r="C303" s="1" t="str">
        <f>"عبدالشاهي"</f>
        <v>عبدالشاهي</v>
      </c>
      <c r="D303" s="1" t="str">
        <f>"قراردادي بهره بردار"</f>
        <v>قراردادي بهره بردار</v>
      </c>
      <c r="E303" s="1" t="str">
        <f>"پروژه بهره برداري نيروگاه بوشهر"</f>
        <v>پروژه بهره برداري نيروگاه بوشهر</v>
      </c>
      <c r="F303" s="1">
        <v>12497753</v>
      </c>
      <c r="G303" s="1">
        <v>2707648</v>
      </c>
      <c r="H303" s="1">
        <v>0</v>
      </c>
      <c r="I303" s="1">
        <v>8497318</v>
      </c>
      <c r="J303" s="1">
        <v>0</v>
      </c>
      <c r="K303" s="1">
        <v>4620000</v>
      </c>
      <c r="L303" s="1">
        <v>0</v>
      </c>
      <c r="M303" s="1">
        <v>1000000</v>
      </c>
      <c r="N303" s="1">
        <v>1851661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1606000</v>
      </c>
      <c r="U303" s="1">
        <v>0</v>
      </c>
      <c r="V303" s="1">
        <v>14713411</v>
      </c>
      <c r="W303" s="1">
        <v>1900000</v>
      </c>
      <c r="X303" s="1">
        <v>1814190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1322615</v>
      </c>
      <c r="AF303" s="1">
        <v>1516881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9081299</v>
      </c>
      <c r="AM303" s="1">
        <v>0</v>
      </c>
      <c r="AN303" s="1">
        <v>0</v>
      </c>
      <c r="AO303" s="1">
        <v>63128776</v>
      </c>
      <c r="AP303" s="1">
        <v>12714092</v>
      </c>
      <c r="AQ303" s="1">
        <v>50414684</v>
      </c>
      <c r="AR303" s="1">
        <v>12322379</v>
      </c>
      <c r="AS303" s="1">
        <v>1848357</v>
      </c>
      <c r="AT303" s="1">
        <f t="shared" si="26"/>
        <v>77299512</v>
      </c>
    </row>
    <row r="304" spans="1:46" x14ac:dyDescent="0.2">
      <c r="A304" s="1" t="str">
        <f>"00352"</f>
        <v>00352</v>
      </c>
      <c r="B304" s="1" t="str">
        <f>"اميد"</f>
        <v>اميد</v>
      </c>
      <c r="C304" s="1" t="str">
        <f>"فرهادي"</f>
        <v>فرهادي</v>
      </c>
      <c r="D304" s="1" t="str">
        <f t="shared" ref="D304:D316" si="31">"قراردادي کارگري"</f>
        <v>قراردادي کارگري</v>
      </c>
      <c r="E304" s="1" t="str">
        <f t="shared" ref="E304:E316" si="32">"پروژه تعميرات نيروگاه بوشهر"</f>
        <v>پروژه تعميرات نيروگاه بوشهر</v>
      </c>
      <c r="F304" s="1">
        <v>8588736</v>
      </c>
      <c r="G304" s="1">
        <v>0</v>
      </c>
      <c r="H304" s="1">
        <v>0</v>
      </c>
      <c r="I304" s="1">
        <v>6699214</v>
      </c>
      <c r="J304" s="1">
        <v>0</v>
      </c>
      <c r="K304" s="1">
        <v>0</v>
      </c>
      <c r="L304" s="1">
        <v>7462913</v>
      </c>
      <c r="M304" s="1">
        <v>1000000</v>
      </c>
      <c r="N304" s="1">
        <v>4580659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13420223</v>
      </c>
      <c r="W304" s="1">
        <v>1900000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3033762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46685507</v>
      </c>
      <c r="AP304" s="1">
        <v>4234611</v>
      </c>
      <c r="AQ304" s="1">
        <v>42450896</v>
      </c>
      <c r="AR304" s="1">
        <v>8730349</v>
      </c>
      <c r="AS304" s="1">
        <v>1309552</v>
      </c>
      <c r="AT304" s="1">
        <f t="shared" si="26"/>
        <v>56725408</v>
      </c>
    </row>
    <row r="305" spans="1:46" x14ac:dyDescent="0.2">
      <c r="A305" s="1" t="str">
        <f>"00353"</f>
        <v>00353</v>
      </c>
      <c r="B305" s="1" t="str">
        <f>"حميد"</f>
        <v>حميد</v>
      </c>
      <c r="C305" s="1" t="str">
        <f>"مجريان زاده"</f>
        <v>مجريان زاده</v>
      </c>
      <c r="D305" s="1" t="str">
        <f t="shared" si="31"/>
        <v>قراردادي کارگري</v>
      </c>
      <c r="E305" s="1" t="str">
        <f t="shared" si="32"/>
        <v>پروژه تعميرات نيروگاه بوشهر</v>
      </c>
      <c r="F305" s="1">
        <v>7476071</v>
      </c>
      <c r="G305" s="1">
        <v>2363657</v>
      </c>
      <c r="H305" s="1">
        <v>0</v>
      </c>
      <c r="I305" s="1">
        <v>5532292</v>
      </c>
      <c r="J305" s="1">
        <v>0</v>
      </c>
      <c r="K305" s="1">
        <v>0</v>
      </c>
      <c r="L305" s="1">
        <v>7628143</v>
      </c>
      <c r="M305" s="1">
        <v>1000000</v>
      </c>
      <c r="N305" s="1">
        <v>3960831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8899067</v>
      </c>
      <c r="W305" s="1">
        <v>1900000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38760061</v>
      </c>
      <c r="AP305" s="1">
        <v>4483890</v>
      </c>
      <c r="AQ305" s="1">
        <v>34276171</v>
      </c>
      <c r="AR305" s="1">
        <v>7752012</v>
      </c>
      <c r="AS305" s="1">
        <v>1162802</v>
      </c>
      <c r="AT305" s="1">
        <f t="shared" si="26"/>
        <v>47674875</v>
      </c>
    </row>
    <row r="306" spans="1:46" x14ac:dyDescent="0.2">
      <c r="A306" s="1" t="str">
        <f>"00354"</f>
        <v>00354</v>
      </c>
      <c r="B306" s="1" t="str">
        <f>"غلامعلي"</f>
        <v>غلامعلي</v>
      </c>
      <c r="C306" s="1" t="str">
        <f>"محمدرضائي"</f>
        <v>محمدرضائي</v>
      </c>
      <c r="D306" s="1" t="str">
        <f t="shared" si="31"/>
        <v>قراردادي کارگري</v>
      </c>
      <c r="E306" s="1" t="str">
        <f t="shared" si="32"/>
        <v>پروژه تعميرات نيروگاه بوشهر</v>
      </c>
      <c r="F306" s="1">
        <v>7544132</v>
      </c>
      <c r="G306" s="1">
        <v>0</v>
      </c>
      <c r="H306" s="1">
        <v>0</v>
      </c>
      <c r="I306" s="1">
        <v>7091484</v>
      </c>
      <c r="J306" s="1">
        <v>0</v>
      </c>
      <c r="K306" s="1">
        <v>0</v>
      </c>
      <c r="L306" s="1">
        <v>7672721</v>
      </c>
      <c r="M306" s="1">
        <v>1000000</v>
      </c>
      <c r="N306" s="1">
        <v>3970596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9441381</v>
      </c>
      <c r="W306" s="1">
        <v>1900000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3033762</v>
      </c>
      <c r="AG306" s="1">
        <v>0</v>
      </c>
      <c r="AH306" s="1">
        <v>0</v>
      </c>
      <c r="AI306" s="1">
        <v>0</v>
      </c>
      <c r="AJ306" s="1">
        <v>4839526</v>
      </c>
      <c r="AK306" s="1">
        <v>0</v>
      </c>
      <c r="AL306" s="1">
        <v>0</v>
      </c>
      <c r="AM306" s="1">
        <v>0</v>
      </c>
      <c r="AN306" s="1">
        <v>2627893</v>
      </c>
      <c r="AO306" s="1">
        <v>49121495</v>
      </c>
      <c r="AP306" s="1">
        <v>4631676</v>
      </c>
      <c r="AQ306" s="1">
        <v>44489819</v>
      </c>
      <c r="AR306" s="1">
        <v>9217547</v>
      </c>
      <c r="AS306" s="1">
        <v>1382632</v>
      </c>
      <c r="AT306" s="1">
        <f t="shared" si="26"/>
        <v>59721674</v>
      </c>
    </row>
    <row r="307" spans="1:46" x14ac:dyDescent="0.2">
      <c r="A307" s="1" t="str">
        <f>"00355"</f>
        <v>00355</v>
      </c>
      <c r="B307" s="1" t="str">
        <f>"محمدابراهيم"</f>
        <v>محمدابراهيم</v>
      </c>
      <c r="C307" s="1" t="str">
        <f>"جوکار"</f>
        <v>جوکار</v>
      </c>
      <c r="D307" s="1" t="str">
        <f t="shared" si="31"/>
        <v>قراردادي کارگري</v>
      </c>
      <c r="E307" s="1" t="str">
        <f t="shared" si="32"/>
        <v>پروژه تعميرات نيروگاه بوشهر</v>
      </c>
      <c r="F307" s="1">
        <v>11252586</v>
      </c>
      <c r="G307" s="1">
        <v>2736036</v>
      </c>
      <c r="H307" s="1">
        <v>0</v>
      </c>
      <c r="I307" s="1">
        <v>10127328</v>
      </c>
      <c r="J307" s="1">
        <v>0</v>
      </c>
      <c r="K307" s="1">
        <v>0</v>
      </c>
      <c r="L307" s="1">
        <v>7462913</v>
      </c>
      <c r="M307" s="1">
        <v>1000000</v>
      </c>
      <c r="N307" s="1">
        <v>6001379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13622714</v>
      </c>
      <c r="W307" s="1">
        <v>1900000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3033762</v>
      </c>
      <c r="AG307" s="1">
        <v>0</v>
      </c>
      <c r="AH307" s="1">
        <v>0</v>
      </c>
      <c r="AI307" s="1">
        <v>0</v>
      </c>
      <c r="AJ307" s="1">
        <v>6566486</v>
      </c>
      <c r="AK307" s="1">
        <v>0</v>
      </c>
      <c r="AL307" s="1">
        <v>0</v>
      </c>
      <c r="AM307" s="1">
        <v>0</v>
      </c>
      <c r="AN307" s="1">
        <v>3484421</v>
      </c>
      <c r="AO307" s="1">
        <v>67187625</v>
      </c>
      <c r="AP307" s="1">
        <v>13120376</v>
      </c>
      <c r="AQ307" s="1">
        <v>54067249</v>
      </c>
      <c r="AR307" s="1">
        <v>12830773</v>
      </c>
      <c r="AS307" s="1">
        <v>1924616</v>
      </c>
      <c r="AT307" s="1">
        <f t="shared" si="26"/>
        <v>81943014</v>
      </c>
    </row>
    <row r="308" spans="1:46" x14ac:dyDescent="0.2">
      <c r="A308" s="1" t="str">
        <f>"00356"</f>
        <v>00356</v>
      </c>
      <c r="B308" s="1" t="str">
        <f>"عبداله"</f>
        <v>عبداله</v>
      </c>
      <c r="C308" s="1" t="str">
        <f>"سرتلي"</f>
        <v>سرتلي</v>
      </c>
      <c r="D308" s="1" t="str">
        <f t="shared" si="31"/>
        <v>قراردادي کارگري</v>
      </c>
      <c r="E308" s="1" t="str">
        <f t="shared" si="32"/>
        <v>پروژه تعميرات نيروگاه بوشهر</v>
      </c>
      <c r="F308" s="1">
        <v>8106850</v>
      </c>
      <c r="G308" s="1">
        <v>0</v>
      </c>
      <c r="H308" s="1">
        <v>0</v>
      </c>
      <c r="I308" s="1">
        <v>5918000</v>
      </c>
      <c r="J308" s="1">
        <v>0</v>
      </c>
      <c r="K308" s="1">
        <v>0</v>
      </c>
      <c r="L308" s="1">
        <v>7672721</v>
      </c>
      <c r="M308" s="1">
        <v>1000000</v>
      </c>
      <c r="N308" s="1">
        <v>4266764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9339923</v>
      </c>
      <c r="W308" s="1">
        <v>1900000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4550643</v>
      </c>
      <c r="AG308" s="1">
        <v>0</v>
      </c>
      <c r="AH308" s="1">
        <v>0</v>
      </c>
      <c r="AI308" s="1">
        <v>0</v>
      </c>
      <c r="AJ308" s="1">
        <v>3188772</v>
      </c>
      <c r="AK308" s="1">
        <v>0</v>
      </c>
      <c r="AL308" s="1">
        <v>0</v>
      </c>
      <c r="AM308" s="1">
        <v>0</v>
      </c>
      <c r="AN308" s="1">
        <v>2596434</v>
      </c>
      <c r="AO308" s="1">
        <v>48540107</v>
      </c>
      <c r="AP308" s="1">
        <v>9214712</v>
      </c>
      <c r="AQ308" s="1">
        <v>39325395</v>
      </c>
      <c r="AR308" s="1">
        <v>8797893</v>
      </c>
      <c r="AS308" s="1">
        <v>1319684</v>
      </c>
      <c r="AT308" s="1">
        <f t="shared" si="26"/>
        <v>58657684</v>
      </c>
    </row>
    <row r="309" spans="1:46" x14ac:dyDescent="0.2">
      <c r="A309" s="1" t="str">
        <f>"00357"</f>
        <v>00357</v>
      </c>
      <c r="B309" s="1" t="str">
        <f>"مهرزاد"</f>
        <v>مهرزاد</v>
      </c>
      <c r="C309" s="1" t="str">
        <f>"حيدريان اصل"</f>
        <v>حيدريان اصل</v>
      </c>
      <c r="D309" s="1" t="str">
        <f t="shared" si="31"/>
        <v>قراردادي کارگري</v>
      </c>
      <c r="E309" s="1" t="str">
        <f t="shared" si="32"/>
        <v>پروژه تعميرات نيروگاه بوشهر</v>
      </c>
      <c r="F309" s="1">
        <v>12285919</v>
      </c>
      <c r="G309" s="1">
        <v>0</v>
      </c>
      <c r="H309" s="1">
        <v>0</v>
      </c>
      <c r="I309" s="1">
        <v>10320172</v>
      </c>
      <c r="J309" s="1">
        <v>0</v>
      </c>
      <c r="K309" s="1">
        <v>0</v>
      </c>
      <c r="L309" s="1">
        <v>7462913</v>
      </c>
      <c r="M309" s="1">
        <v>1000000</v>
      </c>
      <c r="N309" s="1">
        <v>6552491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12776857</v>
      </c>
      <c r="W309" s="1">
        <v>1900000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3033762</v>
      </c>
      <c r="AG309" s="1">
        <v>0</v>
      </c>
      <c r="AH309" s="1">
        <v>0</v>
      </c>
      <c r="AI309" s="1">
        <v>0</v>
      </c>
      <c r="AJ309" s="1">
        <v>6692680</v>
      </c>
      <c r="AK309" s="1">
        <v>0</v>
      </c>
      <c r="AL309" s="1">
        <v>0</v>
      </c>
      <c r="AM309" s="1">
        <v>0</v>
      </c>
      <c r="AN309" s="1">
        <v>3662149</v>
      </c>
      <c r="AO309" s="1">
        <v>65686943</v>
      </c>
      <c r="AP309" s="1">
        <v>13318865</v>
      </c>
      <c r="AQ309" s="1">
        <v>52368078</v>
      </c>
      <c r="AR309" s="1">
        <v>12530636</v>
      </c>
      <c r="AS309" s="1">
        <v>1879595</v>
      </c>
      <c r="AT309" s="1">
        <f t="shared" si="26"/>
        <v>80097174</v>
      </c>
    </row>
    <row r="310" spans="1:46" x14ac:dyDescent="0.2">
      <c r="A310" s="1" t="str">
        <f>"00358"</f>
        <v>00358</v>
      </c>
      <c r="B310" s="1" t="str">
        <f>"رضا"</f>
        <v>رضا</v>
      </c>
      <c r="C310" s="1" t="str">
        <f>"افسون"</f>
        <v>افسون</v>
      </c>
      <c r="D310" s="1" t="str">
        <f t="shared" si="31"/>
        <v>قراردادي کارگري</v>
      </c>
      <c r="E310" s="1" t="str">
        <f t="shared" si="32"/>
        <v>پروژه تعميرات نيروگاه بوشهر</v>
      </c>
      <c r="F310" s="1">
        <v>8616518</v>
      </c>
      <c r="G310" s="1">
        <v>0</v>
      </c>
      <c r="H310" s="1">
        <v>0</v>
      </c>
      <c r="I310" s="1">
        <v>6290058</v>
      </c>
      <c r="J310" s="1">
        <v>0</v>
      </c>
      <c r="K310" s="1">
        <v>0</v>
      </c>
      <c r="L310" s="1">
        <v>7628143</v>
      </c>
      <c r="M310" s="1">
        <v>1000000</v>
      </c>
      <c r="N310" s="1">
        <v>4595476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9715914</v>
      </c>
      <c r="W310" s="1">
        <v>1900000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3033762</v>
      </c>
      <c r="AG310" s="1">
        <v>0</v>
      </c>
      <c r="AH310" s="1">
        <v>0</v>
      </c>
      <c r="AI310" s="1">
        <v>0</v>
      </c>
      <c r="AJ310" s="1">
        <v>4992053</v>
      </c>
      <c r="AK310" s="1">
        <v>0</v>
      </c>
      <c r="AL310" s="1">
        <v>0</v>
      </c>
      <c r="AM310" s="1">
        <v>0</v>
      </c>
      <c r="AN310" s="1">
        <v>2713020</v>
      </c>
      <c r="AO310" s="1">
        <v>50484944</v>
      </c>
      <c r="AP310" s="1">
        <v>8345138</v>
      </c>
      <c r="AQ310" s="1">
        <v>42139806</v>
      </c>
      <c r="AR310" s="1">
        <v>9490236</v>
      </c>
      <c r="AS310" s="1">
        <v>1423535</v>
      </c>
      <c r="AT310" s="1">
        <f t="shared" si="26"/>
        <v>61398715</v>
      </c>
    </row>
    <row r="311" spans="1:46" x14ac:dyDescent="0.2">
      <c r="A311" s="1" t="str">
        <f>"00359"</f>
        <v>00359</v>
      </c>
      <c r="B311" s="1" t="str">
        <f>"نعمت اله"</f>
        <v>نعمت اله</v>
      </c>
      <c r="C311" s="1" t="str">
        <f>"علي زاده"</f>
        <v>علي زاده</v>
      </c>
      <c r="D311" s="1" t="str">
        <f t="shared" si="31"/>
        <v>قراردادي کارگري</v>
      </c>
      <c r="E311" s="1" t="str">
        <f t="shared" si="32"/>
        <v>پروژه تعميرات نيروگاه بوشهر</v>
      </c>
      <c r="F311" s="1">
        <v>9490985</v>
      </c>
      <c r="G311" s="1">
        <v>855864</v>
      </c>
      <c r="H311" s="1">
        <v>0</v>
      </c>
      <c r="I311" s="1">
        <v>7023329</v>
      </c>
      <c r="J311" s="1">
        <v>0</v>
      </c>
      <c r="K311" s="1">
        <v>0</v>
      </c>
      <c r="L311" s="1">
        <v>7628143</v>
      </c>
      <c r="M311" s="1">
        <v>1000000</v>
      </c>
      <c r="N311" s="1">
        <v>5028335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11258611</v>
      </c>
      <c r="W311" s="1">
        <v>1900000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3033762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47219029</v>
      </c>
      <c r="AP311" s="1">
        <v>4321575</v>
      </c>
      <c r="AQ311" s="1">
        <v>42897454</v>
      </c>
      <c r="AR311" s="1">
        <v>8837053</v>
      </c>
      <c r="AS311" s="1">
        <v>1325558</v>
      </c>
      <c r="AT311" s="1">
        <f t="shared" si="26"/>
        <v>57381640</v>
      </c>
    </row>
    <row r="312" spans="1:46" x14ac:dyDescent="0.2">
      <c r="A312" s="1" t="str">
        <f>"00360"</f>
        <v>00360</v>
      </c>
      <c r="B312" s="1" t="str">
        <f>"احمد"</f>
        <v>احمد</v>
      </c>
      <c r="C312" s="1" t="str">
        <f>"مقاتلي فرد"</f>
        <v>مقاتلي فرد</v>
      </c>
      <c r="D312" s="1" t="str">
        <f t="shared" si="31"/>
        <v>قراردادي کارگري</v>
      </c>
      <c r="E312" s="1" t="str">
        <f t="shared" si="32"/>
        <v>پروژه تعميرات نيروگاه بوشهر</v>
      </c>
      <c r="F312" s="1">
        <v>7105088</v>
      </c>
      <c r="G312" s="1">
        <v>11595307</v>
      </c>
      <c r="H312" s="1">
        <v>0</v>
      </c>
      <c r="I312" s="1">
        <v>5257765</v>
      </c>
      <c r="J312" s="1">
        <v>0</v>
      </c>
      <c r="K312" s="1">
        <v>0</v>
      </c>
      <c r="L312" s="1">
        <v>7628143</v>
      </c>
      <c r="M312" s="1">
        <v>1000000</v>
      </c>
      <c r="N312" s="1">
        <v>3739520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5612708</v>
      </c>
      <c r="W312" s="1">
        <v>1900000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3033762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46872293</v>
      </c>
      <c r="AP312" s="1">
        <v>7148489</v>
      </c>
      <c r="AQ312" s="1">
        <v>39723804</v>
      </c>
      <c r="AR312" s="1">
        <v>8767706</v>
      </c>
      <c r="AS312" s="1">
        <v>1315156</v>
      </c>
      <c r="AT312" s="1">
        <f t="shared" si="26"/>
        <v>56955155</v>
      </c>
    </row>
    <row r="313" spans="1:46" x14ac:dyDescent="0.2">
      <c r="A313" s="1" t="str">
        <f>"00361"</f>
        <v>00361</v>
      </c>
      <c r="B313" s="1" t="str">
        <f>"غلامعلي"</f>
        <v>غلامعلي</v>
      </c>
      <c r="C313" s="1" t="str">
        <f>"دشتي زاده"</f>
        <v>دشتي زاده</v>
      </c>
      <c r="D313" s="1" t="str">
        <f t="shared" si="31"/>
        <v>قراردادي کارگري</v>
      </c>
      <c r="E313" s="1" t="str">
        <f t="shared" si="32"/>
        <v>پروژه تعميرات نيروگاه بوشهر</v>
      </c>
      <c r="F313" s="1">
        <v>10782608</v>
      </c>
      <c r="G313" s="1">
        <v>589482</v>
      </c>
      <c r="H313" s="1">
        <v>0</v>
      </c>
      <c r="I313" s="1">
        <v>7979130</v>
      </c>
      <c r="J313" s="1">
        <v>0</v>
      </c>
      <c r="K313" s="1">
        <v>0</v>
      </c>
      <c r="L313" s="1">
        <v>7628143</v>
      </c>
      <c r="M313" s="1">
        <v>1000000</v>
      </c>
      <c r="N313" s="1">
        <v>5529542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8222261</v>
      </c>
      <c r="W313" s="1">
        <v>1900000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1627293</v>
      </c>
      <c r="AD313" s="1">
        <v>0</v>
      </c>
      <c r="AE313" s="1">
        <v>0</v>
      </c>
      <c r="AF313" s="1">
        <v>4550643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49809102</v>
      </c>
      <c r="AP313" s="1">
        <v>9118744</v>
      </c>
      <c r="AQ313" s="1">
        <v>40690358</v>
      </c>
      <c r="AR313" s="1">
        <v>9051692</v>
      </c>
      <c r="AS313" s="1">
        <v>1357754</v>
      </c>
      <c r="AT313" s="1">
        <f t="shared" si="26"/>
        <v>60218548</v>
      </c>
    </row>
    <row r="314" spans="1:46" x14ac:dyDescent="0.2">
      <c r="A314" s="1" t="str">
        <f>"00362"</f>
        <v>00362</v>
      </c>
      <c r="B314" s="1" t="str">
        <f>"غلامرضا"</f>
        <v>غلامرضا</v>
      </c>
      <c r="C314" s="1" t="str">
        <f>"حسين پور بوشهري"</f>
        <v>حسين پور بوشهري</v>
      </c>
      <c r="D314" s="1" t="str">
        <f t="shared" si="31"/>
        <v>قراردادي کارگري</v>
      </c>
      <c r="E314" s="1" t="str">
        <f t="shared" si="32"/>
        <v>پروژه تعميرات نيروگاه بوشهر</v>
      </c>
      <c r="F314" s="1">
        <v>9012235</v>
      </c>
      <c r="G314" s="1">
        <v>2556634</v>
      </c>
      <c r="H314" s="1">
        <v>0</v>
      </c>
      <c r="I314" s="1">
        <v>6849299</v>
      </c>
      <c r="J314" s="1">
        <v>0</v>
      </c>
      <c r="K314" s="1">
        <v>0</v>
      </c>
      <c r="L314" s="1">
        <v>7628143</v>
      </c>
      <c r="M314" s="1">
        <v>1000000</v>
      </c>
      <c r="N314" s="1">
        <v>4592222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10547639</v>
      </c>
      <c r="W314" s="1">
        <v>1900000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1627293</v>
      </c>
      <c r="AD314" s="1">
        <v>4456379</v>
      </c>
      <c r="AE314" s="1">
        <v>0</v>
      </c>
      <c r="AF314" s="1">
        <v>3033762</v>
      </c>
      <c r="AG314" s="1">
        <v>0</v>
      </c>
      <c r="AH314" s="1">
        <v>0</v>
      </c>
      <c r="AI314" s="1">
        <v>0</v>
      </c>
      <c r="AJ314" s="1">
        <v>3636101</v>
      </c>
      <c r="AK314" s="1">
        <v>0</v>
      </c>
      <c r="AL314" s="1">
        <v>0</v>
      </c>
      <c r="AM314" s="1">
        <v>0</v>
      </c>
      <c r="AN314" s="1">
        <v>0</v>
      </c>
      <c r="AO314" s="1">
        <v>56839707</v>
      </c>
      <c r="AP314" s="1">
        <v>5889745</v>
      </c>
      <c r="AQ314" s="1">
        <v>50949962</v>
      </c>
      <c r="AR314" s="1">
        <v>10761189</v>
      </c>
      <c r="AS314" s="1">
        <v>1614178</v>
      </c>
      <c r="AT314" s="1">
        <f t="shared" si="26"/>
        <v>69215074</v>
      </c>
    </row>
    <row r="315" spans="1:46" x14ac:dyDescent="0.2">
      <c r="A315" s="1" t="str">
        <f>"00363"</f>
        <v>00363</v>
      </c>
      <c r="B315" s="1" t="str">
        <f>"بابک"</f>
        <v>بابک</v>
      </c>
      <c r="C315" s="1" t="str">
        <f>"خدادادي"</f>
        <v>خدادادي</v>
      </c>
      <c r="D315" s="1" t="str">
        <f t="shared" si="31"/>
        <v>قراردادي کارگري</v>
      </c>
      <c r="E315" s="1" t="str">
        <f t="shared" si="32"/>
        <v>پروژه تعميرات نيروگاه بوشهر</v>
      </c>
      <c r="F315" s="1">
        <v>9232891</v>
      </c>
      <c r="G315" s="1">
        <v>1973736</v>
      </c>
      <c r="H315" s="1">
        <v>0</v>
      </c>
      <c r="I315" s="1">
        <v>7201655</v>
      </c>
      <c r="J315" s="1">
        <v>0</v>
      </c>
      <c r="K315" s="1">
        <v>0</v>
      </c>
      <c r="L315" s="1">
        <v>7462913</v>
      </c>
      <c r="M315" s="1">
        <v>1000000</v>
      </c>
      <c r="N315" s="1">
        <v>4924208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11136417</v>
      </c>
      <c r="W315" s="1">
        <v>1900000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44831820</v>
      </c>
      <c r="AP315" s="1">
        <v>4123586</v>
      </c>
      <c r="AQ315" s="1">
        <v>40708234</v>
      </c>
      <c r="AR315" s="1">
        <v>8966364</v>
      </c>
      <c r="AS315" s="1">
        <v>1344955</v>
      </c>
      <c r="AT315" s="1">
        <f t="shared" si="26"/>
        <v>55143139</v>
      </c>
    </row>
    <row r="316" spans="1:46" x14ac:dyDescent="0.2">
      <c r="A316" s="1" t="str">
        <f>"00364"</f>
        <v>00364</v>
      </c>
      <c r="B316" s="1" t="str">
        <f>"بهنام"</f>
        <v>بهنام</v>
      </c>
      <c r="C316" s="1" t="str">
        <f>"بهزادي"</f>
        <v>بهزادي</v>
      </c>
      <c r="D316" s="1" t="str">
        <f t="shared" si="31"/>
        <v>قراردادي کارگري</v>
      </c>
      <c r="E316" s="1" t="str">
        <f t="shared" si="32"/>
        <v>پروژه تعميرات نيروگاه بوشهر</v>
      </c>
      <c r="F316" s="1">
        <v>7481481</v>
      </c>
      <c r="G316" s="1">
        <v>2360288</v>
      </c>
      <c r="H316" s="1">
        <v>0</v>
      </c>
      <c r="I316" s="1">
        <v>5461481</v>
      </c>
      <c r="J316" s="1">
        <v>0</v>
      </c>
      <c r="K316" s="1">
        <v>0</v>
      </c>
      <c r="L316" s="1">
        <v>7628143</v>
      </c>
      <c r="M316" s="1">
        <v>1000000</v>
      </c>
      <c r="N316" s="1">
        <v>3990122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8887421</v>
      </c>
      <c r="W316" s="1">
        <v>1900000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3684184</v>
      </c>
      <c r="AE316" s="1">
        <v>0</v>
      </c>
      <c r="AF316" s="1">
        <v>1516881</v>
      </c>
      <c r="AG316" s="1">
        <v>0</v>
      </c>
      <c r="AH316" s="1">
        <v>0</v>
      </c>
      <c r="AI316" s="1">
        <v>0</v>
      </c>
      <c r="AJ316" s="1">
        <v>4531752</v>
      </c>
      <c r="AK316" s="1">
        <v>0</v>
      </c>
      <c r="AL316" s="1">
        <v>0</v>
      </c>
      <c r="AM316" s="1">
        <v>0</v>
      </c>
      <c r="AN316" s="1">
        <v>0</v>
      </c>
      <c r="AO316" s="1">
        <v>48441753</v>
      </c>
      <c r="AP316" s="1">
        <v>6276541</v>
      </c>
      <c r="AQ316" s="1">
        <v>42165212</v>
      </c>
      <c r="AR316" s="1">
        <v>9384974</v>
      </c>
      <c r="AS316" s="1">
        <v>1407746</v>
      </c>
      <c r="AT316" s="1">
        <f t="shared" si="26"/>
        <v>59234473</v>
      </c>
    </row>
    <row r="317" spans="1:46" x14ac:dyDescent="0.2">
      <c r="A317" s="1" t="str">
        <f>"00365"</f>
        <v>00365</v>
      </c>
      <c r="B317" s="1" t="str">
        <f>"محسن"</f>
        <v>محسن</v>
      </c>
      <c r="C317" s="1" t="str">
        <f>"قديمي"</f>
        <v>قديمي</v>
      </c>
      <c r="D317" s="1" t="str">
        <f>"قراردادي بهره بردار"</f>
        <v>قراردادي بهره بردار</v>
      </c>
      <c r="E317" s="1" t="str">
        <f>"پروژه بهره برداري نيروگاه بوشهر"</f>
        <v>پروژه بهره برداري نيروگاه بوشهر</v>
      </c>
      <c r="F317" s="1">
        <v>24046948</v>
      </c>
      <c r="G317" s="1">
        <v>6990794</v>
      </c>
      <c r="H317" s="1">
        <v>0</v>
      </c>
      <c r="I317" s="1">
        <v>19168235</v>
      </c>
      <c r="J317" s="1">
        <v>0</v>
      </c>
      <c r="K317" s="1">
        <v>5500000</v>
      </c>
      <c r="L317" s="1">
        <v>0</v>
      </c>
      <c r="M317" s="1">
        <v>1000000</v>
      </c>
      <c r="N317" s="1">
        <v>3744726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1606000</v>
      </c>
      <c r="U317" s="1">
        <v>0</v>
      </c>
      <c r="V317" s="1">
        <v>24724010</v>
      </c>
      <c r="W317" s="1">
        <v>1900000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3384580</v>
      </c>
      <c r="AD317" s="1">
        <v>0</v>
      </c>
      <c r="AE317" s="1">
        <v>2674804</v>
      </c>
      <c r="AF317" s="1">
        <v>1516881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4814647</v>
      </c>
      <c r="AM317" s="1">
        <v>0</v>
      </c>
      <c r="AN317" s="1">
        <v>0</v>
      </c>
      <c r="AO317" s="1">
        <v>101071625</v>
      </c>
      <c r="AP317" s="1">
        <v>39350207</v>
      </c>
      <c r="AQ317" s="1">
        <v>61721418</v>
      </c>
      <c r="AR317" s="1">
        <v>19910949</v>
      </c>
      <c r="AS317" s="1">
        <v>2986642</v>
      </c>
      <c r="AT317" s="1">
        <f t="shared" si="26"/>
        <v>123969216</v>
      </c>
    </row>
    <row r="318" spans="1:46" x14ac:dyDescent="0.2">
      <c r="A318" s="1" t="str">
        <f>"00366"</f>
        <v>00366</v>
      </c>
      <c r="B318" s="1" t="str">
        <f>"سهيل"</f>
        <v>سهيل</v>
      </c>
      <c r="C318" s="1" t="str">
        <f>"طاهري"</f>
        <v>طاهري</v>
      </c>
      <c r="D318" s="1" t="str">
        <f>"قراردادي بهره بردار"</f>
        <v>قراردادي بهره بردار</v>
      </c>
      <c r="E318" s="1" t="str">
        <f>"پروژه بهره برداري نيروگاه بوشهر"</f>
        <v>پروژه بهره برداري نيروگاه بوشهر</v>
      </c>
      <c r="F318" s="1">
        <v>20186993</v>
      </c>
      <c r="G318" s="1">
        <v>6224272</v>
      </c>
      <c r="H318" s="1">
        <v>0</v>
      </c>
      <c r="I318" s="1">
        <v>17057894</v>
      </c>
      <c r="J318" s="1">
        <v>0</v>
      </c>
      <c r="K318" s="1">
        <v>5500000</v>
      </c>
      <c r="L318" s="1">
        <v>0</v>
      </c>
      <c r="M318" s="1">
        <v>1000000</v>
      </c>
      <c r="N318" s="1">
        <v>3327623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1606000</v>
      </c>
      <c r="U318" s="1">
        <v>0</v>
      </c>
      <c r="V318" s="1">
        <v>10505126</v>
      </c>
      <c r="W318" s="1">
        <v>1900000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2376873</v>
      </c>
      <c r="AF318" s="1">
        <v>1516881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5350046</v>
      </c>
      <c r="AM318" s="1">
        <v>0</v>
      </c>
      <c r="AN318" s="1">
        <v>0</v>
      </c>
      <c r="AO318" s="1">
        <v>76551708</v>
      </c>
      <c r="AP318" s="1">
        <v>29511773</v>
      </c>
      <c r="AQ318" s="1">
        <v>47039935</v>
      </c>
      <c r="AR318" s="1">
        <v>15006965</v>
      </c>
      <c r="AS318" s="1">
        <v>2251045</v>
      </c>
      <c r="AT318" s="1">
        <f t="shared" si="26"/>
        <v>93809718</v>
      </c>
    </row>
    <row r="319" spans="1:46" x14ac:dyDescent="0.2">
      <c r="A319" s="1" t="str">
        <f>"00367"</f>
        <v>00367</v>
      </c>
      <c r="B319" s="1" t="str">
        <f>"ميترا"</f>
        <v>ميترا</v>
      </c>
      <c r="C319" s="1" t="str">
        <f>"نوري"</f>
        <v>نوري</v>
      </c>
      <c r="D319" s="1" t="str">
        <f>"قراردادي بهره بردار"</f>
        <v>قراردادي بهره بردار</v>
      </c>
      <c r="E319" s="1" t="str">
        <f>"پروژه بهره برداري نيروگاه بوشهر"</f>
        <v>پروژه بهره برداري نيروگاه بوشهر</v>
      </c>
      <c r="F319" s="1">
        <v>21446627</v>
      </c>
      <c r="G319" s="1">
        <v>0</v>
      </c>
      <c r="H319" s="1">
        <v>0</v>
      </c>
      <c r="I319" s="1">
        <v>17624145</v>
      </c>
      <c r="J319" s="1">
        <v>0</v>
      </c>
      <c r="K319" s="1">
        <v>4125000</v>
      </c>
      <c r="L319" s="1">
        <v>0</v>
      </c>
      <c r="M319" s="1">
        <v>1000000</v>
      </c>
      <c r="N319" s="1">
        <v>3768494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1387000</v>
      </c>
      <c r="U319" s="1">
        <v>0</v>
      </c>
      <c r="V319" s="1">
        <v>8996709</v>
      </c>
      <c r="W319" s="1">
        <v>1900000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2691782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5154639</v>
      </c>
      <c r="AM319" s="1">
        <v>0</v>
      </c>
      <c r="AN319" s="1">
        <v>0</v>
      </c>
      <c r="AO319" s="1">
        <v>68094396</v>
      </c>
      <c r="AP319" s="1">
        <v>27419695</v>
      </c>
      <c r="AQ319" s="1">
        <v>40674701</v>
      </c>
      <c r="AR319" s="1">
        <v>13618879</v>
      </c>
      <c r="AS319" s="1">
        <v>2042832</v>
      </c>
      <c r="AT319" s="1">
        <f t="shared" si="26"/>
        <v>83756107</v>
      </c>
    </row>
    <row r="320" spans="1:46" x14ac:dyDescent="0.2">
      <c r="A320" s="1" t="str">
        <f>"00368"</f>
        <v>00368</v>
      </c>
      <c r="B320" s="1" t="str">
        <f>"راضيه"</f>
        <v>راضيه</v>
      </c>
      <c r="C320" s="1" t="str">
        <f>"اژدري"</f>
        <v>اژدري</v>
      </c>
      <c r="D320" s="1" t="str">
        <f>"قراردادي بهره بردار"</f>
        <v>قراردادي بهره بردار</v>
      </c>
      <c r="E320" s="1" t="str">
        <f>"پروژه بهره برداري نيروگاه بوشهر"</f>
        <v>پروژه بهره برداري نيروگاه بوشهر</v>
      </c>
      <c r="F320" s="1">
        <v>19959164</v>
      </c>
      <c r="G320" s="1">
        <v>0</v>
      </c>
      <c r="H320" s="1">
        <v>0</v>
      </c>
      <c r="I320" s="1">
        <v>15704174</v>
      </c>
      <c r="J320" s="1">
        <v>0</v>
      </c>
      <c r="K320" s="1">
        <v>4125000</v>
      </c>
      <c r="L320" s="1">
        <v>0</v>
      </c>
      <c r="M320" s="1">
        <v>1000000</v>
      </c>
      <c r="N320" s="1">
        <v>3247882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1387000</v>
      </c>
      <c r="U320" s="1">
        <v>0</v>
      </c>
      <c r="V320" s="1">
        <v>8186970</v>
      </c>
      <c r="W320" s="1">
        <v>1900000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2319916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4892635</v>
      </c>
      <c r="AM320" s="1">
        <v>0</v>
      </c>
      <c r="AN320" s="1">
        <v>0</v>
      </c>
      <c r="AO320" s="1">
        <v>62722741</v>
      </c>
      <c r="AP320" s="1">
        <v>22448113</v>
      </c>
      <c r="AQ320" s="1">
        <v>40274628</v>
      </c>
      <c r="AR320" s="1">
        <v>12544548</v>
      </c>
      <c r="AS320" s="1">
        <v>1881682</v>
      </c>
      <c r="AT320" s="1">
        <f t="shared" si="26"/>
        <v>77148971</v>
      </c>
    </row>
    <row r="321" spans="1:46" x14ac:dyDescent="0.2">
      <c r="A321" s="1" t="str">
        <f>"00369"</f>
        <v>00369</v>
      </c>
      <c r="B321" s="1" t="str">
        <f>"غلامرضا"</f>
        <v>غلامرضا</v>
      </c>
      <c r="C321" s="1" t="str">
        <f>"ميرکي"</f>
        <v>ميرکي</v>
      </c>
      <c r="D321" s="1" t="str">
        <f t="shared" ref="D321:D330" si="33">"قراردادي کارگري"</f>
        <v>قراردادي کارگري</v>
      </c>
      <c r="E321" s="1" t="str">
        <f t="shared" ref="E321:E331" si="34">"پروژه تعميرات نيروگاه بوشهر"</f>
        <v>پروژه تعميرات نيروگاه بوشهر</v>
      </c>
      <c r="F321" s="1">
        <v>9171547</v>
      </c>
      <c r="G321" s="1">
        <v>2383765</v>
      </c>
      <c r="H321" s="1">
        <v>0</v>
      </c>
      <c r="I321" s="1">
        <v>6695229</v>
      </c>
      <c r="J321" s="1">
        <v>0</v>
      </c>
      <c r="K321" s="1">
        <v>0</v>
      </c>
      <c r="L321" s="1">
        <v>7628143</v>
      </c>
      <c r="M321" s="1">
        <v>1000000</v>
      </c>
      <c r="N321" s="1">
        <v>4859097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13872678</v>
      </c>
      <c r="W321" s="1">
        <v>1900000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4253103</v>
      </c>
      <c r="AE321" s="1">
        <v>0</v>
      </c>
      <c r="AF321" s="1">
        <v>6067524</v>
      </c>
      <c r="AG321" s="1">
        <v>0</v>
      </c>
      <c r="AH321" s="1">
        <v>0</v>
      </c>
      <c r="AI321" s="1">
        <v>0</v>
      </c>
      <c r="AJ321" s="1">
        <v>3814024</v>
      </c>
      <c r="AK321" s="1">
        <v>0</v>
      </c>
      <c r="AL321" s="1">
        <v>0</v>
      </c>
      <c r="AM321" s="1">
        <v>0</v>
      </c>
      <c r="AN321" s="1">
        <v>0</v>
      </c>
      <c r="AO321" s="1">
        <v>61645110</v>
      </c>
      <c r="AP321" s="1">
        <v>6481899</v>
      </c>
      <c r="AQ321" s="1">
        <v>55163211</v>
      </c>
      <c r="AR321" s="1">
        <v>11115517</v>
      </c>
      <c r="AS321" s="1">
        <v>1667328</v>
      </c>
      <c r="AT321" s="1">
        <f t="shared" si="26"/>
        <v>74427955</v>
      </c>
    </row>
    <row r="322" spans="1:46" x14ac:dyDescent="0.2">
      <c r="A322" s="1" t="str">
        <f>"00370"</f>
        <v>00370</v>
      </c>
      <c r="B322" s="1" t="str">
        <f>"احمد"</f>
        <v>احمد</v>
      </c>
      <c r="C322" s="1" t="str">
        <f>"عابدي"</f>
        <v>عابدي</v>
      </c>
      <c r="D322" s="1" t="str">
        <f t="shared" si="33"/>
        <v>قراردادي کارگري</v>
      </c>
      <c r="E322" s="1" t="str">
        <f t="shared" si="34"/>
        <v>پروژه تعميرات نيروگاه بوشهر</v>
      </c>
      <c r="F322" s="1">
        <v>7241130</v>
      </c>
      <c r="G322" s="1">
        <v>1766508</v>
      </c>
      <c r="H322" s="1">
        <v>0</v>
      </c>
      <c r="I322" s="1">
        <v>5286025</v>
      </c>
      <c r="J322" s="1">
        <v>0</v>
      </c>
      <c r="K322" s="1">
        <v>0</v>
      </c>
      <c r="L322" s="1">
        <v>7628143</v>
      </c>
      <c r="M322" s="1">
        <v>1000000</v>
      </c>
      <c r="N322" s="1">
        <v>3811121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11796349</v>
      </c>
      <c r="W322" s="1">
        <v>1900000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3594963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3230186</v>
      </c>
      <c r="AK322" s="1">
        <v>0</v>
      </c>
      <c r="AL322" s="1">
        <v>0</v>
      </c>
      <c r="AM322" s="1">
        <v>0</v>
      </c>
      <c r="AN322" s="1">
        <v>0</v>
      </c>
      <c r="AO322" s="1">
        <v>47254425</v>
      </c>
      <c r="AP322" s="1">
        <v>4518472</v>
      </c>
      <c r="AQ322" s="1">
        <v>42735953</v>
      </c>
      <c r="AR322" s="1">
        <v>9450885</v>
      </c>
      <c r="AS322" s="1">
        <v>1417633</v>
      </c>
      <c r="AT322" s="1">
        <f t="shared" si="26"/>
        <v>58122943</v>
      </c>
    </row>
    <row r="323" spans="1:46" x14ac:dyDescent="0.2">
      <c r="A323" s="1" t="str">
        <f>"00371"</f>
        <v>00371</v>
      </c>
      <c r="B323" s="1" t="str">
        <f>"اميد"</f>
        <v>اميد</v>
      </c>
      <c r="C323" s="1" t="str">
        <f>"محمدي"</f>
        <v>محمدي</v>
      </c>
      <c r="D323" s="1" t="str">
        <f t="shared" si="33"/>
        <v>قراردادي کارگري</v>
      </c>
      <c r="E323" s="1" t="str">
        <f t="shared" si="34"/>
        <v>پروژه تعميرات نيروگاه بوشهر</v>
      </c>
      <c r="F323" s="1">
        <v>7358621</v>
      </c>
      <c r="G323" s="1">
        <v>1847518</v>
      </c>
      <c r="H323" s="1">
        <v>0</v>
      </c>
      <c r="I323" s="1">
        <v>5003862</v>
      </c>
      <c r="J323" s="1">
        <v>0</v>
      </c>
      <c r="K323" s="1">
        <v>0</v>
      </c>
      <c r="L323" s="1">
        <v>7628143</v>
      </c>
      <c r="M323" s="1">
        <v>1000000</v>
      </c>
      <c r="N323" s="1">
        <v>3872959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8863883</v>
      </c>
      <c r="W323" s="1">
        <v>1900000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3579538</v>
      </c>
      <c r="AE323" s="1">
        <v>0</v>
      </c>
      <c r="AF323" s="1">
        <v>1516881</v>
      </c>
      <c r="AG323" s="1">
        <v>0</v>
      </c>
      <c r="AH323" s="1">
        <v>0</v>
      </c>
      <c r="AI323" s="1">
        <v>0</v>
      </c>
      <c r="AJ323" s="1">
        <v>4434044</v>
      </c>
      <c r="AK323" s="1">
        <v>0</v>
      </c>
      <c r="AL323" s="1">
        <v>0</v>
      </c>
      <c r="AM323" s="1">
        <v>0</v>
      </c>
      <c r="AN323" s="1">
        <v>0</v>
      </c>
      <c r="AO323" s="1">
        <v>47005449</v>
      </c>
      <c r="AP323" s="1">
        <v>5167285</v>
      </c>
      <c r="AQ323" s="1">
        <v>41838164</v>
      </c>
      <c r="AR323" s="1">
        <v>9097714</v>
      </c>
      <c r="AS323" s="1">
        <v>1364657</v>
      </c>
      <c r="AT323" s="1">
        <f t="shared" ref="AT323:AT386" si="35">AO323+AR323+AS323</f>
        <v>57467820</v>
      </c>
    </row>
    <row r="324" spans="1:46" x14ac:dyDescent="0.2">
      <c r="A324" s="1" t="str">
        <f>"00372"</f>
        <v>00372</v>
      </c>
      <c r="B324" s="1" t="str">
        <f>"رسول"</f>
        <v>رسول</v>
      </c>
      <c r="C324" s="1" t="str">
        <f>"حسن احمدي"</f>
        <v>حسن احمدي</v>
      </c>
      <c r="D324" s="1" t="str">
        <f t="shared" si="33"/>
        <v>قراردادي کارگري</v>
      </c>
      <c r="E324" s="1" t="str">
        <f t="shared" si="34"/>
        <v>پروژه تعميرات نيروگاه بوشهر</v>
      </c>
      <c r="F324" s="1">
        <v>8729249</v>
      </c>
      <c r="G324" s="1">
        <v>1828971</v>
      </c>
      <c r="H324" s="1">
        <v>0</v>
      </c>
      <c r="I324" s="1">
        <v>6285059</v>
      </c>
      <c r="J324" s="1">
        <v>0</v>
      </c>
      <c r="K324" s="1">
        <v>0</v>
      </c>
      <c r="L324" s="1">
        <v>7628143</v>
      </c>
      <c r="M324" s="1">
        <v>1000000</v>
      </c>
      <c r="N324" s="1">
        <v>4624768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9760103</v>
      </c>
      <c r="W324" s="1">
        <v>1900000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4090083</v>
      </c>
      <c r="AE324" s="1">
        <v>0</v>
      </c>
      <c r="AF324" s="1">
        <v>4550643</v>
      </c>
      <c r="AG324" s="1">
        <v>0</v>
      </c>
      <c r="AH324" s="1">
        <v>0</v>
      </c>
      <c r="AI324" s="1">
        <v>0</v>
      </c>
      <c r="AJ324" s="1">
        <v>3344403</v>
      </c>
      <c r="AK324" s="1">
        <v>0</v>
      </c>
      <c r="AL324" s="1">
        <v>0</v>
      </c>
      <c r="AM324" s="1">
        <v>0</v>
      </c>
      <c r="AN324" s="1">
        <v>0</v>
      </c>
      <c r="AO324" s="1">
        <v>53741422</v>
      </c>
      <c r="AP324" s="1">
        <v>9656029</v>
      </c>
      <c r="AQ324" s="1">
        <v>44085393</v>
      </c>
      <c r="AR324" s="1">
        <v>9838156</v>
      </c>
      <c r="AS324" s="1">
        <v>1475723</v>
      </c>
      <c r="AT324" s="1">
        <f t="shared" si="35"/>
        <v>65055301</v>
      </c>
    </row>
    <row r="325" spans="1:46" x14ac:dyDescent="0.2">
      <c r="A325" s="1" t="str">
        <f>"00373"</f>
        <v>00373</v>
      </c>
      <c r="B325" s="1" t="str">
        <f>"شکراله"</f>
        <v>شکراله</v>
      </c>
      <c r="C325" s="1" t="str">
        <f>"عباسي"</f>
        <v>عباسي</v>
      </c>
      <c r="D325" s="1" t="str">
        <f t="shared" si="33"/>
        <v>قراردادي کارگري</v>
      </c>
      <c r="E325" s="1" t="str">
        <f t="shared" si="34"/>
        <v>پروژه تعميرات نيروگاه بوشهر</v>
      </c>
      <c r="F325" s="1">
        <v>11649386</v>
      </c>
      <c r="G325" s="1">
        <v>6061429</v>
      </c>
      <c r="H325" s="1">
        <v>0</v>
      </c>
      <c r="I325" s="1">
        <v>10367954</v>
      </c>
      <c r="J325" s="1">
        <v>0</v>
      </c>
      <c r="K325" s="1">
        <v>0</v>
      </c>
      <c r="L325" s="1">
        <v>7628143</v>
      </c>
      <c r="M325" s="1">
        <v>1000000</v>
      </c>
      <c r="N325" s="1">
        <v>6213006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7091066</v>
      </c>
      <c r="W325" s="1">
        <v>1900000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3033762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54944746</v>
      </c>
      <c r="AP325" s="1">
        <v>5580867</v>
      </c>
      <c r="AQ325" s="1">
        <v>49363879</v>
      </c>
      <c r="AR325" s="1">
        <v>10382197</v>
      </c>
      <c r="AS325" s="1">
        <v>1557330</v>
      </c>
      <c r="AT325" s="1">
        <f t="shared" si="35"/>
        <v>66884273</v>
      </c>
    </row>
    <row r="326" spans="1:46" x14ac:dyDescent="0.2">
      <c r="A326" s="1" t="str">
        <f>"00374"</f>
        <v>00374</v>
      </c>
      <c r="B326" s="1" t="str">
        <f>"مهدي"</f>
        <v>مهدي</v>
      </c>
      <c r="C326" s="1" t="str">
        <f>"برتون"</f>
        <v>برتون</v>
      </c>
      <c r="D326" s="1" t="str">
        <f t="shared" si="33"/>
        <v>قراردادي کارگري</v>
      </c>
      <c r="E326" s="1" t="str">
        <f t="shared" si="34"/>
        <v>پروژه تعميرات نيروگاه بوشهر</v>
      </c>
      <c r="F326" s="1">
        <v>8987257</v>
      </c>
      <c r="G326" s="1">
        <v>4280595</v>
      </c>
      <c r="H326" s="1">
        <v>0</v>
      </c>
      <c r="I326" s="1">
        <v>6560697</v>
      </c>
      <c r="J326" s="1">
        <v>0</v>
      </c>
      <c r="K326" s="1">
        <v>0</v>
      </c>
      <c r="L326" s="1">
        <v>7628143</v>
      </c>
      <c r="M326" s="1">
        <v>1000000</v>
      </c>
      <c r="N326" s="1">
        <v>4761462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9976287</v>
      </c>
      <c r="W326" s="1">
        <v>1900000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4190634</v>
      </c>
      <c r="AE326" s="1">
        <v>0</v>
      </c>
      <c r="AF326" s="1">
        <v>9101286</v>
      </c>
      <c r="AG326" s="1">
        <v>0</v>
      </c>
      <c r="AH326" s="1">
        <v>0</v>
      </c>
      <c r="AI326" s="1">
        <v>0</v>
      </c>
      <c r="AJ326" s="1">
        <v>5136715</v>
      </c>
      <c r="AK326" s="1">
        <v>0</v>
      </c>
      <c r="AL326" s="1">
        <v>0</v>
      </c>
      <c r="AM326" s="1">
        <v>0</v>
      </c>
      <c r="AN326" s="1">
        <v>0</v>
      </c>
      <c r="AO326" s="1">
        <v>63523076</v>
      </c>
      <c r="AP326" s="1">
        <v>7514471</v>
      </c>
      <c r="AQ326" s="1">
        <v>56008605</v>
      </c>
      <c r="AR326" s="1">
        <v>10884358</v>
      </c>
      <c r="AS326" s="1">
        <v>1632654</v>
      </c>
      <c r="AT326" s="1">
        <f t="shared" si="35"/>
        <v>76040088</v>
      </c>
    </row>
    <row r="327" spans="1:46" x14ac:dyDescent="0.2">
      <c r="A327" s="1" t="str">
        <f>"00375"</f>
        <v>00375</v>
      </c>
      <c r="B327" s="1" t="str">
        <f>"محمدرضا"</f>
        <v>محمدرضا</v>
      </c>
      <c r="C327" s="1" t="str">
        <f>"قادري"</f>
        <v>قادري</v>
      </c>
      <c r="D327" s="1" t="str">
        <f t="shared" si="33"/>
        <v>قراردادي کارگري</v>
      </c>
      <c r="E327" s="1" t="str">
        <f t="shared" si="34"/>
        <v>پروژه تعميرات نيروگاه بوشهر</v>
      </c>
      <c r="F327" s="1">
        <v>12708645</v>
      </c>
      <c r="G327" s="1">
        <v>4788436</v>
      </c>
      <c r="H327" s="1">
        <v>0</v>
      </c>
      <c r="I327" s="1">
        <v>10166916</v>
      </c>
      <c r="J327" s="1">
        <v>0</v>
      </c>
      <c r="K327" s="1">
        <v>0</v>
      </c>
      <c r="L327" s="1">
        <v>7462913</v>
      </c>
      <c r="M327" s="1">
        <v>1000000</v>
      </c>
      <c r="N327" s="1">
        <v>6777945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8122900</v>
      </c>
      <c r="W327" s="1">
        <v>1900000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1516881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54444636</v>
      </c>
      <c r="AP327" s="1">
        <v>9207055</v>
      </c>
      <c r="AQ327" s="1">
        <v>45237581</v>
      </c>
      <c r="AR327" s="1">
        <v>10585551</v>
      </c>
      <c r="AS327" s="1">
        <v>1587833</v>
      </c>
      <c r="AT327" s="1">
        <f t="shared" si="35"/>
        <v>66618020</v>
      </c>
    </row>
    <row r="328" spans="1:46" x14ac:dyDescent="0.2">
      <c r="A328" s="1" t="str">
        <f>"00376"</f>
        <v>00376</v>
      </c>
      <c r="B328" s="1" t="str">
        <f>"امين"</f>
        <v>امين</v>
      </c>
      <c r="C328" s="1" t="str">
        <f>"عسکرزاده شيرازي"</f>
        <v>عسکرزاده شيرازي</v>
      </c>
      <c r="D328" s="1" t="str">
        <f t="shared" si="33"/>
        <v>قراردادي کارگري</v>
      </c>
      <c r="E328" s="1" t="str">
        <f t="shared" si="34"/>
        <v>پروژه تعميرات نيروگاه بوشهر</v>
      </c>
      <c r="F328" s="1">
        <v>11843766</v>
      </c>
      <c r="G328" s="1">
        <v>5796186</v>
      </c>
      <c r="H328" s="1">
        <v>0</v>
      </c>
      <c r="I328" s="1">
        <v>8764387</v>
      </c>
      <c r="J328" s="1">
        <v>0</v>
      </c>
      <c r="K328" s="1">
        <v>0</v>
      </c>
      <c r="L328" s="1">
        <v>7628143</v>
      </c>
      <c r="M328" s="1">
        <v>1000000</v>
      </c>
      <c r="N328" s="1">
        <v>6274843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8720565</v>
      </c>
      <c r="W328" s="1">
        <v>1900000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3033762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54961652</v>
      </c>
      <c r="AP328" s="1">
        <v>5583622</v>
      </c>
      <c r="AQ328" s="1">
        <v>49378030</v>
      </c>
      <c r="AR328" s="1">
        <v>10385578</v>
      </c>
      <c r="AS328" s="1">
        <v>1557837</v>
      </c>
      <c r="AT328" s="1">
        <f t="shared" si="35"/>
        <v>66905067</v>
      </c>
    </row>
    <row r="329" spans="1:46" x14ac:dyDescent="0.2">
      <c r="A329" s="1" t="str">
        <f>"00377"</f>
        <v>00377</v>
      </c>
      <c r="B329" s="1" t="str">
        <f>"احمد"</f>
        <v>احمد</v>
      </c>
      <c r="C329" s="1" t="str">
        <f>"فقيه الاسلام جهرمي"</f>
        <v>فقيه الاسلام جهرمي</v>
      </c>
      <c r="D329" s="1" t="str">
        <f t="shared" si="33"/>
        <v>قراردادي کارگري</v>
      </c>
      <c r="E329" s="1" t="str">
        <f t="shared" si="34"/>
        <v>پروژه تعميرات نيروگاه بوشهر</v>
      </c>
      <c r="F329" s="1">
        <v>10353453</v>
      </c>
      <c r="G329" s="1">
        <v>5437230</v>
      </c>
      <c r="H329" s="1">
        <v>0</v>
      </c>
      <c r="I329" s="1">
        <v>9732245</v>
      </c>
      <c r="J329" s="1">
        <v>0</v>
      </c>
      <c r="K329" s="1">
        <v>0</v>
      </c>
      <c r="L329" s="1">
        <v>7462913</v>
      </c>
      <c r="M329" s="1">
        <v>1000000</v>
      </c>
      <c r="N329" s="1">
        <v>5521842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7483927</v>
      </c>
      <c r="W329" s="1">
        <v>1900000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1516881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50408491</v>
      </c>
      <c r="AP329" s="1">
        <v>14020258</v>
      </c>
      <c r="AQ329" s="1">
        <v>36388233</v>
      </c>
      <c r="AR329" s="1">
        <v>9778322</v>
      </c>
      <c r="AS329" s="1">
        <v>1466748</v>
      </c>
      <c r="AT329" s="1">
        <f t="shared" si="35"/>
        <v>61653561</v>
      </c>
    </row>
    <row r="330" spans="1:46" x14ac:dyDescent="0.2">
      <c r="A330" s="1" t="str">
        <f>"00380"</f>
        <v>00380</v>
      </c>
      <c r="B330" s="1" t="str">
        <f>"سجاد"</f>
        <v>سجاد</v>
      </c>
      <c r="C330" s="1" t="str">
        <f>"عاشوري"</f>
        <v>عاشوري</v>
      </c>
      <c r="D330" s="1" t="str">
        <f t="shared" si="33"/>
        <v>قراردادي کارگري</v>
      </c>
      <c r="E330" s="1" t="str">
        <f t="shared" si="34"/>
        <v>پروژه تعميرات نيروگاه بوشهر</v>
      </c>
      <c r="F330" s="1">
        <v>7383356</v>
      </c>
      <c r="G330" s="1">
        <v>1846072</v>
      </c>
      <c r="H330" s="1">
        <v>0</v>
      </c>
      <c r="I330" s="1">
        <v>4946848</v>
      </c>
      <c r="J330" s="1">
        <v>0</v>
      </c>
      <c r="K330" s="1">
        <v>0</v>
      </c>
      <c r="L330" s="1">
        <v>7628143</v>
      </c>
      <c r="M330" s="1">
        <v>1000000</v>
      </c>
      <c r="N330" s="1">
        <v>3885976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8857527</v>
      </c>
      <c r="W330" s="1">
        <v>1900000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3576648</v>
      </c>
      <c r="AE330" s="1">
        <v>0</v>
      </c>
      <c r="AF330" s="1">
        <v>4550643</v>
      </c>
      <c r="AG330" s="1">
        <v>0</v>
      </c>
      <c r="AH330" s="1">
        <v>0</v>
      </c>
      <c r="AI330" s="1">
        <v>0</v>
      </c>
      <c r="AJ330" s="1">
        <v>4430573</v>
      </c>
      <c r="AK330" s="1">
        <v>0</v>
      </c>
      <c r="AL330" s="1">
        <v>0</v>
      </c>
      <c r="AM330" s="1">
        <v>0</v>
      </c>
      <c r="AN330" s="1">
        <v>0</v>
      </c>
      <c r="AO330" s="1">
        <v>50005786</v>
      </c>
      <c r="AP330" s="1">
        <v>4680253</v>
      </c>
      <c r="AQ330" s="1">
        <v>45325533</v>
      </c>
      <c r="AR330" s="1">
        <v>9091029</v>
      </c>
      <c r="AS330" s="1">
        <v>1363654</v>
      </c>
      <c r="AT330" s="1">
        <f t="shared" si="35"/>
        <v>60460469</v>
      </c>
    </row>
    <row r="331" spans="1:46" x14ac:dyDescent="0.2">
      <c r="A331" s="1" t="str">
        <f>"00381"</f>
        <v>00381</v>
      </c>
      <c r="B331" s="1" t="str">
        <f>"سيد محمود"</f>
        <v>سيد محمود</v>
      </c>
      <c r="C331" s="1" t="str">
        <f>"سجاديان"</f>
        <v>سجاديان</v>
      </c>
      <c r="D331" s="1" t="str">
        <f>"قراردادي بهره بردار"</f>
        <v>قراردادي بهره بردار</v>
      </c>
      <c r="E331" s="1" t="str">
        <f t="shared" si="34"/>
        <v>پروژه تعميرات نيروگاه بوشهر</v>
      </c>
      <c r="F331" s="1">
        <v>25043701</v>
      </c>
      <c r="G331" s="1">
        <v>10744158</v>
      </c>
      <c r="H331" s="1">
        <v>0</v>
      </c>
      <c r="I331" s="1">
        <v>29825313</v>
      </c>
      <c r="J331" s="1">
        <v>0</v>
      </c>
      <c r="K331" s="1">
        <v>5500000</v>
      </c>
      <c r="L331" s="1">
        <v>0</v>
      </c>
      <c r="M331" s="1">
        <v>1000000</v>
      </c>
      <c r="N331" s="1">
        <v>3661918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1387000</v>
      </c>
      <c r="U331" s="1">
        <v>0</v>
      </c>
      <c r="V331" s="1">
        <v>6920912</v>
      </c>
      <c r="W331" s="1">
        <v>1900000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3877480</v>
      </c>
      <c r="AD331" s="1">
        <v>0</v>
      </c>
      <c r="AE331" s="1">
        <v>2615656</v>
      </c>
      <c r="AF331" s="1">
        <v>1516881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4185050</v>
      </c>
      <c r="AM331" s="1">
        <v>0</v>
      </c>
      <c r="AN331" s="1">
        <v>0</v>
      </c>
      <c r="AO331" s="1">
        <v>98178069</v>
      </c>
      <c r="AP331" s="1">
        <v>37861554</v>
      </c>
      <c r="AQ331" s="1">
        <v>60316515</v>
      </c>
      <c r="AR331" s="1">
        <v>19332238</v>
      </c>
      <c r="AS331" s="1">
        <v>2899836</v>
      </c>
      <c r="AT331" s="1">
        <f t="shared" si="35"/>
        <v>120410143</v>
      </c>
    </row>
    <row r="332" spans="1:46" x14ac:dyDescent="0.2">
      <c r="A332" s="1" t="str">
        <f>"00382"</f>
        <v>00382</v>
      </c>
      <c r="B332" s="1" t="str">
        <f>"سيد امير"</f>
        <v>سيد امير</v>
      </c>
      <c r="C332" s="1" t="str">
        <f>"حسيني"</f>
        <v>حسيني</v>
      </c>
      <c r="D332" s="1" t="str">
        <f>"قراردادي بهره بردار"</f>
        <v>قراردادي بهره بردار</v>
      </c>
      <c r="E332" s="1" t="str">
        <f>"پروژه بهره برداري نيروگاه بوشهر"</f>
        <v>پروژه بهره برداري نيروگاه بوشهر</v>
      </c>
      <c r="F332" s="1">
        <v>23611005</v>
      </c>
      <c r="G332" s="1">
        <v>12825236</v>
      </c>
      <c r="H332" s="1">
        <v>0</v>
      </c>
      <c r="I332" s="1">
        <v>21085158</v>
      </c>
      <c r="J332" s="1">
        <v>0</v>
      </c>
      <c r="K332" s="1">
        <v>5500000</v>
      </c>
      <c r="L332" s="1">
        <v>0</v>
      </c>
      <c r="M332" s="1">
        <v>1000000</v>
      </c>
      <c r="N332" s="1">
        <v>3592146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1606000</v>
      </c>
      <c r="U332" s="1">
        <v>0</v>
      </c>
      <c r="V332" s="1">
        <v>14534617</v>
      </c>
      <c r="W332" s="1">
        <v>1900000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2565818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4515840</v>
      </c>
      <c r="AM332" s="1">
        <v>0</v>
      </c>
      <c r="AN332" s="1">
        <v>0</v>
      </c>
      <c r="AO332" s="1">
        <v>92735820</v>
      </c>
      <c r="AP332" s="1">
        <v>37752323</v>
      </c>
      <c r="AQ332" s="1">
        <v>54983497</v>
      </c>
      <c r="AR332" s="1">
        <v>18547164</v>
      </c>
      <c r="AS332" s="1">
        <v>2782075</v>
      </c>
      <c r="AT332" s="1">
        <f t="shared" si="35"/>
        <v>114065059</v>
      </c>
    </row>
    <row r="333" spans="1:46" x14ac:dyDescent="0.2">
      <c r="A333" s="1" t="str">
        <f>"00383"</f>
        <v>00383</v>
      </c>
      <c r="B333" s="1" t="str">
        <f>"زهرا"</f>
        <v>زهرا</v>
      </c>
      <c r="C333" s="1" t="str">
        <f>"عفيفيان"</f>
        <v>عفيفيان</v>
      </c>
      <c r="D333" s="1" t="str">
        <f>"قراردادي کارگري"</f>
        <v>قراردادي کارگري</v>
      </c>
      <c r="E333" s="1" t="str">
        <f>"پروژه تعميرات نيروگاه بوشهر"</f>
        <v>پروژه تعميرات نيروگاه بوشهر</v>
      </c>
      <c r="F333" s="1">
        <v>8836528</v>
      </c>
      <c r="G333" s="1">
        <v>2160856</v>
      </c>
      <c r="H333" s="1">
        <v>0</v>
      </c>
      <c r="I333" s="1">
        <v>6450666</v>
      </c>
      <c r="J333" s="1">
        <v>0</v>
      </c>
      <c r="K333" s="1">
        <v>0</v>
      </c>
      <c r="L333" s="1">
        <v>7628143</v>
      </c>
      <c r="M333" s="1">
        <v>1000000</v>
      </c>
      <c r="N333" s="1">
        <v>4650804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3056281</v>
      </c>
      <c r="W333" s="1">
        <v>1900000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35683278</v>
      </c>
      <c r="AP333" s="1">
        <v>3207833</v>
      </c>
      <c r="AQ333" s="1">
        <v>32475445</v>
      </c>
      <c r="AR333" s="1">
        <v>7136656</v>
      </c>
      <c r="AS333" s="1">
        <v>1070498</v>
      </c>
      <c r="AT333" s="1">
        <f t="shared" si="35"/>
        <v>43890432</v>
      </c>
    </row>
    <row r="334" spans="1:46" x14ac:dyDescent="0.2">
      <c r="A334" s="1" t="str">
        <f>"00384"</f>
        <v>00384</v>
      </c>
      <c r="B334" s="1" t="str">
        <f>"غلامرضا"</f>
        <v>غلامرضا</v>
      </c>
      <c r="C334" s="1" t="str">
        <f>"خسروي"</f>
        <v>خسروي</v>
      </c>
      <c r="D334" s="1" t="str">
        <f>"قراردادي کارگري"</f>
        <v>قراردادي کارگري</v>
      </c>
      <c r="E334" s="1" t="str">
        <f>"پروژه تعميرات نيروگاه بوشهر"</f>
        <v>پروژه تعميرات نيروگاه بوشهر</v>
      </c>
      <c r="F334" s="1">
        <v>7304065</v>
      </c>
      <c r="G334" s="1">
        <v>3490835</v>
      </c>
      <c r="H334" s="1">
        <v>0</v>
      </c>
      <c r="I334" s="1">
        <v>5405008</v>
      </c>
      <c r="J334" s="1">
        <v>0</v>
      </c>
      <c r="K334" s="1">
        <v>0</v>
      </c>
      <c r="L334" s="1">
        <v>7628143</v>
      </c>
      <c r="M334" s="1">
        <v>1000000</v>
      </c>
      <c r="N334" s="1">
        <v>3869703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8773157</v>
      </c>
      <c r="W334" s="1">
        <v>1900000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39370911</v>
      </c>
      <c r="AP334" s="1">
        <v>3233459</v>
      </c>
      <c r="AQ334" s="1">
        <v>36137452</v>
      </c>
      <c r="AR334" s="1">
        <v>7874182</v>
      </c>
      <c r="AS334" s="1">
        <v>1181127</v>
      </c>
      <c r="AT334" s="1">
        <f t="shared" si="35"/>
        <v>48426220</v>
      </c>
    </row>
    <row r="335" spans="1:46" x14ac:dyDescent="0.2">
      <c r="A335" s="1" t="str">
        <f>"00385"</f>
        <v>00385</v>
      </c>
      <c r="B335" s="1" t="str">
        <f>"محمد"</f>
        <v>محمد</v>
      </c>
      <c r="C335" s="1" t="str">
        <f>"پولادي نژاد"</f>
        <v>پولادي نژاد</v>
      </c>
      <c r="D335" s="1" t="str">
        <f>"قراردادي بهره بردار"</f>
        <v>قراردادي بهره بردار</v>
      </c>
      <c r="E335" s="1" t="str">
        <f>"پروژه بهره برداري نيروگاه بوشهر"</f>
        <v>پروژه بهره برداري نيروگاه بوشهر</v>
      </c>
      <c r="F335" s="1">
        <v>14377345</v>
      </c>
      <c r="G335" s="1">
        <v>6816265</v>
      </c>
      <c r="H335" s="1">
        <v>0</v>
      </c>
      <c r="I335" s="1">
        <v>12579388</v>
      </c>
      <c r="J335" s="1">
        <v>0</v>
      </c>
      <c r="K335" s="1">
        <v>4620000</v>
      </c>
      <c r="L335" s="1">
        <v>0</v>
      </c>
      <c r="M335" s="1">
        <v>1000000</v>
      </c>
      <c r="N335" s="1">
        <v>2509518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1606000</v>
      </c>
      <c r="U335" s="1">
        <v>0</v>
      </c>
      <c r="V335" s="1">
        <v>9563982</v>
      </c>
      <c r="W335" s="1">
        <v>1900000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1792513</v>
      </c>
      <c r="AF335" s="1">
        <v>1516881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5175450</v>
      </c>
      <c r="AM335" s="1">
        <v>0</v>
      </c>
      <c r="AN335" s="1">
        <v>0</v>
      </c>
      <c r="AO335" s="1">
        <v>63457342</v>
      </c>
      <c r="AP335" s="1">
        <v>22916060</v>
      </c>
      <c r="AQ335" s="1">
        <v>40541282</v>
      </c>
      <c r="AR335" s="1">
        <v>12388092</v>
      </c>
      <c r="AS335" s="1">
        <v>1858214</v>
      </c>
      <c r="AT335" s="1">
        <f t="shared" si="35"/>
        <v>77703648</v>
      </c>
    </row>
    <row r="336" spans="1:46" x14ac:dyDescent="0.2">
      <c r="A336" s="1" t="str">
        <f>"00386"</f>
        <v>00386</v>
      </c>
      <c r="B336" s="1" t="str">
        <f>"سيد اسد"</f>
        <v>سيد اسد</v>
      </c>
      <c r="C336" s="1" t="str">
        <f>"موسوي"</f>
        <v>موسوي</v>
      </c>
      <c r="D336" s="1" t="str">
        <f>"قراردادي کارگري"</f>
        <v>قراردادي کارگري</v>
      </c>
      <c r="E336" s="1" t="str">
        <f>"پروژه تعميرات نيروگاه بوشهر"</f>
        <v>پروژه تعميرات نيروگاه بوشهر</v>
      </c>
      <c r="F336" s="1">
        <v>9983445</v>
      </c>
      <c r="G336" s="1">
        <v>7245160</v>
      </c>
      <c r="H336" s="1">
        <v>0</v>
      </c>
      <c r="I336" s="1">
        <v>7387750</v>
      </c>
      <c r="J336" s="1">
        <v>0</v>
      </c>
      <c r="K336" s="1">
        <v>0</v>
      </c>
      <c r="L336" s="1">
        <v>7628143</v>
      </c>
      <c r="M336" s="1">
        <v>1000000</v>
      </c>
      <c r="N336" s="1">
        <v>5324504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10745864</v>
      </c>
      <c r="W336" s="1">
        <v>1900000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4548576</v>
      </c>
      <c r="AE336" s="1">
        <v>0</v>
      </c>
      <c r="AF336" s="1">
        <v>3033762</v>
      </c>
      <c r="AG336" s="1">
        <v>0</v>
      </c>
      <c r="AH336" s="1">
        <v>0</v>
      </c>
      <c r="AI336" s="1">
        <v>0</v>
      </c>
      <c r="AJ336" s="1">
        <v>3709522</v>
      </c>
      <c r="AK336" s="1">
        <v>0</v>
      </c>
      <c r="AL336" s="1">
        <v>0</v>
      </c>
      <c r="AM336" s="1">
        <v>0</v>
      </c>
      <c r="AN336" s="1">
        <v>0</v>
      </c>
      <c r="AO336" s="1">
        <v>62506726</v>
      </c>
      <c r="AP336" s="1">
        <v>6813469</v>
      </c>
      <c r="AQ336" s="1">
        <v>55693257</v>
      </c>
      <c r="AR336" s="1">
        <v>11894593</v>
      </c>
      <c r="AS336" s="1">
        <v>1784189</v>
      </c>
      <c r="AT336" s="1">
        <f t="shared" si="35"/>
        <v>76185508</v>
      </c>
    </row>
    <row r="337" spans="1:46" x14ac:dyDescent="0.2">
      <c r="A337" s="1" t="str">
        <f>"00387"</f>
        <v>00387</v>
      </c>
      <c r="B337" s="1" t="str">
        <f>"عادل"</f>
        <v>عادل</v>
      </c>
      <c r="C337" s="1" t="str">
        <f>"محمدي نهاد"</f>
        <v>محمدي نهاد</v>
      </c>
      <c r="D337" s="1" t="str">
        <f>"قراردادي بهره بردار"</f>
        <v>قراردادي بهره بردار</v>
      </c>
      <c r="E337" s="1" t="str">
        <f>"پروژه بهره برداري نيروگاه بوشهر"</f>
        <v>پروژه بهره برداري نيروگاه بوشهر</v>
      </c>
      <c r="F337" s="1">
        <v>19264723</v>
      </c>
      <c r="G337" s="1">
        <v>6354957</v>
      </c>
      <c r="H337" s="1">
        <v>0</v>
      </c>
      <c r="I337" s="1">
        <v>14899721</v>
      </c>
      <c r="J337" s="1">
        <v>0</v>
      </c>
      <c r="K337" s="1">
        <v>0</v>
      </c>
      <c r="L337" s="1">
        <v>0</v>
      </c>
      <c r="M337" s="1">
        <v>1000000</v>
      </c>
      <c r="N337" s="1">
        <v>3004828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1387000</v>
      </c>
      <c r="U337" s="1">
        <v>0</v>
      </c>
      <c r="V337" s="1">
        <v>9012476</v>
      </c>
      <c r="W337" s="1">
        <v>1900000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2146306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4647718</v>
      </c>
      <c r="AM337" s="1">
        <v>0</v>
      </c>
      <c r="AN337" s="1">
        <v>0</v>
      </c>
      <c r="AO337" s="1">
        <v>63617729</v>
      </c>
      <c r="AP337" s="1">
        <v>28826201</v>
      </c>
      <c r="AQ337" s="1">
        <v>34791528</v>
      </c>
      <c r="AR337" s="1">
        <v>12723546</v>
      </c>
      <c r="AS337" s="1">
        <v>1908532</v>
      </c>
      <c r="AT337" s="1">
        <f t="shared" si="35"/>
        <v>78249807</v>
      </c>
    </row>
    <row r="338" spans="1:46" x14ac:dyDescent="0.2">
      <c r="A338" s="1" t="str">
        <f>"00388"</f>
        <v>00388</v>
      </c>
      <c r="B338" s="1" t="str">
        <f>"عبدالمهدي"</f>
        <v>عبدالمهدي</v>
      </c>
      <c r="C338" s="1" t="str">
        <f>"صفائي"</f>
        <v>صفائي</v>
      </c>
      <c r="D338" s="1" t="str">
        <f>"قراردادي کارگري"</f>
        <v>قراردادي کارگري</v>
      </c>
      <c r="E338" s="1" t="str">
        <f>"پروژه تعميرات نيروگاه بوشهر"</f>
        <v>پروژه تعميرات نيروگاه بوشهر</v>
      </c>
      <c r="F338" s="1">
        <v>7783222</v>
      </c>
      <c r="G338" s="1">
        <v>4798005</v>
      </c>
      <c r="H338" s="1">
        <v>0</v>
      </c>
      <c r="I338" s="1">
        <v>5603920</v>
      </c>
      <c r="J338" s="1">
        <v>0</v>
      </c>
      <c r="K338" s="1">
        <v>0</v>
      </c>
      <c r="L338" s="1">
        <v>7628143</v>
      </c>
      <c r="M338" s="1">
        <v>1000000</v>
      </c>
      <c r="N338" s="1">
        <v>4123562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5767780</v>
      </c>
      <c r="W338" s="1">
        <v>1900000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38604632</v>
      </c>
      <c r="AP338" s="1">
        <v>5311217</v>
      </c>
      <c r="AQ338" s="1">
        <v>33293415</v>
      </c>
      <c r="AR338" s="1">
        <v>7720926</v>
      </c>
      <c r="AS338" s="1">
        <v>1158139</v>
      </c>
      <c r="AT338" s="1">
        <f t="shared" si="35"/>
        <v>47483697</v>
      </c>
    </row>
    <row r="339" spans="1:46" x14ac:dyDescent="0.2">
      <c r="A339" s="1" t="str">
        <f>"00389"</f>
        <v>00389</v>
      </c>
      <c r="B339" s="1" t="str">
        <f>"رضا"</f>
        <v>رضا</v>
      </c>
      <c r="C339" s="1" t="str">
        <f>"احسان نيا"</f>
        <v>احسان نيا</v>
      </c>
      <c r="D339" s="1" t="str">
        <f>"قراردادي کارگري"</f>
        <v>قراردادي کارگري</v>
      </c>
      <c r="E339" s="1" t="str">
        <f>"پروژه تعميرات نيروگاه بوشهر"</f>
        <v>پروژه تعميرات نيروگاه بوشهر</v>
      </c>
      <c r="F339" s="1">
        <v>8199605</v>
      </c>
      <c r="G339" s="1">
        <v>7749247</v>
      </c>
      <c r="H339" s="1">
        <v>0</v>
      </c>
      <c r="I339" s="1">
        <v>5985713</v>
      </c>
      <c r="J339" s="1">
        <v>0</v>
      </c>
      <c r="K339" s="1">
        <v>0</v>
      </c>
      <c r="L339" s="1">
        <v>7672721</v>
      </c>
      <c r="M339" s="1">
        <v>1000000</v>
      </c>
      <c r="N339" s="1">
        <v>4315582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6125760</v>
      </c>
      <c r="W339" s="1">
        <v>1900000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42948628</v>
      </c>
      <c r="AP339" s="1">
        <v>7379927</v>
      </c>
      <c r="AQ339" s="1">
        <v>35568701</v>
      </c>
      <c r="AR339" s="1">
        <v>8589726</v>
      </c>
      <c r="AS339" s="1">
        <v>1288459</v>
      </c>
      <c r="AT339" s="1">
        <f t="shared" si="35"/>
        <v>52826813</v>
      </c>
    </row>
    <row r="340" spans="1:46" x14ac:dyDescent="0.2">
      <c r="A340" s="1" t="str">
        <f>"00390"</f>
        <v>00390</v>
      </c>
      <c r="B340" s="1" t="str">
        <f>"رضا"</f>
        <v>رضا</v>
      </c>
      <c r="C340" s="1" t="str">
        <f>"كشاورز"</f>
        <v>كشاورز</v>
      </c>
      <c r="D340" s="1" t="str">
        <f>"قراردادي بهره بردار"</f>
        <v>قراردادي بهره بردار</v>
      </c>
      <c r="E340" s="1" t="str">
        <f>"پروژه بهره برداري نيروگاه بوشهر"</f>
        <v>پروژه بهره برداري نيروگاه بوشهر</v>
      </c>
      <c r="F340" s="1">
        <v>21501393</v>
      </c>
      <c r="G340" s="1">
        <v>13054511</v>
      </c>
      <c r="H340" s="1">
        <v>0</v>
      </c>
      <c r="I340" s="1">
        <v>18693233</v>
      </c>
      <c r="J340" s="1">
        <v>0</v>
      </c>
      <c r="K340" s="1">
        <v>5500000</v>
      </c>
      <c r="L340" s="1">
        <v>0</v>
      </c>
      <c r="M340" s="1">
        <v>1000000</v>
      </c>
      <c r="N340" s="1">
        <v>3097603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1387000</v>
      </c>
      <c r="U340" s="1">
        <v>0</v>
      </c>
      <c r="V340" s="1">
        <v>4946552</v>
      </c>
      <c r="W340" s="1">
        <v>1900000</v>
      </c>
      <c r="X340" s="1">
        <v>0</v>
      </c>
      <c r="Y340" s="1">
        <v>11518686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2212573</v>
      </c>
      <c r="AF340" s="1">
        <v>3033762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3960725</v>
      </c>
      <c r="AM340" s="1">
        <v>0</v>
      </c>
      <c r="AN340" s="1">
        <v>0</v>
      </c>
      <c r="AO340" s="1">
        <v>91806038</v>
      </c>
      <c r="AP340" s="1">
        <v>26409629</v>
      </c>
      <c r="AQ340" s="1">
        <v>65396409</v>
      </c>
      <c r="AR340" s="1">
        <v>17754455</v>
      </c>
      <c r="AS340" s="1">
        <v>2663168</v>
      </c>
      <c r="AT340" s="1">
        <f t="shared" si="35"/>
        <v>112223661</v>
      </c>
    </row>
    <row r="341" spans="1:46" x14ac:dyDescent="0.2">
      <c r="A341" s="1" t="str">
        <f>"00391"</f>
        <v>00391</v>
      </c>
      <c r="B341" s="1" t="str">
        <f>"حسين"</f>
        <v>حسين</v>
      </c>
      <c r="C341" s="1" t="str">
        <f>"محمدي حساوي"</f>
        <v>محمدي حساوي</v>
      </c>
      <c r="D341" s="1" t="str">
        <f>"قراردادي کارگري"</f>
        <v>قراردادي کارگري</v>
      </c>
      <c r="E341" s="1" t="str">
        <f>"پروژه تعميرات نيروگاه بوشهر"</f>
        <v>پروژه تعميرات نيروگاه بوشهر</v>
      </c>
      <c r="F341" s="1">
        <v>8022800</v>
      </c>
      <c r="G341" s="1">
        <v>5377598</v>
      </c>
      <c r="H341" s="1">
        <v>0</v>
      </c>
      <c r="I341" s="1">
        <v>5776416</v>
      </c>
      <c r="J341" s="1">
        <v>0</v>
      </c>
      <c r="K341" s="1">
        <v>0</v>
      </c>
      <c r="L341" s="1">
        <v>7672721</v>
      </c>
      <c r="M341" s="1">
        <v>1000000</v>
      </c>
      <c r="N341" s="1">
        <v>4250489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6031010</v>
      </c>
      <c r="W341" s="1">
        <v>1900000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3033762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43064796</v>
      </c>
      <c r="AP341" s="1">
        <v>12681050</v>
      </c>
      <c r="AQ341" s="1">
        <v>30383746</v>
      </c>
      <c r="AR341" s="1">
        <v>8006207</v>
      </c>
      <c r="AS341" s="1">
        <v>1200931</v>
      </c>
      <c r="AT341" s="1">
        <f t="shared" si="35"/>
        <v>52271934</v>
      </c>
    </row>
    <row r="342" spans="1:46" x14ac:dyDescent="0.2">
      <c r="A342" s="1" t="str">
        <f>"00392"</f>
        <v>00392</v>
      </c>
      <c r="B342" s="1" t="str">
        <f>"عبدالرضا"</f>
        <v>عبدالرضا</v>
      </c>
      <c r="C342" s="1" t="str">
        <f>"علقمي"</f>
        <v>علقمي</v>
      </c>
      <c r="D342" s="1" t="str">
        <f>"قراردادي کارگري"</f>
        <v>قراردادي کارگري</v>
      </c>
      <c r="E342" s="1" t="str">
        <f>"پروژه تعميرات نيروگاه بوشهر"</f>
        <v>پروژه تعميرات نيروگاه بوشهر</v>
      </c>
      <c r="F342" s="1">
        <v>7097034</v>
      </c>
      <c r="G342" s="1">
        <v>8184810</v>
      </c>
      <c r="H342" s="1">
        <v>0</v>
      </c>
      <c r="I342" s="1">
        <v>4542101</v>
      </c>
      <c r="J342" s="1">
        <v>0</v>
      </c>
      <c r="K342" s="1">
        <v>0</v>
      </c>
      <c r="L342" s="1">
        <v>7672721</v>
      </c>
      <c r="M342" s="1">
        <v>1000000</v>
      </c>
      <c r="N342" s="1">
        <v>3548517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5429979</v>
      </c>
      <c r="W342" s="1">
        <v>1900000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4550643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43925805</v>
      </c>
      <c r="AP342" s="1">
        <v>12748592</v>
      </c>
      <c r="AQ342" s="1">
        <v>31177213</v>
      </c>
      <c r="AR342" s="1">
        <v>7875032</v>
      </c>
      <c r="AS342" s="1">
        <v>1181255</v>
      </c>
      <c r="AT342" s="1">
        <f t="shared" si="35"/>
        <v>52982092</v>
      </c>
    </row>
    <row r="343" spans="1:46" x14ac:dyDescent="0.2">
      <c r="A343" s="1" t="str">
        <f>"00393"</f>
        <v>00393</v>
      </c>
      <c r="B343" s="1" t="str">
        <f>"زهرا"</f>
        <v>زهرا</v>
      </c>
      <c r="C343" s="1" t="str">
        <f>"فاضلي پور"</f>
        <v>فاضلي پور</v>
      </c>
      <c r="D343" s="1" t="str">
        <f>"قراردادي بهره بردار"</f>
        <v>قراردادي بهره بردار</v>
      </c>
      <c r="E343" s="1" t="str">
        <f>"پروژه بهره برداري نيروگاه بوشهر"</f>
        <v>پروژه بهره برداري نيروگاه بوشهر</v>
      </c>
      <c r="F343" s="1">
        <v>23232020</v>
      </c>
      <c r="G343" s="1">
        <v>2117876</v>
      </c>
      <c r="H343" s="1">
        <v>0</v>
      </c>
      <c r="I343" s="1">
        <v>17981630</v>
      </c>
      <c r="J343" s="1">
        <v>0</v>
      </c>
      <c r="K343" s="1">
        <v>4125000</v>
      </c>
      <c r="L343" s="1">
        <v>0</v>
      </c>
      <c r="M343" s="1">
        <v>1000000</v>
      </c>
      <c r="N343" s="1">
        <v>3459501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1606000</v>
      </c>
      <c r="U343" s="1">
        <v>0</v>
      </c>
      <c r="V343" s="1">
        <v>8055527</v>
      </c>
      <c r="W343" s="1">
        <v>1900000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2471072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4826915</v>
      </c>
      <c r="AM343" s="1">
        <v>0</v>
      </c>
      <c r="AN343" s="1">
        <v>0</v>
      </c>
      <c r="AO343" s="1">
        <v>70775541</v>
      </c>
      <c r="AP343" s="1">
        <v>42052103</v>
      </c>
      <c r="AQ343" s="1">
        <v>28723438</v>
      </c>
      <c r="AR343" s="1">
        <v>14155108</v>
      </c>
      <c r="AS343" s="1">
        <v>2123266</v>
      </c>
      <c r="AT343" s="1">
        <f t="shared" si="35"/>
        <v>87053915</v>
      </c>
    </row>
    <row r="344" spans="1:46" x14ac:dyDescent="0.2">
      <c r="A344" s="1" t="str">
        <f>"00397"</f>
        <v>00397</v>
      </c>
      <c r="B344" s="1" t="str">
        <f>"جواد"</f>
        <v>جواد</v>
      </c>
      <c r="C344" s="1" t="str">
        <f>"بيات"</f>
        <v>بيات</v>
      </c>
      <c r="D344" s="1" t="str">
        <f>"قراردادي کارگري"</f>
        <v>قراردادي کارگري</v>
      </c>
      <c r="E344" s="1" t="str">
        <f>"پروژه تعميرات نيروگاه بوشهر"</f>
        <v>پروژه تعميرات نيروگاه بوشهر</v>
      </c>
      <c r="F344" s="1">
        <v>8434586</v>
      </c>
      <c r="G344" s="1">
        <v>2245756</v>
      </c>
      <c r="H344" s="1">
        <v>0</v>
      </c>
      <c r="I344" s="1">
        <v>6157248</v>
      </c>
      <c r="J344" s="1">
        <v>0</v>
      </c>
      <c r="K344" s="1">
        <v>0</v>
      </c>
      <c r="L344" s="1">
        <v>7628143</v>
      </c>
      <c r="M344" s="1">
        <v>1000000</v>
      </c>
      <c r="N344" s="1">
        <v>4439256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13122736</v>
      </c>
      <c r="W344" s="1">
        <v>1900000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3998885</v>
      </c>
      <c r="AE344" s="1">
        <v>0</v>
      </c>
      <c r="AF344" s="1">
        <v>3033762</v>
      </c>
      <c r="AG344" s="1">
        <v>0</v>
      </c>
      <c r="AH344" s="1">
        <v>0</v>
      </c>
      <c r="AI344" s="1">
        <v>0</v>
      </c>
      <c r="AJ344" s="1">
        <v>3593210</v>
      </c>
      <c r="AK344" s="1">
        <v>0</v>
      </c>
      <c r="AL344" s="1">
        <v>0</v>
      </c>
      <c r="AM344" s="1">
        <v>0</v>
      </c>
      <c r="AN344" s="1">
        <v>0</v>
      </c>
      <c r="AO344" s="1">
        <v>55553582</v>
      </c>
      <c r="AP344" s="1">
        <v>8459313</v>
      </c>
      <c r="AQ344" s="1">
        <v>47094269</v>
      </c>
      <c r="AR344" s="1">
        <v>10503964</v>
      </c>
      <c r="AS344" s="1">
        <v>1575595</v>
      </c>
      <c r="AT344" s="1">
        <f t="shared" si="35"/>
        <v>67633141</v>
      </c>
    </row>
    <row r="345" spans="1:46" x14ac:dyDescent="0.2">
      <c r="A345" s="1" t="str">
        <f>"00398"</f>
        <v>00398</v>
      </c>
      <c r="B345" s="1" t="str">
        <f>"علي اصغر"</f>
        <v>علي اصغر</v>
      </c>
      <c r="C345" s="1" t="str">
        <f>"عباسي بيلندي"</f>
        <v>عباسي بيلندي</v>
      </c>
      <c r="D345" s="1" t="str">
        <f>"قراردادي بهره بردار"</f>
        <v>قراردادي بهره بردار</v>
      </c>
      <c r="E345" s="1" t="str">
        <f>"پروژه بهره برداري نيروگاه بوشهر"</f>
        <v>پروژه بهره برداري نيروگاه بوشهر</v>
      </c>
      <c r="F345" s="1">
        <v>0</v>
      </c>
      <c r="G345" s="1">
        <v>2088201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11376927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3033762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16498890</v>
      </c>
      <c r="AP345" s="1">
        <v>16498890</v>
      </c>
      <c r="AQ345" s="1">
        <v>0</v>
      </c>
      <c r="AR345" s="1">
        <v>0</v>
      </c>
      <c r="AS345" s="1">
        <v>0</v>
      </c>
      <c r="AT345" s="1">
        <f t="shared" si="35"/>
        <v>16498890</v>
      </c>
    </row>
    <row r="346" spans="1:46" x14ac:dyDescent="0.2">
      <c r="A346" s="1" t="str">
        <f>"00399"</f>
        <v>00399</v>
      </c>
      <c r="B346" s="1" t="str">
        <f>"سيده سلمي"</f>
        <v>سيده سلمي</v>
      </c>
      <c r="C346" s="1" t="str">
        <f>"محمدي يوسف نژاد"</f>
        <v>محمدي يوسف نژاد</v>
      </c>
      <c r="D346" s="1" t="str">
        <f>"قراردادي بهره بردار"</f>
        <v>قراردادي بهره بردار</v>
      </c>
      <c r="E346" s="1" t="str">
        <f>"پروژه بهره برداري نيروگاه بوشهر"</f>
        <v>پروژه بهره برداري نيروگاه بوشهر</v>
      </c>
      <c r="F346" s="1">
        <v>20379772</v>
      </c>
      <c r="G346" s="1">
        <v>7250303</v>
      </c>
      <c r="H346" s="1">
        <v>0</v>
      </c>
      <c r="I346" s="1">
        <v>15616815</v>
      </c>
      <c r="J346" s="1">
        <v>0</v>
      </c>
      <c r="K346" s="1">
        <v>4125000</v>
      </c>
      <c r="L346" s="1">
        <v>0</v>
      </c>
      <c r="M346" s="1">
        <v>1000000</v>
      </c>
      <c r="N346" s="1">
        <v>2705035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1387000</v>
      </c>
      <c r="U346" s="1">
        <v>0</v>
      </c>
      <c r="V346" s="1">
        <v>4447929</v>
      </c>
      <c r="W346" s="1">
        <v>1900000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1932168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3845496</v>
      </c>
      <c r="AM346" s="1">
        <v>0</v>
      </c>
      <c r="AN346" s="1">
        <v>0</v>
      </c>
      <c r="AO346" s="1">
        <v>64589518</v>
      </c>
      <c r="AP346" s="1">
        <v>8606731</v>
      </c>
      <c r="AQ346" s="1">
        <v>55982787</v>
      </c>
      <c r="AR346" s="1">
        <v>12917904</v>
      </c>
      <c r="AS346" s="1">
        <v>1937686</v>
      </c>
      <c r="AT346" s="1">
        <f t="shared" si="35"/>
        <v>79445108</v>
      </c>
    </row>
    <row r="347" spans="1:46" x14ac:dyDescent="0.2">
      <c r="A347" s="1" t="str">
        <f>"00400"</f>
        <v>00400</v>
      </c>
      <c r="B347" s="1" t="str">
        <f>"محمد"</f>
        <v>محمد</v>
      </c>
      <c r="C347" s="1" t="str">
        <f>"شهمرادي"</f>
        <v>شهمرادي</v>
      </c>
      <c r="D347" s="1" t="str">
        <f>"قراردادي کارگري"</f>
        <v>قراردادي کارگري</v>
      </c>
      <c r="E347" s="1" t="str">
        <f>"پروژه تعميرات نيروگاه بوشهر"</f>
        <v>پروژه تعميرات نيروگاه بوشهر</v>
      </c>
      <c r="F347" s="1">
        <v>6789719</v>
      </c>
      <c r="G347" s="1">
        <v>1320730</v>
      </c>
      <c r="H347" s="1">
        <v>0</v>
      </c>
      <c r="I347" s="1">
        <v>4820700</v>
      </c>
      <c r="J347" s="1">
        <v>0</v>
      </c>
      <c r="K347" s="1">
        <v>0</v>
      </c>
      <c r="L347" s="1">
        <v>7672721</v>
      </c>
      <c r="M347" s="1">
        <v>1000000</v>
      </c>
      <c r="N347" s="1">
        <v>3573535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8337703</v>
      </c>
      <c r="W347" s="1">
        <v>1900000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1516881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36931989</v>
      </c>
      <c r="AP347" s="1">
        <v>6510516</v>
      </c>
      <c r="AQ347" s="1">
        <v>30421473</v>
      </c>
      <c r="AR347" s="1">
        <v>7083022</v>
      </c>
      <c r="AS347" s="1">
        <v>1062453</v>
      </c>
      <c r="AT347" s="1">
        <f t="shared" si="35"/>
        <v>45077464</v>
      </c>
    </row>
    <row r="348" spans="1:46" x14ac:dyDescent="0.2">
      <c r="A348" s="1" t="str">
        <f>"00401"</f>
        <v>00401</v>
      </c>
      <c r="B348" s="1" t="str">
        <f>"عارف"</f>
        <v>عارف</v>
      </c>
      <c r="C348" s="1" t="str">
        <f>"افراسيابي"</f>
        <v>افراسيابي</v>
      </c>
      <c r="D348" s="1" t="str">
        <f>"قراردادي کارگري"</f>
        <v>قراردادي کارگري</v>
      </c>
      <c r="E348" s="1" t="str">
        <f>"پروژه تعميرات نيروگاه بوشهر"</f>
        <v>پروژه تعميرات نيروگاه بوشهر</v>
      </c>
      <c r="F348" s="1">
        <v>12210096</v>
      </c>
      <c r="G348" s="1">
        <v>0</v>
      </c>
      <c r="H348" s="1">
        <v>0</v>
      </c>
      <c r="I348" s="1">
        <v>10256480</v>
      </c>
      <c r="J348" s="1">
        <v>0</v>
      </c>
      <c r="K348" s="1">
        <v>0</v>
      </c>
      <c r="L348" s="1">
        <v>7462913</v>
      </c>
      <c r="M348" s="1">
        <v>1000000</v>
      </c>
      <c r="N348" s="1">
        <v>6301984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9228928</v>
      </c>
      <c r="W348" s="1">
        <v>1900000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1789320</v>
      </c>
      <c r="AD348" s="1">
        <v>0</v>
      </c>
      <c r="AE348" s="1">
        <v>0</v>
      </c>
      <c r="AF348" s="1">
        <v>6067524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56217245</v>
      </c>
      <c r="AP348" s="1">
        <v>6721109</v>
      </c>
      <c r="AQ348" s="1">
        <v>49496136</v>
      </c>
      <c r="AR348" s="1">
        <v>10029944</v>
      </c>
      <c r="AS348" s="1">
        <v>1504492</v>
      </c>
      <c r="AT348" s="1">
        <f t="shared" si="35"/>
        <v>67751681</v>
      </c>
    </row>
    <row r="349" spans="1:46" x14ac:dyDescent="0.2">
      <c r="A349" s="1" t="str">
        <f>"00402"</f>
        <v>00402</v>
      </c>
      <c r="B349" s="1" t="str">
        <f>"حسين"</f>
        <v>حسين</v>
      </c>
      <c r="C349" s="1" t="str">
        <f>"بازيار"</f>
        <v>بازيار</v>
      </c>
      <c r="D349" s="1" t="str">
        <f>"قراردادي بهره بردار"</f>
        <v>قراردادي بهره بردار</v>
      </c>
      <c r="E349" s="1" t="str">
        <f>"پروژه بهره برداري نيروگاه بوشهر"</f>
        <v>پروژه بهره برداري نيروگاه بوشهر</v>
      </c>
      <c r="F349" s="1">
        <v>20920867</v>
      </c>
      <c r="G349" s="1">
        <v>9167018</v>
      </c>
      <c r="H349" s="1">
        <v>0</v>
      </c>
      <c r="I349" s="1">
        <v>17315958</v>
      </c>
      <c r="J349" s="1">
        <v>0</v>
      </c>
      <c r="K349" s="1">
        <v>5500000</v>
      </c>
      <c r="L349" s="1">
        <v>0</v>
      </c>
      <c r="M349" s="1">
        <v>1000000</v>
      </c>
      <c r="N349" s="1">
        <v>3584478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1387000</v>
      </c>
      <c r="U349" s="1">
        <v>0</v>
      </c>
      <c r="V349" s="1">
        <v>17538195</v>
      </c>
      <c r="W349" s="1">
        <v>1900000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2560342</v>
      </c>
      <c r="AF349" s="1">
        <v>1516881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6453704</v>
      </c>
      <c r="AM349" s="1">
        <v>0</v>
      </c>
      <c r="AN349" s="1">
        <v>0</v>
      </c>
      <c r="AO349" s="1">
        <v>88844443</v>
      </c>
      <c r="AP349" s="1">
        <v>30765614</v>
      </c>
      <c r="AQ349" s="1">
        <v>58078829</v>
      </c>
      <c r="AR349" s="1">
        <v>17465512</v>
      </c>
      <c r="AS349" s="1">
        <v>2619827</v>
      </c>
      <c r="AT349" s="1">
        <f t="shared" si="35"/>
        <v>108929782</v>
      </c>
    </row>
    <row r="350" spans="1:46" x14ac:dyDescent="0.2">
      <c r="A350" s="1" t="str">
        <f>"00403"</f>
        <v>00403</v>
      </c>
      <c r="B350" s="1" t="str">
        <f>"سجاد"</f>
        <v>سجاد</v>
      </c>
      <c r="C350" s="1" t="str">
        <f>"راستي"</f>
        <v>راستي</v>
      </c>
      <c r="D350" s="1" t="str">
        <f>"قراردادي بهره بردار"</f>
        <v>قراردادي بهره بردار</v>
      </c>
      <c r="E350" s="1" t="str">
        <f>"پروژه بهره برداري نيروگاه بوشهر"</f>
        <v>پروژه بهره برداري نيروگاه بوشهر</v>
      </c>
      <c r="F350" s="1">
        <v>24057901</v>
      </c>
      <c r="G350" s="1">
        <v>13087414</v>
      </c>
      <c r="H350" s="1">
        <v>0</v>
      </c>
      <c r="I350" s="1">
        <v>20476076</v>
      </c>
      <c r="J350" s="1">
        <v>0</v>
      </c>
      <c r="K350" s="1">
        <v>0</v>
      </c>
      <c r="L350" s="1">
        <v>0</v>
      </c>
      <c r="M350" s="1">
        <v>1000000</v>
      </c>
      <c r="N350" s="1">
        <v>3748559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1606000</v>
      </c>
      <c r="U350" s="1">
        <v>0</v>
      </c>
      <c r="V350" s="1">
        <v>10458685</v>
      </c>
      <c r="W350" s="1">
        <v>1900000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2677542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4819576</v>
      </c>
      <c r="AM350" s="1">
        <v>0</v>
      </c>
      <c r="AN350" s="1">
        <v>0</v>
      </c>
      <c r="AO350" s="1">
        <v>83831753</v>
      </c>
      <c r="AP350" s="1">
        <v>35736361</v>
      </c>
      <c r="AQ350" s="1">
        <v>48095392</v>
      </c>
      <c r="AR350" s="1">
        <v>16766351</v>
      </c>
      <c r="AS350" s="1">
        <v>2514953</v>
      </c>
      <c r="AT350" s="1">
        <f t="shared" si="35"/>
        <v>103113057</v>
      </c>
    </row>
    <row r="351" spans="1:46" x14ac:dyDescent="0.2">
      <c r="A351" s="1" t="str">
        <f>"00407"</f>
        <v>00407</v>
      </c>
      <c r="B351" s="1" t="str">
        <f>"مهدي"</f>
        <v>مهدي</v>
      </c>
      <c r="C351" s="1" t="str">
        <f>"سليمي"</f>
        <v>سليمي</v>
      </c>
      <c r="D351" s="1" t="str">
        <f t="shared" ref="D351:D358" si="36">"قراردادي کارگري"</f>
        <v>قراردادي کارگري</v>
      </c>
      <c r="E351" s="1" t="str">
        <f t="shared" ref="E351:E375" si="37">"پروژه تعميرات نيروگاه بوشهر"</f>
        <v>پروژه تعميرات نيروگاه بوشهر</v>
      </c>
      <c r="F351" s="1">
        <v>14124444</v>
      </c>
      <c r="G351" s="1">
        <v>4739225</v>
      </c>
      <c r="H351" s="1">
        <v>0</v>
      </c>
      <c r="I351" s="1">
        <v>13276978</v>
      </c>
      <c r="J351" s="1">
        <v>0</v>
      </c>
      <c r="K351" s="1">
        <v>0</v>
      </c>
      <c r="L351" s="1">
        <v>7462913</v>
      </c>
      <c r="M351" s="1">
        <v>1000000</v>
      </c>
      <c r="N351" s="1">
        <v>8474665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4633567</v>
      </c>
      <c r="W351" s="1">
        <v>1900000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55611792</v>
      </c>
      <c r="AP351" s="1">
        <v>5880722</v>
      </c>
      <c r="AQ351" s="1">
        <v>49731070</v>
      </c>
      <c r="AR351" s="1">
        <v>11122358</v>
      </c>
      <c r="AS351" s="1">
        <v>1668354</v>
      </c>
      <c r="AT351" s="1">
        <f t="shared" si="35"/>
        <v>68402504</v>
      </c>
    </row>
    <row r="352" spans="1:46" x14ac:dyDescent="0.2">
      <c r="A352" s="1" t="str">
        <f>"00408"</f>
        <v>00408</v>
      </c>
      <c r="B352" s="1" t="str">
        <f>"ايرج"</f>
        <v>ايرج</v>
      </c>
      <c r="C352" s="1" t="str">
        <f>"ثوامري"</f>
        <v>ثوامري</v>
      </c>
      <c r="D352" s="1" t="str">
        <f t="shared" si="36"/>
        <v>قراردادي کارگري</v>
      </c>
      <c r="E352" s="1" t="str">
        <f t="shared" si="37"/>
        <v>پروژه تعميرات نيروگاه بوشهر</v>
      </c>
      <c r="F352" s="1">
        <v>7525581</v>
      </c>
      <c r="G352" s="1">
        <v>2391995</v>
      </c>
      <c r="H352" s="1">
        <v>0</v>
      </c>
      <c r="I352" s="1">
        <v>5794697</v>
      </c>
      <c r="J352" s="1">
        <v>0</v>
      </c>
      <c r="K352" s="1">
        <v>0</v>
      </c>
      <c r="L352" s="1">
        <v>7672721</v>
      </c>
      <c r="M352" s="1">
        <v>1000000</v>
      </c>
      <c r="N352" s="1">
        <v>3960831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8944159</v>
      </c>
      <c r="W352" s="1">
        <v>1900000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3743074</v>
      </c>
      <c r="AE352" s="1">
        <v>0</v>
      </c>
      <c r="AF352" s="1">
        <v>3033762</v>
      </c>
      <c r="AG352" s="1">
        <v>0</v>
      </c>
      <c r="AH352" s="1">
        <v>0</v>
      </c>
      <c r="AI352" s="1">
        <v>0</v>
      </c>
      <c r="AJ352" s="1">
        <v>4592631</v>
      </c>
      <c r="AK352" s="1">
        <v>0</v>
      </c>
      <c r="AL352" s="1">
        <v>0</v>
      </c>
      <c r="AM352" s="1">
        <v>0</v>
      </c>
      <c r="AN352" s="1">
        <v>0</v>
      </c>
      <c r="AO352" s="1">
        <v>50559451</v>
      </c>
      <c r="AP352" s="1">
        <v>11301179</v>
      </c>
      <c r="AQ352" s="1">
        <v>39258272</v>
      </c>
      <c r="AR352" s="1">
        <v>9505138</v>
      </c>
      <c r="AS352" s="1">
        <v>1425771</v>
      </c>
      <c r="AT352" s="1">
        <f t="shared" si="35"/>
        <v>61490360</v>
      </c>
    </row>
    <row r="353" spans="1:46" x14ac:dyDescent="0.2">
      <c r="A353" s="1" t="str">
        <f>"00409"</f>
        <v>00409</v>
      </c>
      <c r="B353" s="1" t="str">
        <f>"حسن"</f>
        <v>حسن</v>
      </c>
      <c r="C353" s="1" t="str">
        <f>"رستمي"</f>
        <v>رستمي</v>
      </c>
      <c r="D353" s="1" t="str">
        <f t="shared" si="36"/>
        <v>قراردادي کارگري</v>
      </c>
      <c r="E353" s="1" t="str">
        <f t="shared" si="37"/>
        <v>پروژه تعميرات نيروگاه بوشهر</v>
      </c>
      <c r="F353" s="1">
        <v>8930944</v>
      </c>
      <c r="G353" s="1">
        <v>2698267</v>
      </c>
      <c r="H353" s="1">
        <v>0</v>
      </c>
      <c r="I353" s="1">
        <v>7323374</v>
      </c>
      <c r="J353" s="1">
        <v>0</v>
      </c>
      <c r="K353" s="1">
        <v>0</v>
      </c>
      <c r="L353" s="1">
        <v>7462913</v>
      </c>
      <c r="M353" s="1">
        <v>1000000</v>
      </c>
      <c r="N353" s="1">
        <v>4763171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9757891</v>
      </c>
      <c r="W353" s="1">
        <v>1900000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43836560</v>
      </c>
      <c r="AP353" s="1">
        <v>4965657</v>
      </c>
      <c r="AQ353" s="1">
        <v>38870903</v>
      </c>
      <c r="AR353" s="1">
        <v>8767312</v>
      </c>
      <c r="AS353" s="1">
        <v>1315097</v>
      </c>
      <c r="AT353" s="1">
        <f t="shared" si="35"/>
        <v>53918969</v>
      </c>
    </row>
    <row r="354" spans="1:46" x14ac:dyDescent="0.2">
      <c r="A354" s="1" t="str">
        <f>"00411"</f>
        <v>00411</v>
      </c>
      <c r="B354" s="1" t="str">
        <f>"زاهد"</f>
        <v>زاهد</v>
      </c>
      <c r="C354" s="1" t="str">
        <f>"طاهري"</f>
        <v>طاهري</v>
      </c>
      <c r="D354" s="1" t="str">
        <f t="shared" si="36"/>
        <v>قراردادي کارگري</v>
      </c>
      <c r="E354" s="1" t="str">
        <f t="shared" si="37"/>
        <v>پروژه تعميرات نيروگاه بوشهر</v>
      </c>
      <c r="F354" s="1">
        <v>9380410</v>
      </c>
      <c r="G354" s="1">
        <v>3075992</v>
      </c>
      <c r="H354" s="1">
        <v>0</v>
      </c>
      <c r="I354" s="1">
        <v>7316720</v>
      </c>
      <c r="J354" s="1">
        <v>0</v>
      </c>
      <c r="K354" s="1">
        <v>0</v>
      </c>
      <c r="L354" s="1">
        <v>7628143</v>
      </c>
      <c r="M354" s="1">
        <v>1000000</v>
      </c>
      <c r="N354" s="1">
        <v>4969755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10333342</v>
      </c>
      <c r="W354" s="1">
        <v>1900000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3033762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48638124</v>
      </c>
      <c r="AP354" s="1">
        <v>15774832</v>
      </c>
      <c r="AQ354" s="1">
        <v>32863292</v>
      </c>
      <c r="AR354" s="1">
        <v>9120872</v>
      </c>
      <c r="AS354" s="1">
        <v>1368131</v>
      </c>
      <c r="AT354" s="1">
        <f t="shared" si="35"/>
        <v>59127127</v>
      </c>
    </row>
    <row r="355" spans="1:46" x14ac:dyDescent="0.2">
      <c r="A355" s="1" t="str">
        <f>"00412"</f>
        <v>00412</v>
      </c>
      <c r="B355" s="1" t="str">
        <f>"خسرو"</f>
        <v>خسرو</v>
      </c>
      <c r="C355" s="1" t="str">
        <f>"نيکنام"</f>
        <v>نيکنام</v>
      </c>
      <c r="D355" s="1" t="str">
        <f t="shared" si="36"/>
        <v>قراردادي کارگري</v>
      </c>
      <c r="E355" s="1" t="str">
        <f t="shared" si="37"/>
        <v>پروژه تعميرات نيروگاه بوشهر</v>
      </c>
      <c r="F355" s="1">
        <v>7979799</v>
      </c>
      <c r="G355" s="1">
        <v>2240342</v>
      </c>
      <c r="H355" s="1">
        <v>0</v>
      </c>
      <c r="I355" s="1">
        <v>6383839</v>
      </c>
      <c r="J355" s="1">
        <v>0</v>
      </c>
      <c r="K355" s="1">
        <v>0</v>
      </c>
      <c r="L355" s="1">
        <v>7628143</v>
      </c>
      <c r="M355" s="1">
        <v>1000000</v>
      </c>
      <c r="N355" s="1">
        <v>4227708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9057009</v>
      </c>
      <c r="W355" s="1">
        <v>1900000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3033762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43450602</v>
      </c>
      <c r="AP355" s="1">
        <v>14284619</v>
      </c>
      <c r="AQ355" s="1">
        <v>29165983</v>
      </c>
      <c r="AR355" s="1">
        <v>8083368</v>
      </c>
      <c r="AS355" s="1">
        <v>1212505</v>
      </c>
      <c r="AT355" s="1">
        <f t="shared" si="35"/>
        <v>52746475</v>
      </c>
    </row>
    <row r="356" spans="1:46" x14ac:dyDescent="0.2">
      <c r="A356" s="1" t="str">
        <f>"00413"</f>
        <v>00413</v>
      </c>
      <c r="B356" s="1" t="str">
        <f>"سعيد"</f>
        <v>سعيد</v>
      </c>
      <c r="C356" s="1" t="str">
        <f>"نيک راد"</f>
        <v>نيک راد</v>
      </c>
      <c r="D356" s="1" t="str">
        <f t="shared" si="36"/>
        <v>قراردادي کارگري</v>
      </c>
      <c r="E356" s="1" t="str">
        <f t="shared" si="37"/>
        <v>پروژه تعميرات نيروگاه بوشهر</v>
      </c>
      <c r="F356" s="1">
        <v>10487652</v>
      </c>
      <c r="G356" s="1">
        <v>1822149</v>
      </c>
      <c r="H356" s="1">
        <v>0</v>
      </c>
      <c r="I356" s="1">
        <v>8599874</v>
      </c>
      <c r="J356" s="1">
        <v>0</v>
      </c>
      <c r="K356" s="1">
        <v>0</v>
      </c>
      <c r="L356" s="1">
        <v>7462913</v>
      </c>
      <c r="M356" s="1">
        <v>1000000</v>
      </c>
      <c r="N356" s="1">
        <v>5593415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10893561</v>
      </c>
      <c r="W356" s="1">
        <v>1900000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47759564</v>
      </c>
      <c r="AP356" s="1">
        <v>5710809</v>
      </c>
      <c r="AQ356" s="1">
        <v>42048755</v>
      </c>
      <c r="AR356" s="1">
        <v>9551913</v>
      </c>
      <c r="AS356" s="1">
        <v>1432787</v>
      </c>
      <c r="AT356" s="1">
        <f t="shared" si="35"/>
        <v>58744264</v>
      </c>
    </row>
    <row r="357" spans="1:46" x14ac:dyDescent="0.2">
      <c r="A357" s="1" t="str">
        <f>"00414"</f>
        <v>00414</v>
      </c>
      <c r="B357" s="1" t="str">
        <f>"حسين"</f>
        <v>حسين</v>
      </c>
      <c r="C357" s="1" t="str">
        <f>"حيدري"</f>
        <v>حيدري</v>
      </c>
      <c r="D357" s="1" t="str">
        <f t="shared" si="36"/>
        <v>قراردادي کارگري</v>
      </c>
      <c r="E357" s="1" t="str">
        <f t="shared" si="37"/>
        <v>پروژه تعميرات نيروگاه بوشهر</v>
      </c>
      <c r="F357" s="1">
        <v>7612152</v>
      </c>
      <c r="G357" s="1">
        <v>444253</v>
      </c>
      <c r="H357" s="1">
        <v>0</v>
      </c>
      <c r="I357" s="1">
        <v>5785237</v>
      </c>
      <c r="J357" s="1">
        <v>0</v>
      </c>
      <c r="K357" s="1">
        <v>0</v>
      </c>
      <c r="L357" s="1">
        <v>7628143</v>
      </c>
      <c r="M357" s="1">
        <v>1000000</v>
      </c>
      <c r="N357" s="1">
        <v>4006397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6446577</v>
      </c>
      <c r="W357" s="1">
        <v>1900000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3033762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37856521</v>
      </c>
      <c r="AP357" s="1">
        <v>2795486</v>
      </c>
      <c r="AQ357" s="1">
        <v>35061035</v>
      </c>
      <c r="AR357" s="1">
        <v>6964552</v>
      </c>
      <c r="AS357" s="1">
        <v>1044683</v>
      </c>
      <c r="AT357" s="1">
        <f t="shared" si="35"/>
        <v>45865756</v>
      </c>
    </row>
    <row r="358" spans="1:46" x14ac:dyDescent="0.2">
      <c r="A358" s="1" t="str">
        <f>"00415"</f>
        <v>00415</v>
      </c>
      <c r="B358" s="1" t="str">
        <f>"صادق"</f>
        <v>صادق</v>
      </c>
      <c r="C358" s="1" t="str">
        <f>"سياوش پوري"</f>
        <v>سياوش پوري</v>
      </c>
      <c r="D358" s="1" t="str">
        <f t="shared" si="36"/>
        <v>قراردادي کارگري</v>
      </c>
      <c r="E358" s="1" t="str">
        <f t="shared" si="37"/>
        <v>پروژه تعميرات نيروگاه بوشهر</v>
      </c>
      <c r="F358" s="1">
        <v>8870554</v>
      </c>
      <c r="G358" s="1">
        <v>467771</v>
      </c>
      <c r="H358" s="1">
        <v>0</v>
      </c>
      <c r="I358" s="1">
        <v>5322332</v>
      </c>
      <c r="J358" s="1">
        <v>0</v>
      </c>
      <c r="K358" s="1">
        <v>0</v>
      </c>
      <c r="L358" s="1">
        <v>7462913</v>
      </c>
      <c r="M358" s="1">
        <v>1000000</v>
      </c>
      <c r="N358" s="1">
        <v>4730962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6758188</v>
      </c>
      <c r="W358" s="1">
        <v>1900000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36512720</v>
      </c>
      <c r="AP358" s="1">
        <v>2767573</v>
      </c>
      <c r="AQ358" s="1">
        <v>33745147</v>
      </c>
      <c r="AR358" s="1">
        <v>7302544</v>
      </c>
      <c r="AS358" s="1">
        <v>1095382</v>
      </c>
      <c r="AT358" s="1">
        <f t="shared" si="35"/>
        <v>44910646</v>
      </c>
    </row>
    <row r="359" spans="1:46" x14ac:dyDescent="0.2">
      <c r="A359" s="1" t="str">
        <f>"00416"</f>
        <v>00416</v>
      </c>
      <c r="B359" s="1" t="str">
        <f>"سيد محسن"</f>
        <v>سيد محسن</v>
      </c>
      <c r="C359" s="1" t="str">
        <f>"تهامي پورزرندي"</f>
        <v>تهامي پورزرندي</v>
      </c>
      <c r="D359" s="1" t="str">
        <f>"قراردادي بهره بردار"</f>
        <v>قراردادي بهره بردار</v>
      </c>
      <c r="E359" s="1" t="str">
        <f t="shared" si="37"/>
        <v>پروژه تعميرات نيروگاه بوشهر</v>
      </c>
      <c r="F359" s="1">
        <v>26938628</v>
      </c>
      <c r="G359" s="1">
        <v>17746769</v>
      </c>
      <c r="H359" s="1">
        <v>0</v>
      </c>
      <c r="I359" s="1">
        <v>23393882</v>
      </c>
      <c r="J359" s="1">
        <v>0</v>
      </c>
      <c r="K359" s="1">
        <v>5000000</v>
      </c>
      <c r="L359" s="1">
        <v>0</v>
      </c>
      <c r="M359" s="1">
        <v>1000000</v>
      </c>
      <c r="N359" s="1">
        <v>4052186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1387000</v>
      </c>
      <c r="U359" s="1">
        <v>0</v>
      </c>
      <c r="V359" s="1">
        <v>19838191</v>
      </c>
      <c r="W359" s="1">
        <v>1900000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2894418</v>
      </c>
      <c r="AF359" s="1">
        <v>4550643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6715051</v>
      </c>
      <c r="AM359" s="1">
        <v>0</v>
      </c>
      <c r="AN359" s="1">
        <v>0</v>
      </c>
      <c r="AO359" s="1">
        <v>115416768</v>
      </c>
      <c r="AP359" s="1">
        <v>45615991</v>
      </c>
      <c r="AQ359" s="1">
        <v>69800777</v>
      </c>
      <c r="AR359" s="1">
        <v>22173225</v>
      </c>
      <c r="AS359" s="1">
        <v>3325984</v>
      </c>
      <c r="AT359" s="1">
        <f t="shared" si="35"/>
        <v>140915977</v>
      </c>
    </row>
    <row r="360" spans="1:46" x14ac:dyDescent="0.2">
      <c r="A360" s="1" t="str">
        <f>"00417"</f>
        <v>00417</v>
      </c>
      <c r="B360" s="1" t="str">
        <f>"حسن"</f>
        <v>حسن</v>
      </c>
      <c r="C360" s="1" t="str">
        <f>"لک"</f>
        <v>لک</v>
      </c>
      <c r="D360" s="1" t="str">
        <f t="shared" ref="D360:D375" si="38">"قراردادي کارگري"</f>
        <v>قراردادي کارگري</v>
      </c>
      <c r="E360" s="1" t="str">
        <f t="shared" si="37"/>
        <v>پروژه تعميرات نيروگاه بوشهر</v>
      </c>
      <c r="F360" s="1">
        <v>10357153</v>
      </c>
      <c r="G360" s="1">
        <v>0</v>
      </c>
      <c r="H360" s="1">
        <v>0</v>
      </c>
      <c r="I360" s="1">
        <v>7457150</v>
      </c>
      <c r="J360" s="1">
        <v>0</v>
      </c>
      <c r="K360" s="1">
        <v>0</v>
      </c>
      <c r="L360" s="1">
        <v>7628143</v>
      </c>
      <c r="M360" s="1">
        <v>1000000</v>
      </c>
      <c r="N360" s="1">
        <v>5487234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6276374</v>
      </c>
      <c r="W360" s="1">
        <v>1900000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1516881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41622935</v>
      </c>
      <c r="AP360" s="1">
        <v>3504975</v>
      </c>
      <c r="AQ360" s="1">
        <v>38117960</v>
      </c>
      <c r="AR360" s="1">
        <v>8021211</v>
      </c>
      <c r="AS360" s="1">
        <v>1203182</v>
      </c>
      <c r="AT360" s="1">
        <f t="shared" si="35"/>
        <v>50847328</v>
      </c>
    </row>
    <row r="361" spans="1:46" x14ac:dyDescent="0.2">
      <c r="A361" s="1" t="str">
        <f>"00418"</f>
        <v>00418</v>
      </c>
      <c r="B361" s="1" t="str">
        <f>"اسماعيل"</f>
        <v>اسماعيل</v>
      </c>
      <c r="C361" s="1" t="str">
        <f>"محمدي نژاد"</f>
        <v>محمدي نژاد</v>
      </c>
      <c r="D361" s="1" t="str">
        <f t="shared" si="38"/>
        <v>قراردادي کارگري</v>
      </c>
      <c r="E361" s="1" t="str">
        <f t="shared" si="37"/>
        <v>پروژه تعميرات نيروگاه بوشهر</v>
      </c>
      <c r="F361" s="1">
        <v>8582996</v>
      </c>
      <c r="G361" s="1">
        <v>455722</v>
      </c>
      <c r="H361" s="1">
        <v>0</v>
      </c>
      <c r="I361" s="1">
        <v>6179757</v>
      </c>
      <c r="J361" s="1">
        <v>0</v>
      </c>
      <c r="K361" s="1">
        <v>0</v>
      </c>
      <c r="L361" s="1">
        <v>7628143</v>
      </c>
      <c r="M361" s="1">
        <v>1000000</v>
      </c>
      <c r="N361" s="1">
        <v>4517367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5382888</v>
      </c>
      <c r="W361" s="1">
        <v>1900000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1516881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37163754</v>
      </c>
      <c r="AP361" s="1">
        <v>2778128</v>
      </c>
      <c r="AQ361" s="1">
        <v>34385626</v>
      </c>
      <c r="AR361" s="1">
        <v>7129375</v>
      </c>
      <c r="AS361" s="1">
        <v>1069406</v>
      </c>
      <c r="AT361" s="1">
        <f t="shared" si="35"/>
        <v>45362535</v>
      </c>
    </row>
    <row r="362" spans="1:46" x14ac:dyDescent="0.2">
      <c r="A362" s="1" t="str">
        <f>"00419"</f>
        <v>00419</v>
      </c>
      <c r="B362" s="1" t="str">
        <f>"ابوذر"</f>
        <v>ابوذر</v>
      </c>
      <c r="C362" s="1" t="str">
        <f>"خاقاني"</f>
        <v>خاقاني</v>
      </c>
      <c r="D362" s="1" t="str">
        <f t="shared" si="38"/>
        <v>قراردادي کارگري</v>
      </c>
      <c r="E362" s="1" t="str">
        <f t="shared" si="37"/>
        <v>پروژه تعميرات نيروگاه بوشهر</v>
      </c>
      <c r="F362" s="1">
        <v>9490985</v>
      </c>
      <c r="G362" s="1">
        <v>0</v>
      </c>
      <c r="H362" s="1">
        <v>0</v>
      </c>
      <c r="I362" s="1">
        <v>6738599</v>
      </c>
      <c r="J362" s="1">
        <v>0</v>
      </c>
      <c r="K362" s="1">
        <v>0</v>
      </c>
      <c r="L362" s="1">
        <v>7628143</v>
      </c>
      <c r="M362" s="1">
        <v>1000000</v>
      </c>
      <c r="N362" s="1">
        <v>5028335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9883646</v>
      </c>
      <c r="W362" s="1">
        <v>1900000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3033762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44703470</v>
      </c>
      <c r="AP362" s="1">
        <v>6199021</v>
      </c>
      <c r="AQ362" s="1">
        <v>38504449</v>
      </c>
      <c r="AR362" s="1">
        <v>8333942</v>
      </c>
      <c r="AS362" s="1">
        <v>1250091</v>
      </c>
      <c r="AT362" s="1">
        <f t="shared" si="35"/>
        <v>54287503</v>
      </c>
    </row>
    <row r="363" spans="1:46" x14ac:dyDescent="0.2">
      <c r="A363" s="1" t="str">
        <f>"00420"</f>
        <v>00420</v>
      </c>
      <c r="B363" s="1" t="str">
        <f>"صادق"</f>
        <v>صادق</v>
      </c>
      <c r="C363" s="1" t="str">
        <f>"عادلي زاده"</f>
        <v>عادلي زاده</v>
      </c>
      <c r="D363" s="1" t="str">
        <f t="shared" si="38"/>
        <v>قراردادي کارگري</v>
      </c>
      <c r="E363" s="1" t="str">
        <f t="shared" si="37"/>
        <v>پروژه تعميرات نيروگاه بوشهر</v>
      </c>
      <c r="F363" s="1">
        <v>9140833</v>
      </c>
      <c r="G363" s="1">
        <v>6010623</v>
      </c>
      <c r="H363" s="1">
        <v>0</v>
      </c>
      <c r="I363" s="1">
        <v>6672808</v>
      </c>
      <c r="J363" s="1">
        <v>0</v>
      </c>
      <c r="K363" s="1">
        <v>0</v>
      </c>
      <c r="L363" s="1">
        <v>7628143</v>
      </c>
      <c r="M363" s="1">
        <v>1000000</v>
      </c>
      <c r="N363" s="1">
        <v>4842825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5787036</v>
      </c>
      <c r="W363" s="1">
        <v>1900000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3033762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46016030</v>
      </c>
      <c r="AP363" s="1">
        <v>4225486</v>
      </c>
      <c r="AQ363" s="1">
        <v>41790544</v>
      </c>
      <c r="AR363" s="1">
        <v>8596454</v>
      </c>
      <c r="AS363" s="1">
        <v>1289468</v>
      </c>
      <c r="AT363" s="1">
        <f t="shared" si="35"/>
        <v>55901952</v>
      </c>
    </row>
    <row r="364" spans="1:46" x14ac:dyDescent="0.2">
      <c r="A364" s="1" t="str">
        <f>"00421"</f>
        <v>00421</v>
      </c>
      <c r="B364" s="1" t="str">
        <f>"محمود"</f>
        <v>محمود</v>
      </c>
      <c r="C364" s="1" t="str">
        <f>"سليماني"</f>
        <v>سليماني</v>
      </c>
      <c r="D364" s="1" t="str">
        <f t="shared" si="38"/>
        <v>قراردادي کارگري</v>
      </c>
      <c r="E364" s="1" t="str">
        <f t="shared" si="37"/>
        <v>پروژه تعميرات نيروگاه بوشهر</v>
      </c>
      <c r="F364" s="1">
        <v>11235606</v>
      </c>
      <c r="G364" s="1">
        <v>0</v>
      </c>
      <c r="H364" s="1">
        <v>0</v>
      </c>
      <c r="I364" s="1">
        <v>7977281</v>
      </c>
      <c r="J364" s="1">
        <v>0</v>
      </c>
      <c r="K364" s="1">
        <v>0</v>
      </c>
      <c r="L364" s="1">
        <v>7628143</v>
      </c>
      <c r="M364" s="1">
        <v>1000000</v>
      </c>
      <c r="N364" s="1">
        <v>5952639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12437141</v>
      </c>
      <c r="W364" s="1">
        <v>1900000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3033762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51164572</v>
      </c>
      <c r="AP364" s="1">
        <v>5164699</v>
      </c>
      <c r="AQ364" s="1">
        <v>45999873</v>
      </c>
      <c r="AR364" s="1">
        <v>9626162</v>
      </c>
      <c r="AS364" s="1">
        <v>1443924</v>
      </c>
      <c r="AT364" s="1">
        <f t="shared" si="35"/>
        <v>62234658</v>
      </c>
    </row>
    <row r="365" spans="1:46" x14ac:dyDescent="0.2">
      <c r="A365" s="1" t="str">
        <f>"00422"</f>
        <v>00422</v>
      </c>
      <c r="B365" s="1" t="str">
        <f>"حسين"</f>
        <v>حسين</v>
      </c>
      <c r="C365" s="1" t="str">
        <f>"علوي راد"</f>
        <v>علوي راد</v>
      </c>
      <c r="D365" s="1" t="str">
        <f t="shared" si="38"/>
        <v>قراردادي کارگري</v>
      </c>
      <c r="E365" s="1" t="str">
        <f t="shared" si="37"/>
        <v>پروژه تعميرات نيروگاه بوشهر</v>
      </c>
      <c r="F365" s="1">
        <v>6610391</v>
      </c>
      <c r="G365" s="1">
        <v>10063966</v>
      </c>
      <c r="H365" s="1">
        <v>0</v>
      </c>
      <c r="I365" s="1">
        <v>5023897</v>
      </c>
      <c r="J365" s="1">
        <v>0</v>
      </c>
      <c r="K365" s="1">
        <v>0</v>
      </c>
      <c r="L365" s="1">
        <v>7672721</v>
      </c>
      <c r="M365" s="1">
        <v>1000000</v>
      </c>
      <c r="N365" s="1">
        <v>3479153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4640909</v>
      </c>
      <c r="W365" s="1">
        <v>1900000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3033762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43424799</v>
      </c>
      <c r="AP365" s="1">
        <v>3703116</v>
      </c>
      <c r="AQ365" s="1">
        <v>39721683</v>
      </c>
      <c r="AR365" s="1">
        <v>8078207</v>
      </c>
      <c r="AS365" s="1">
        <v>1211731</v>
      </c>
      <c r="AT365" s="1">
        <f t="shared" si="35"/>
        <v>52714737</v>
      </c>
    </row>
    <row r="366" spans="1:46" x14ac:dyDescent="0.2">
      <c r="A366" s="1" t="str">
        <f>"00423"</f>
        <v>00423</v>
      </c>
      <c r="B366" s="1" t="str">
        <f>"عليرضا"</f>
        <v>عليرضا</v>
      </c>
      <c r="C366" s="1" t="str">
        <f>"احمدي"</f>
        <v>احمدي</v>
      </c>
      <c r="D366" s="1" t="str">
        <f t="shared" si="38"/>
        <v>قراردادي کارگري</v>
      </c>
      <c r="E366" s="1" t="str">
        <f t="shared" si="37"/>
        <v>پروژه تعميرات نيروگاه بوشهر</v>
      </c>
      <c r="F366" s="1">
        <v>8532671</v>
      </c>
      <c r="G366" s="1">
        <v>4578659</v>
      </c>
      <c r="H366" s="1">
        <v>0</v>
      </c>
      <c r="I366" s="1">
        <v>6228851</v>
      </c>
      <c r="J366" s="1">
        <v>0</v>
      </c>
      <c r="K366" s="1">
        <v>0</v>
      </c>
      <c r="L366" s="1">
        <v>7628143</v>
      </c>
      <c r="M366" s="1">
        <v>1000000</v>
      </c>
      <c r="N366" s="1">
        <v>4520620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5532786</v>
      </c>
      <c r="W366" s="1">
        <v>1900000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3033762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42955492</v>
      </c>
      <c r="AP366" s="1">
        <v>3726618</v>
      </c>
      <c r="AQ366" s="1">
        <v>39228874</v>
      </c>
      <c r="AR366" s="1">
        <v>7984346</v>
      </c>
      <c r="AS366" s="1">
        <v>1197652</v>
      </c>
      <c r="AT366" s="1">
        <f t="shared" si="35"/>
        <v>52137490</v>
      </c>
    </row>
    <row r="367" spans="1:46" x14ac:dyDescent="0.2">
      <c r="A367" s="1" t="str">
        <f>"00424"</f>
        <v>00424</v>
      </c>
      <c r="B367" s="1" t="str">
        <f>"سيد محمد"</f>
        <v>سيد محمد</v>
      </c>
      <c r="C367" s="1" t="str">
        <f>"پور قنبري"</f>
        <v>پور قنبري</v>
      </c>
      <c r="D367" s="1" t="str">
        <f t="shared" si="38"/>
        <v>قراردادي کارگري</v>
      </c>
      <c r="E367" s="1" t="str">
        <f t="shared" si="37"/>
        <v>پروژه تعميرات نيروگاه بوشهر</v>
      </c>
      <c r="F367" s="1">
        <v>9856916</v>
      </c>
      <c r="G367" s="1">
        <v>10908665</v>
      </c>
      <c r="H367" s="1">
        <v>0</v>
      </c>
      <c r="I367" s="1">
        <v>7294118</v>
      </c>
      <c r="J367" s="1">
        <v>0</v>
      </c>
      <c r="K367" s="1">
        <v>0</v>
      </c>
      <c r="L367" s="1">
        <v>7462913</v>
      </c>
      <c r="M367" s="1">
        <v>1000000</v>
      </c>
      <c r="N367" s="1">
        <v>5257021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6080513</v>
      </c>
      <c r="W367" s="1">
        <v>1900000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1516881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51277027</v>
      </c>
      <c r="AP367" s="1">
        <v>17199758</v>
      </c>
      <c r="AQ367" s="1">
        <v>34077269</v>
      </c>
      <c r="AR367" s="1">
        <v>9952029</v>
      </c>
      <c r="AS367" s="1">
        <v>1492804</v>
      </c>
      <c r="AT367" s="1">
        <f t="shared" si="35"/>
        <v>62721860</v>
      </c>
    </row>
    <row r="368" spans="1:46" x14ac:dyDescent="0.2">
      <c r="A368" s="1" t="str">
        <f>"00425"</f>
        <v>00425</v>
      </c>
      <c r="B368" s="1" t="str">
        <f>"عليرضا"</f>
        <v>عليرضا</v>
      </c>
      <c r="C368" s="1" t="str">
        <f>"اميري منش"</f>
        <v>اميري منش</v>
      </c>
      <c r="D368" s="1" t="str">
        <f t="shared" si="38"/>
        <v>قراردادي کارگري</v>
      </c>
      <c r="E368" s="1" t="str">
        <f t="shared" si="37"/>
        <v>پروژه تعميرات نيروگاه بوشهر</v>
      </c>
      <c r="F368" s="1">
        <v>8323809</v>
      </c>
      <c r="G368" s="1">
        <v>2031141</v>
      </c>
      <c r="H368" s="1">
        <v>0</v>
      </c>
      <c r="I368" s="1">
        <v>6159618</v>
      </c>
      <c r="J368" s="1">
        <v>0</v>
      </c>
      <c r="K368" s="1">
        <v>0</v>
      </c>
      <c r="L368" s="1">
        <v>7628143</v>
      </c>
      <c r="M368" s="1">
        <v>1000000</v>
      </c>
      <c r="N368" s="1">
        <v>4409966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5460867</v>
      </c>
      <c r="W368" s="1">
        <v>1900000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3033762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39947306</v>
      </c>
      <c r="AP368" s="1">
        <v>6671339</v>
      </c>
      <c r="AQ368" s="1">
        <v>33275967</v>
      </c>
      <c r="AR368" s="1">
        <v>7382709</v>
      </c>
      <c r="AS368" s="1">
        <v>1107406</v>
      </c>
      <c r="AT368" s="1">
        <f t="shared" si="35"/>
        <v>48437421</v>
      </c>
    </row>
    <row r="369" spans="1:46" x14ac:dyDescent="0.2">
      <c r="A369" s="1" t="str">
        <f>"00426"</f>
        <v>00426</v>
      </c>
      <c r="B369" s="1" t="str">
        <f>"محسن"</f>
        <v>محسن</v>
      </c>
      <c r="C369" s="1" t="str">
        <f>"منفرد"</f>
        <v>منفرد</v>
      </c>
      <c r="D369" s="1" t="str">
        <f t="shared" si="38"/>
        <v>قراردادي کارگري</v>
      </c>
      <c r="E369" s="1" t="str">
        <f t="shared" si="37"/>
        <v>پروژه تعميرات نيروگاه بوشهر</v>
      </c>
      <c r="F369" s="1">
        <v>9581809</v>
      </c>
      <c r="G369" s="1">
        <v>16083969</v>
      </c>
      <c r="H369" s="1">
        <v>0</v>
      </c>
      <c r="I369" s="1">
        <v>8048719</v>
      </c>
      <c r="J369" s="1">
        <v>0</v>
      </c>
      <c r="K369" s="1">
        <v>0</v>
      </c>
      <c r="L369" s="1">
        <v>7462913</v>
      </c>
      <c r="M369" s="1">
        <v>1000000</v>
      </c>
      <c r="N369" s="1">
        <v>5110298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5976073</v>
      </c>
      <c r="W369" s="1">
        <v>1900000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1516881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56680662</v>
      </c>
      <c r="AP369" s="1">
        <v>7759385</v>
      </c>
      <c r="AQ369" s="1">
        <v>48921277</v>
      </c>
      <c r="AR369" s="1">
        <v>11032756</v>
      </c>
      <c r="AS369" s="1">
        <v>1654913</v>
      </c>
      <c r="AT369" s="1">
        <f t="shared" si="35"/>
        <v>69368331</v>
      </c>
    </row>
    <row r="370" spans="1:46" x14ac:dyDescent="0.2">
      <c r="A370" s="1" t="str">
        <f>"00427"</f>
        <v>00427</v>
      </c>
      <c r="B370" s="1" t="str">
        <f>"عبدالمجيد"</f>
        <v>عبدالمجيد</v>
      </c>
      <c r="C370" s="1" t="str">
        <f>"كازروني"</f>
        <v>كازروني</v>
      </c>
      <c r="D370" s="1" t="str">
        <f t="shared" si="38"/>
        <v>قراردادي کارگري</v>
      </c>
      <c r="E370" s="1" t="str">
        <f t="shared" si="37"/>
        <v>پروژه تعميرات نيروگاه بوشهر</v>
      </c>
      <c r="F370" s="1">
        <v>11876612</v>
      </c>
      <c r="G370" s="1">
        <v>14828831</v>
      </c>
      <c r="H370" s="1">
        <v>0</v>
      </c>
      <c r="I370" s="1">
        <v>8788692</v>
      </c>
      <c r="J370" s="1">
        <v>0</v>
      </c>
      <c r="K370" s="1">
        <v>0</v>
      </c>
      <c r="L370" s="1">
        <v>7462913</v>
      </c>
      <c r="M370" s="1">
        <v>1000000</v>
      </c>
      <c r="N370" s="1">
        <v>6334192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6742633</v>
      </c>
      <c r="W370" s="1">
        <v>1900000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4550643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63484516</v>
      </c>
      <c r="AP370" s="1">
        <v>9328217</v>
      </c>
      <c r="AQ370" s="1">
        <v>54156299</v>
      </c>
      <c r="AR370" s="1">
        <v>11786775</v>
      </c>
      <c r="AS370" s="1">
        <v>1768016</v>
      </c>
      <c r="AT370" s="1">
        <f t="shared" si="35"/>
        <v>77039307</v>
      </c>
    </row>
    <row r="371" spans="1:46" x14ac:dyDescent="0.2">
      <c r="A371" s="1" t="str">
        <f>"00428"</f>
        <v>00428</v>
      </c>
      <c r="B371" s="1" t="str">
        <f>"قاسم"</f>
        <v>قاسم</v>
      </c>
      <c r="C371" s="1" t="str">
        <f>"عليزاده"</f>
        <v>عليزاده</v>
      </c>
      <c r="D371" s="1" t="str">
        <f t="shared" si="38"/>
        <v>قراردادي کارگري</v>
      </c>
      <c r="E371" s="1" t="str">
        <f t="shared" si="37"/>
        <v>پروژه تعميرات نيروگاه بوشهر</v>
      </c>
      <c r="F371" s="1">
        <v>9046774</v>
      </c>
      <c r="G371" s="1">
        <v>1663392</v>
      </c>
      <c r="H371" s="1">
        <v>0</v>
      </c>
      <c r="I371" s="1">
        <v>6513678</v>
      </c>
      <c r="J371" s="1">
        <v>0</v>
      </c>
      <c r="K371" s="1">
        <v>0</v>
      </c>
      <c r="L371" s="1">
        <v>7628143</v>
      </c>
      <c r="M371" s="1">
        <v>1000000</v>
      </c>
      <c r="N371" s="1">
        <v>4761462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5725144</v>
      </c>
      <c r="W371" s="1">
        <v>1900000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1516881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39755474</v>
      </c>
      <c r="AP371" s="1">
        <v>9901459</v>
      </c>
      <c r="AQ371" s="1">
        <v>29854015</v>
      </c>
      <c r="AR371" s="1">
        <v>7647719</v>
      </c>
      <c r="AS371" s="1">
        <v>1147158</v>
      </c>
      <c r="AT371" s="1">
        <f t="shared" si="35"/>
        <v>48550351</v>
      </c>
    </row>
    <row r="372" spans="1:46" x14ac:dyDescent="0.2">
      <c r="A372" s="1" t="str">
        <f>"00429"</f>
        <v>00429</v>
      </c>
      <c r="B372" s="1" t="str">
        <f>"علي"</f>
        <v>علي</v>
      </c>
      <c r="C372" s="1" t="str">
        <f>"نجفي نيا"</f>
        <v>نجفي نيا</v>
      </c>
      <c r="D372" s="1" t="str">
        <f t="shared" si="38"/>
        <v>قراردادي کارگري</v>
      </c>
      <c r="E372" s="1" t="str">
        <f t="shared" si="37"/>
        <v>پروژه تعميرات نيروگاه بوشهر</v>
      </c>
      <c r="F372" s="1">
        <v>7810032</v>
      </c>
      <c r="G372" s="1">
        <v>1715177</v>
      </c>
      <c r="H372" s="1">
        <v>0</v>
      </c>
      <c r="I372" s="1">
        <v>5623222</v>
      </c>
      <c r="J372" s="1">
        <v>0</v>
      </c>
      <c r="K372" s="1">
        <v>0</v>
      </c>
      <c r="L372" s="1">
        <v>7628143</v>
      </c>
      <c r="M372" s="1">
        <v>1000000</v>
      </c>
      <c r="N372" s="1">
        <v>4110544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5211192</v>
      </c>
      <c r="W372" s="1">
        <v>1900000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4550643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39548953</v>
      </c>
      <c r="AP372" s="1">
        <v>12160707</v>
      </c>
      <c r="AQ372" s="1">
        <v>27388246</v>
      </c>
      <c r="AR372" s="1">
        <v>6999662</v>
      </c>
      <c r="AS372" s="1">
        <v>1049949</v>
      </c>
      <c r="AT372" s="1">
        <f t="shared" si="35"/>
        <v>47598564</v>
      </c>
    </row>
    <row r="373" spans="1:46" x14ac:dyDescent="0.2">
      <c r="A373" s="1" t="str">
        <f>"00430"</f>
        <v>00430</v>
      </c>
      <c r="B373" s="1" t="str">
        <f>"مهدي"</f>
        <v>مهدي</v>
      </c>
      <c r="C373" s="1" t="str">
        <f>"خدري"</f>
        <v>خدري</v>
      </c>
      <c r="D373" s="1" t="str">
        <f t="shared" si="38"/>
        <v>قراردادي کارگري</v>
      </c>
      <c r="E373" s="1" t="str">
        <f t="shared" si="37"/>
        <v>پروژه تعميرات نيروگاه بوشهر</v>
      </c>
      <c r="F373" s="1">
        <v>9139531</v>
      </c>
      <c r="G373" s="1">
        <v>4496552</v>
      </c>
      <c r="H373" s="1">
        <v>0</v>
      </c>
      <c r="I373" s="1">
        <v>6854648</v>
      </c>
      <c r="J373" s="1">
        <v>0</v>
      </c>
      <c r="K373" s="1">
        <v>0</v>
      </c>
      <c r="L373" s="1">
        <v>7672721</v>
      </c>
      <c r="M373" s="1">
        <v>1000000</v>
      </c>
      <c r="N373" s="1">
        <v>4810280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6924246</v>
      </c>
      <c r="W373" s="1">
        <v>1900000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4550643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47348621</v>
      </c>
      <c r="AP373" s="1">
        <v>4247134</v>
      </c>
      <c r="AQ373" s="1">
        <v>43101487</v>
      </c>
      <c r="AR373" s="1">
        <v>8559596</v>
      </c>
      <c r="AS373" s="1">
        <v>1283939</v>
      </c>
      <c r="AT373" s="1">
        <f t="shared" si="35"/>
        <v>57192156</v>
      </c>
    </row>
    <row r="374" spans="1:46" x14ac:dyDescent="0.2">
      <c r="A374" s="1" t="str">
        <f>"00431"</f>
        <v>00431</v>
      </c>
      <c r="B374" s="1" t="str">
        <f>"صفرعلي"</f>
        <v>صفرعلي</v>
      </c>
      <c r="C374" s="1" t="str">
        <f>"جوادي اقدم هرزند"</f>
        <v>جوادي اقدم هرزند</v>
      </c>
      <c r="D374" s="1" t="str">
        <f t="shared" si="38"/>
        <v>قراردادي کارگري</v>
      </c>
      <c r="E374" s="1" t="str">
        <f t="shared" si="37"/>
        <v>پروژه تعميرات نيروگاه بوشهر</v>
      </c>
      <c r="F374" s="1">
        <v>9626131</v>
      </c>
      <c r="G374" s="1">
        <v>4651569</v>
      </c>
      <c r="H374" s="1">
        <v>0</v>
      </c>
      <c r="I374" s="1">
        <v>7123337</v>
      </c>
      <c r="J374" s="1">
        <v>0</v>
      </c>
      <c r="K374" s="1">
        <v>0</v>
      </c>
      <c r="L374" s="1">
        <v>7628143</v>
      </c>
      <c r="M374" s="1">
        <v>1000000</v>
      </c>
      <c r="N374" s="1">
        <v>5099938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7144327</v>
      </c>
      <c r="W374" s="1">
        <v>1900000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3033762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47207207</v>
      </c>
      <c r="AP374" s="1">
        <v>9085288</v>
      </c>
      <c r="AQ374" s="1">
        <v>38121919</v>
      </c>
      <c r="AR374" s="1">
        <v>8834689</v>
      </c>
      <c r="AS374" s="1">
        <v>1325203</v>
      </c>
      <c r="AT374" s="1">
        <f t="shared" si="35"/>
        <v>57367099</v>
      </c>
    </row>
    <row r="375" spans="1:46" x14ac:dyDescent="0.2">
      <c r="A375" s="1" t="str">
        <f>"00432"</f>
        <v>00432</v>
      </c>
      <c r="B375" s="1" t="str">
        <f>"حسين"</f>
        <v>حسين</v>
      </c>
      <c r="C375" s="1" t="str">
        <f>"محمدي ثالث"</f>
        <v>محمدي ثالث</v>
      </c>
      <c r="D375" s="1" t="str">
        <f t="shared" si="38"/>
        <v>قراردادي کارگري</v>
      </c>
      <c r="E375" s="1" t="str">
        <f t="shared" si="37"/>
        <v>پروژه تعميرات نيروگاه بوشهر</v>
      </c>
      <c r="F375" s="1">
        <v>9441841</v>
      </c>
      <c r="G375" s="1">
        <v>4572118</v>
      </c>
      <c r="H375" s="1">
        <v>0</v>
      </c>
      <c r="I375" s="1">
        <v>6892544</v>
      </c>
      <c r="J375" s="1">
        <v>0</v>
      </c>
      <c r="K375" s="1">
        <v>0</v>
      </c>
      <c r="L375" s="1">
        <v>7628143</v>
      </c>
      <c r="M375" s="1">
        <v>1000000</v>
      </c>
      <c r="N375" s="1">
        <v>5002298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7031529</v>
      </c>
      <c r="W375" s="1">
        <v>1900000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3033762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46502235</v>
      </c>
      <c r="AP375" s="1">
        <v>12754612</v>
      </c>
      <c r="AQ375" s="1">
        <v>33747623</v>
      </c>
      <c r="AR375" s="1">
        <v>8693695</v>
      </c>
      <c r="AS375" s="1">
        <v>1304054</v>
      </c>
      <c r="AT375" s="1">
        <f t="shared" si="35"/>
        <v>56499984</v>
      </c>
    </row>
    <row r="376" spans="1:46" x14ac:dyDescent="0.2">
      <c r="A376" s="1" t="str">
        <f>"00433"</f>
        <v>00433</v>
      </c>
      <c r="B376" s="1" t="str">
        <f>"عليرضا"</f>
        <v>عليرضا</v>
      </c>
      <c r="C376" s="1" t="str">
        <f>"مسعودي"</f>
        <v>مسعودي</v>
      </c>
      <c r="D376" s="1" t="str">
        <f>"قراردادي بهره بردار"</f>
        <v>قراردادي بهره بردار</v>
      </c>
      <c r="E376" s="1" t="str">
        <f>"پروژه بهره برداري نيروگاه بوشهر"</f>
        <v>پروژه بهره برداري نيروگاه بوشهر</v>
      </c>
      <c r="F376" s="1">
        <v>11685016</v>
      </c>
      <c r="G376" s="1">
        <v>6531911</v>
      </c>
      <c r="H376" s="1">
        <v>0</v>
      </c>
      <c r="I376" s="1">
        <v>10822931</v>
      </c>
      <c r="J376" s="1">
        <v>0</v>
      </c>
      <c r="K376" s="1">
        <v>0</v>
      </c>
      <c r="L376" s="1">
        <v>0</v>
      </c>
      <c r="M376" s="1">
        <v>1000000</v>
      </c>
      <c r="N376" s="1">
        <v>2065580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1606000</v>
      </c>
      <c r="U376" s="1">
        <v>0</v>
      </c>
      <c r="V376" s="1">
        <v>5780525</v>
      </c>
      <c r="W376" s="1">
        <v>1900000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1475414</v>
      </c>
      <c r="AF376" s="1">
        <v>3033762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5197138</v>
      </c>
      <c r="AM376" s="1">
        <v>0</v>
      </c>
      <c r="AN376" s="1">
        <v>0</v>
      </c>
      <c r="AO376" s="1">
        <v>51098277</v>
      </c>
      <c r="AP376" s="1">
        <v>5787292</v>
      </c>
      <c r="AQ376" s="1">
        <v>45310985</v>
      </c>
      <c r="AR376" s="1">
        <v>9612903</v>
      </c>
      <c r="AS376" s="1">
        <v>1441935</v>
      </c>
      <c r="AT376" s="1">
        <f t="shared" si="35"/>
        <v>62153115</v>
      </c>
    </row>
    <row r="377" spans="1:46" x14ac:dyDescent="0.2">
      <c r="A377" s="1" t="str">
        <f>"00434"</f>
        <v>00434</v>
      </c>
      <c r="B377" s="1" t="str">
        <f>"عباس"</f>
        <v>عباس</v>
      </c>
      <c r="C377" s="1" t="str">
        <f>"عبدالعلي پور"</f>
        <v>عبدالعلي پور</v>
      </c>
      <c r="D377" s="1" t="str">
        <f t="shared" ref="D377:D383" si="39">"قراردادي کارگري"</f>
        <v>قراردادي کارگري</v>
      </c>
      <c r="E377" s="1" t="str">
        <f t="shared" ref="E377:E383" si="40">"پروژه تعميرات نيروگاه بوشهر"</f>
        <v>پروژه تعميرات نيروگاه بوشهر</v>
      </c>
      <c r="F377" s="1">
        <v>9796527</v>
      </c>
      <c r="G377" s="1">
        <v>15152516</v>
      </c>
      <c r="H377" s="1">
        <v>0</v>
      </c>
      <c r="I377" s="1">
        <v>7249430</v>
      </c>
      <c r="J377" s="1">
        <v>0</v>
      </c>
      <c r="K377" s="1">
        <v>0</v>
      </c>
      <c r="L377" s="1">
        <v>7462913</v>
      </c>
      <c r="M377" s="1">
        <v>1000000</v>
      </c>
      <c r="N377" s="1">
        <v>5224814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6055115</v>
      </c>
      <c r="W377" s="1">
        <v>1900000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3033762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56875077</v>
      </c>
      <c r="AP377" s="1">
        <v>6895511</v>
      </c>
      <c r="AQ377" s="1">
        <v>49979566</v>
      </c>
      <c r="AR377" s="1">
        <v>10768263</v>
      </c>
      <c r="AS377" s="1">
        <v>1615239</v>
      </c>
      <c r="AT377" s="1">
        <f t="shared" si="35"/>
        <v>69258579</v>
      </c>
    </row>
    <row r="378" spans="1:46" x14ac:dyDescent="0.2">
      <c r="A378" s="1" t="str">
        <f>"00435"</f>
        <v>00435</v>
      </c>
      <c r="B378" s="1" t="str">
        <f>"رضا"</f>
        <v>رضا</v>
      </c>
      <c r="C378" s="1" t="str">
        <f>"محمودي"</f>
        <v>محمودي</v>
      </c>
      <c r="D378" s="1" t="str">
        <f t="shared" si="39"/>
        <v>قراردادي کارگري</v>
      </c>
      <c r="E378" s="1" t="str">
        <f t="shared" si="40"/>
        <v>پروژه تعميرات نيروگاه بوشهر</v>
      </c>
      <c r="F378" s="1">
        <v>11026743</v>
      </c>
      <c r="G378" s="1">
        <v>17370714</v>
      </c>
      <c r="H378" s="1">
        <v>0</v>
      </c>
      <c r="I378" s="1">
        <v>8159790</v>
      </c>
      <c r="J378" s="1">
        <v>0</v>
      </c>
      <c r="K378" s="1">
        <v>0</v>
      </c>
      <c r="L378" s="1">
        <v>7628143</v>
      </c>
      <c r="M378" s="1">
        <v>1000000</v>
      </c>
      <c r="N378" s="1">
        <v>5841984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6417598</v>
      </c>
      <c r="W378" s="1">
        <v>1900000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3033762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62378734</v>
      </c>
      <c r="AP378" s="1">
        <v>15892607</v>
      </c>
      <c r="AQ378" s="1">
        <v>46486127</v>
      </c>
      <c r="AR378" s="1">
        <v>11868994</v>
      </c>
      <c r="AS378" s="1">
        <v>1780349</v>
      </c>
      <c r="AT378" s="1">
        <f t="shared" si="35"/>
        <v>76028077</v>
      </c>
    </row>
    <row r="379" spans="1:46" x14ac:dyDescent="0.2">
      <c r="A379" s="1" t="str">
        <f>"00437"</f>
        <v>00437</v>
      </c>
      <c r="B379" s="1" t="str">
        <f>"رسول"</f>
        <v>رسول</v>
      </c>
      <c r="C379" s="1" t="str">
        <f>"زماني"</f>
        <v>زماني</v>
      </c>
      <c r="D379" s="1" t="str">
        <f t="shared" si="39"/>
        <v>قراردادي کارگري</v>
      </c>
      <c r="E379" s="1" t="str">
        <f t="shared" si="40"/>
        <v>پروژه تعميرات نيروگاه بوشهر</v>
      </c>
      <c r="F379" s="1">
        <v>8261443</v>
      </c>
      <c r="G379" s="1">
        <v>0</v>
      </c>
      <c r="H379" s="1">
        <v>0</v>
      </c>
      <c r="I379" s="1">
        <v>5369938</v>
      </c>
      <c r="J379" s="1">
        <v>0</v>
      </c>
      <c r="K379" s="1">
        <v>0</v>
      </c>
      <c r="L379" s="1">
        <v>7628143</v>
      </c>
      <c r="M379" s="1">
        <v>1000000</v>
      </c>
      <c r="N379" s="1">
        <v>4348128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7151080</v>
      </c>
      <c r="W379" s="1">
        <v>1900000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35658732</v>
      </c>
      <c r="AP379" s="1">
        <v>31301800</v>
      </c>
      <c r="AQ379" s="1">
        <v>4356932</v>
      </c>
      <c r="AR379" s="1">
        <v>7131746</v>
      </c>
      <c r="AS379" s="1">
        <v>1069762</v>
      </c>
      <c r="AT379" s="1">
        <f t="shared" si="35"/>
        <v>43860240</v>
      </c>
    </row>
    <row r="380" spans="1:46" x14ac:dyDescent="0.2">
      <c r="A380" s="1" t="str">
        <f>"00438"</f>
        <v>00438</v>
      </c>
      <c r="B380" s="1" t="str">
        <f>"منصور"</f>
        <v>منصور</v>
      </c>
      <c r="C380" s="1" t="str">
        <f>"محمدي"</f>
        <v>محمدي</v>
      </c>
      <c r="D380" s="1" t="str">
        <f t="shared" si="39"/>
        <v>قراردادي کارگري</v>
      </c>
      <c r="E380" s="1" t="str">
        <f t="shared" si="40"/>
        <v>پروژه تعميرات نيروگاه بوشهر</v>
      </c>
      <c r="F380" s="1">
        <v>13366220</v>
      </c>
      <c r="G380" s="1">
        <v>1776944</v>
      </c>
      <c r="H380" s="1">
        <v>0</v>
      </c>
      <c r="I380" s="1">
        <v>11227625</v>
      </c>
      <c r="J380" s="1">
        <v>0</v>
      </c>
      <c r="K380" s="1">
        <v>0</v>
      </c>
      <c r="L380" s="1">
        <v>7462913</v>
      </c>
      <c r="M380" s="1">
        <v>1000000</v>
      </c>
      <c r="N380" s="1">
        <v>7128650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11178250</v>
      </c>
      <c r="W380" s="1">
        <v>1900000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3033762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58074364</v>
      </c>
      <c r="AP380" s="1">
        <v>10750851</v>
      </c>
      <c r="AQ380" s="1">
        <v>47323513</v>
      </c>
      <c r="AR380" s="1">
        <v>11008120</v>
      </c>
      <c r="AS380" s="1">
        <v>1651218</v>
      </c>
      <c r="AT380" s="1">
        <f t="shared" si="35"/>
        <v>70733702</v>
      </c>
    </row>
    <row r="381" spans="1:46" x14ac:dyDescent="0.2">
      <c r="A381" s="1" t="str">
        <f>"00439"</f>
        <v>00439</v>
      </c>
      <c r="B381" s="1" t="str">
        <f>"سيد سعد"</f>
        <v>سيد سعد</v>
      </c>
      <c r="C381" s="1" t="str">
        <f>"موسوي بغلاني"</f>
        <v>موسوي بغلاني</v>
      </c>
      <c r="D381" s="1" t="str">
        <f t="shared" si="39"/>
        <v>قراردادي کارگري</v>
      </c>
      <c r="E381" s="1" t="str">
        <f t="shared" si="40"/>
        <v>پروژه تعميرات نيروگاه بوشهر</v>
      </c>
      <c r="F381" s="1">
        <v>7840950</v>
      </c>
      <c r="G381" s="1">
        <v>2126314</v>
      </c>
      <c r="H381" s="1">
        <v>0</v>
      </c>
      <c r="I381" s="1">
        <v>5645484</v>
      </c>
      <c r="J381" s="1">
        <v>0</v>
      </c>
      <c r="K381" s="1">
        <v>0</v>
      </c>
      <c r="L381" s="1">
        <v>7628143</v>
      </c>
      <c r="M381" s="1">
        <v>1000000</v>
      </c>
      <c r="N381" s="1">
        <v>4126816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12424746</v>
      </c>
      <c r="W381" s="1">
        <v>1900000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3786209</v>
      </c>
      <c r="AE381" s="1">
        <v>0</v>
      </c>
      <c r="AF381" s="1">
        <v>4550643</v>
      </c>
      <c r="AG381" s="1">
        <v>0</v>
      </c>
      <c r="AH381" s="1">
        <v>0</v>
      </c>
      <c r="AI381" s="1">
        <v>0</v>
      </c>
      <c r="AJ381" s="1">
        <v>3402103</v>
      </c>
      <c r="AK381" s="1">
        <v>0</v>
      </c>
      <c r="AL381" s="1">
        <v>0</v>
      </c>
      <c r="AM381" s="1">
        <v>0</v>
      </c>
      <c r="AN381" s="1">
        <v>0</v>
      </c>
      <c r="AO381" s="1">
        <v>54431408</v>
      </c>
      <c r="AP381" s="1">
        <v>8772227</v>
      </c>
      <c r="AQ381" s="1">
        <v>45659181</v>
      </c>
      <c r="AR381" s="1">
        <v>9976153</v>
      </c>
      <c r="AS381" s="1">
        <v>1496423</v>
      </c>
      <c r="AT381" s="1">
        <f t="shared" si="35"/>
        <v>65903984</v>
      </c>
    </row>
    <row r="382" spans="1:46" x14ac:dyDescent="0.2">
      <c r="A382" s="1" t="str">
        <f>"00440"</f>
        <v>00440</v>
      </c>
      <c r="B382" s="1" t="str">
        <f>"احمد"</f>
        <v>احمد</v>
      </c>
      <c r="C382" s="1" t="str">
        <f>"خليفه"</f>
        <v>خليفه</v>
      </c>
      <c r="D382" s="1" t="str">
        <f t="shared" si="39"/>
        <v>قراردادي کارگري</v>
      </c>
      <c r="E382" s="1" t="str">
        <f t="shared" si="40"/>
        <v>پروژه تعميرات نيروگاه بوشهر</v>
      </c>
      <c r="F382" s="1">
        <v>7395723</v>
      </c>
      <c r="G382" s="1">
        <v>1794648</v>
      </c>
      <c r="H382" s="1">
        <v>0</v>
      </c>
      <c r="I382" s="1">
        <v>5398877</v>
      </c>
      <c r="J382" s="1">
        <v>0</v>
      </c>
      <c r="K382" s="1">
        <v>0</v>
      </c>
      <c r="L382" s="1">
        <v>7628143</v>
      </c>
      <c r="M382" s="1">
        <v>1000000</v>
      </c>
      <c r="N382" s="1">
        <v>3892486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12017234</v>
      </c>
      <c r="W382" s="1">
        <v>1900000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3647284</v>
      </c>
      <c r="AE382" s="1">
        <v>0</v>
      </c>
      <c r="AF382" s="1">
        <v>3033762</v>
      </c>
      <c r="AG382" s="1">
        <v>0</v>
      </c>
      <c r="AH382" s="1">
        <v>0</v>
      </c>
      <c r="AI382" s="1">
        <v>0</v>
      </c>
      <c r="AJ382" s="1">
        <v>3281642</v>
      </c>
      <c r="AK382" s="1">
        <v>0</v>
      </c>
      <c r="AL382" s="1">
        <v>0</v>
      </c>
      <c r="AM382" s="1">
        <v>0</v>
      </c>
      <c r="AN382" s="1">
        <v>0</v>
      </c>
      <c r="AO382" s="1">
        <v>50989799</v>
      </c>
      <c r="AP382" s="1">
        <v>5436211</v>
      </c>
      <c r="AQ382" s="1">
        <v>45553588</v>
      </c>
      <c r="AR382" s="1">
        <v>9591207</v>
      </c>
      <c r="AS382" s="1">
        <v>1438681</v>
      </c>
      <c r="AT382" s="1">
        <f t="shared" si="35"/>
        <v>62019687</v>
      </c>
    </row>
    <row r="383" spans="1:46" x14ac:dyDescent="0.2">
      <c r="A383" s="1" t="str">
        <f>"00442"</f>
        <v>00442</v>
      </c>
      <c r="B383" s="1" t="str">
        <f>"ايوب"</f>
        <v>ايوب</v>
      </c>
      <c r="C383" s="1" t="str">
        <f>"غلامي"</f>
        <v>غلامي</v>
      </c>
      <c r="D383" s="1" t="str">
        <f t="shared" si="39"/>
        <v>قراردادي کارگري</v>
      </c>
      <c r="E383" s="1" t="str">
        <f t="shared" si="40"/>
        <v>پروژه تعميرات نيروگاه بوشهر</v>
      </c>
      <c r="F383" s="1">
        <v>9171833</v>
      </c>
      <c r="G383" s="1">
        <v>0</v>
      </c>
      <c r="H383" s="1">
        <v>0</v>
      </c>
      <c r="I383" s="1">
        <v>6420283</v>
      </c>
      <c r="J383" s="1">
        <v>0</v>
      </c>
      <c r="K383" s="1">
        <v>0</v>
      </c>
      <c r="L383" s="1">
        <v>7628143</v>
      </c>
      <c r="M383" s="1">
        <v>1000000</v>
      </c>
      <c r="N383" s="1">
        <v>4891645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6843884</v>
      </c>
      <c r="W383" s="1">
        <v>1900000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1516881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39372669</v>
      </c>
      <c r="AP383" s="1">
        <v>18794517</v>
      </c>
      <c r="AQ383" s="1">
        <v>20578152</v>
      </c>
      <c r="AR383" s="1">
        <v>7571158</v>
      </c>
      <c r="AS383" s="1">
        <v>1135674</v>
      </c>
      <c r="AT383" s="1">
        <f t="shared" si="35"/>
        <v>48079501</v>
      </c>
    </row>
    <row r="384" spans="1:46" x14ac:dyDescent="0.2">
      <c r="A384" s="1" t="str">
        <f>"00443"</f>
        <v>00443</v>
      </c>
      <c r="B384" s="1" t="str">
        <f>"امير"</f>
        <v>امير</v>
      </c>
      <c r="C384" s="1" t="str">
        <f>"مرادي"</f>
        <v>مرادي</v>
      </c>
      <c r="D384" s="1" t="str">
        <f>"قراردادي بهره بردار"</f>
        <v>قراردادي بهره بردار</v>
      </c>
      <c r="E384" s="1" t="str">
        <f>"پروژه بهره برداري نيروگاه بوشهر"</f>
        <v>پروژه بهره برداري نيروگاه بوشهر</v>
      </c>
      <c r="F384" s="1">
        <v>24233155</v>
      </c>
      <c r="G384" s="1">
        <v>0</v>
      </c>
      <c r="H384" s="1">
        <v>0</v>
      </c>
      <c r="I384" s="1">
        <v>19551845</v>
      </c>
      <c r="J384" s="1">
        <v>0</v>
      </c>
      <c r="K384" s="1">
        <v>5500000</v>
      </c>
      <c r="L384" s="1">
        <v>0</v>
      </c>
      <c r="M384" s="1">
        <v>1000000</v>
      </c>
      <c r="N384" s="1">
        <v>3809898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1387000</v>
      </c>
      <c r="U384" s="1">
        <v>0</v>
      </c>
      <c r="V384" s="1">
        <v>15054921</v>
      </c>
      <c r="W384" s="1">
        <v>1900000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2721356</v>
      </c>
      <c r="AF384" s="1">
        <v>1516881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5442711</v>
      </c>
      <c r="AM384" s="1">
        <v>0</v>
      </c>
      <c r="AN384" s="1">
        <v>0</v>
      </c>
      <c r="AO384" s="1">
        <v>82117767</v>
      </c>
      <c r="AP384" s="1">
        <v>35188254</v>
      </c>
      <c r="AQ384" s="1">
        <v>46929513</v>
      </c>
      <c r="AR384" s="1">
        <v>16120177</v>
      </c>
      <c r="AS384" s="1">
        <v>2418027</v>
      </c>
      <c r="AT384" s="1">
        <f t="shared" si="35"/>
        <v>100655971</v>
      </c>
    </row>
    <row r="385" spans="1:46" x14ac:dyDescent="0.2">
      <c r="A385" s="1" t="str">
        <f>"00444"</f>
        <v>00444</v>
      </c>
      <c r="B385" s="1" t="str">
        <f>"علي"</f>
        <v>علي</v>
      </c>
      <c r="C385" s="1" t="str">
        <f>"حسن زاده"</f>
        <v>حسن زاده</v>
      </c>
      <c r="D385" s="1" t="str">
        <f>"قراردادي کارگري"</f>
        <v>قراردادي کارگري</v>
      </c>
      <c r="E385" s="1" t="str">
        <f>"پروژه تعميرات نيروگاه بوشهر"</f>
        <v>پروژه تعميرات نيروگاه بوشهر</v>
      </c>
      <c r="F385" s="1">
        <v>10449298</v>
      </c>
      <c r="G385" s="1">
        <v>8987327</v>
      </c>
      <c r="H385" s="1">
        <v>0</v>
      </c>
      <c r="I385" s="1">
        <v>7627987</v>
      </c>
      <c r="J385" s="1">
        <v>0</v>
      </c>
      <c r="K385" s="1">
        <v>0</v>
      </c>
      <c r="L385" s="1">
        <v>7628143</v>
      </c>
      <c r="M385" s="1">
        <v>1000000</v>
      </c>
      <c r="N385" s="1">
        <v>5536052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8559537</v>
      </c>
      <c r="W385" s="1">
        <v>1900000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4550643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56238987</v>
      </c>
      <c r="AP385" s="1">
        <v>26020982</v>
      </c>
      <c r="AQ385" s="1">
        <v>30218005</v>
      </c>
      <c r="AR385" s="1">
        <v>10337669</v>
      </c>
      <c r="AS385" s="1">
        <v>1550650</v>
      </c>
      <c r="AT385" s="1">
        <f t="shared" si="35"/>
        <v>68127306</v>
      </c>
    </row>
    <row r="386" spans="1:46" x14ac:dyDescent="0.2">
      <c r="A386" s="1" t="str">
        <f>"00448"</f>
        <v>00448</v>
      </c>
      <c r="B386" s="1" t="str">
        <f>"اکبر"</f>
        <v>اکبر</v>
      </c>
      <c r="C386" s="1" t="str">
        <f>"آجامي"</f>
        <v>آجامي</v>
      </c>
      <c r="D386" s="1" t="str">
        <f t="shared" ref="D386:D417" si="41">"قراردادي بهره بردار"</f>
        <v>قراردادي بهره بردار</v>
      </c>
      <c r="E386" s="1" t="str">
        <f>"پروژه بهره برداري نيروگاه بوشهر"</f>
        <v>پروژه بهره برداري نيروگاه بوشهر</v>
      </c>
      <c r="F386" s="1">
        <v>15503348</v>
      </c>
      <c r="G386" s="1">
        <v>3819264</v>
      </c>
      <c r="H386" s="1">
        <v>0</v>
      </c>
      <c r="I386" s="1">
        <v>14359221</v>
      </c>
      <c r="J386" s="1">
        <v>0</v>
      </c>
      <c r="K386" s="1">
        <v>4620000</v>
      </c>
      <c r="L386" s="1">
        <v>0</v>
      </c>
      <c r="M386" s="1">
        <v>1000000</v>
      </c>
      <c r="N386" s="1">
        <v>2903619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1606000</v>
      </c>
      <c r="U386" s="1">
        <v>0</v>
      </c>
      <c r="V386" s="1">
        <v>11245365</v>
      </c>
      <c r="W386" s="1">
        <v>1900000</v>
      </c>
      <c r="X386" s="1">
        <v>2250486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2074014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14052689</v>
      </c>
      <c r="AM386" s="1">
        <v>0</v>
      </c>
      <c r="AN386" s="1">
        <v>0</v>
      </c>
      <c r="AO386" s="1">
        <v>75334006</v>
      </c>
      <c r="AP386" s="1">
        <v>27908851</v>
      </c>
      <c r="AQ386" s="1">
        <v>47425155</v>
      </c>
      <c r="AR386" s="1">
        <v>15066801</v>
      </c>
      <c r="AS386" s="1">
        <v>2260020</v>
      </c>
      <c r="AT386" s="1">
        <f t="shared" si="35"/>
        <v>92660827</v>
      </c>
    </row>
    <row r="387" spans="1:46" x14ac:dyDescent="0.2">
      <c r="A387" s="1" t="str">
        <f>"00449"</f>
        <v>00449</v>
      </c>
      <c r="B387" s="1" t="str">
        <f>"حميدرضا"</f>
        <v>حميدرضا</v>
      </c>
      <c r="C387" s="1" t="str">
        <f>"احمدي خرم"</f>
        <v>احمدي خرم</v>
      </c>
      <c r="D387" s="1" t="str">
        <f t="shared" si="41"/>
        <v>قراردادي بهره بردار</v>
      </c>
      <c r="E387" s="1" t="str">
        <f>"پروژه بهره برداري نيروگاه بوشهر"</f>
        <v>پروژه بهره برداري نيروگاه بوشهر</v>
      </c>
      <c r="F387" s="1">
        <v>13025704</v>
      </c>
      <c r="G387" s="1">
        <v>0</v>
      </c>
      <c r="H387" s="1">
        <v>0</v>
      </c>
      <c r="I387" s="1">
        <v>9575125</v>
      </c>
      <c r="J387" s="1">
        <v>0</v>
      </c>
      <c r="K387" s="1">
        <v>4620000</v>
      </c>
      <c r="L387" s="1">
        <v>0</v>
      </c>
      <c r="M387" s="1">
        <v>1000000</v>
      </c>
      <c r="N387" s="1">
        <v>2277965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1387000</v>
      </c>
      <c r="U387" s="1">
        <v>0</v>
      </c>
      <c r="V387" s="1">
        <v>11986297</v>
      </c>
      <c r="W387" s="1">
        <v>1900000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1627118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6789358</v>
      </c>
      <c r="AM387" s="1">
        <v>0</v>
      </c>
      <c r="AN387" s="1">
        <v>0</v>
      </c>
      <c r="AO387" s="1">
        <v>54188567</v>
      </c>
      <c r="AP387" s="1">
        <v>5510037</v>
      </c>
      <c r="AQ387" s="1">
        <v>48678530</v>
      </c>
      <c r="AR387" s="1">
        <v>10837713</v>
      </c>
      <c r="AS387" s="1">
        <v>1625657</v>
      </c>
      <c r="AT387" s="1">
        <f t="shared" ref="AT387:AT450" si="42">AO387+AR387+AS387</f>
        <v>66651937</v>
      </c>
    </row>
    <row r="388" spans="1:46" x14ac:dyDescent="0.2">
      <c r="A388" s="1" t="str">
        <f>"00450"</f>
        <v>00450</v>
      </c>
      <c r="B388" s="1" t="str">
        <f>"سيدابراهيم"</f>
        <v>سيدابراهيم</v>
      </c>
      <c r="C388" s="1" t="str">
        <f>"اعلايي خانقاه سادات"</f>
        <v>اعلايي خانقاه سادات</v>
      </c>
      <c r="D388" s="1" t="str">
        <f t="shared" si="41"/>
        <v>قراردادي بهره بردار</v>
      </c>
      <c r="E388" s="1" t="str">
        <f>"پروژه بهره برداري نيروگاه بوشهر"</f>
        <v>پروژه بهره برداري نيروگاه بوشهر</v>
      </c>
      <c r="F388" s="1">
        <v>19352349</v>
      </c>
      <c r="G388" s="1">
        <v>10081220</v>
      </c>
      <c r="H388" s="1">
        <v>0</v>
      </c>
      <c r="I388" s="1">
        <v>16630021</v>
      </c>
      <c r="J388" s="1">
        <v>0</v>
      </c>
      <c r="K388" s="1">
        <v>5500000</v>
      </c>
      <c r="L388" s="1">
        <v>0</v>
      </c>
      <c r="M388" s="1">
        <v>1000000</v>
      </c>
      <c r="N388" s="1">
        <v>3415030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1387000</v>
      </c>
      <c r="U388" s="1">
        <v>0</v>
      </c>
      <c r="V388" s="1">
        <v>19886951</v>
      </c>
      <c r="W388" s="1">
        <v>1900000</v>
      </c>
      <c r="X388" s="1">
        <v>2809212</v>
      </c>
      <c r="Y388" s="1">
        <v>0</v>
      </c>
      <c r="Z388" s="1">
        <v>0</v>
      </c>
      <c r="AA388" s="1">
        <v>0</v>
      </c>
      <c r="AB388" s="1">
        <v>0</v>
      </c>
      <c r="AC388" s="1">
        <v>3877480</v>
      </c>
      <c r="AD388" s="1">
        <v>0</v>
      </c>
      <c r="AE388" s="1">
        <v>2439307</v>
      </c>
      <c r="AF388" s="1">
        <v>3033762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18437264</v>
      </c>
      <c r="AM388" s="1">
        <v>0</v>
      </c>
      <c r="AN388" s="1">
        <v>0</v>
      </c>
      <c r="AO388" s="1">
        <v>109749596</v>
      </c>
      <c r="AP388" s="1">
        <v>44047535</v>
      </c>
      <c r="AQ388" s="1">
        <v>65702061</v>
      </c>
      <c r="AR388" s="1">
        <v>21343167</v>
      </c>
      <c r="AS388" s="1">
        <v>3201475</v>
      </c>
      <c r="AT388" s="1">
        <f t="shared" si="42"/>
        <v>134294238</v>
      </c>
    </row>
    <row r="389" spans="1:46" x14ac:dyDescent="0.2">
      <c r="A389" s="1" t="str">
        <f>"00451"</f>
        <v>00451</v>
      </c>
      <c r="B389" s="1" t="str">
        <f>"محمدمهدي"</f>
        <v>محمدمهدي</v>
      </c>
      <c r="C389" s="1" t="str">
        <f>"افشاري"</f>
        <v>افشاري</v>
      </c>
      <c r="D389" s="1" t="str">
        <f t="shared" si="41"/>
        <v>قراردادي بهره بردار</v>
      </c>
      <c r="E389" s="1" t="str">
        <f>"پروژه بهره برداري نيروگاه بوشهر"</f>
        <v>پروژه بهره برداري نيروگاه بوشهر</v>
      </c>
      <c r="F389" s="1">
        <v>15179129</v>
      </c>
      <c r="G389" s="1">
        <v>307220</v>
      </c>
      <c r="H389" s="1">
        <v>0</v>
      </c>
      <c r="I389" s="1">
        <v>10959422</v>
      </c>
      <c r="J389" s="1">
        <v>0</v>
      </c>
      <c r="K389" s="1">
        <v>4620000</v>
      </c>
      <c r="L389" s="1">
        <v>0</v>
      </c>
      <c r="M389" s="1">
        <v>1000000</v>
      </c>
      <c r="N389" s="1">
        <v>2790143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1387000</v>
      </c>
      <c r="U389" s="1">
        <v>0</v>
      </c>
      <c r="V389" s="1">
        <v>8141163</v>
      </c>
      <c r="W389" s="1">
        <v>1900000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1992959</v>
      </c>
      <c r="AF389" s="1">
        <v>1516881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4474711</v>
      </c>
      <c r="AM389" s="1">
        <v>0</v>
      </c>
      <c r="AN389" s="1">
        <v>0</v>
      </c>
      <c r="AO389" s="1">
        <v>54268628</v>
      </c>
      <c r="AP389" s="1">
        <v>5427523</v>
      </c>
      <c r="AQ389" s="1">
        <v>48841105</v>
      </c>
      <c r="AR389" s="1">
        <v>10550349</v>
      </c>
      <c r="AS389" s="1">
        <v>1582552</v>
      </c>
      <c r="AT389" s="1">
        <f t="shared" si="42"/>
        <v>66401529</v>
      </c>
    </row>
    <row r="390" spans="1:46" x14ac:dyDescent="0.2">
      <c r="A390" s="1" t="str">
        <f>"00452"</f>
        <v>00452</v>
      </c>
      <c r="B390" s="1" t="str">
        <f>"محمدرضا"</f>
        <v>محمدرضا</v>
      </c>
      <c r="C390" s="1" t="str">
        <f>"اکبرپور"</f>
        <v>اکبرپور</v>
      </c>
      <c r="D390" s="1" t="str">
        <f t="shared" si="41"/>
        <v>قراردادي بهره بردار</v>
      </c>
      <c r="E390" s="1" t="str">
        <f>"پروژه بهره برداري نيروگاه بوشهر"</f>
        <v>پروژه بهره برداري نيروگاه بوشهر</v>
      </c>
      <c r="F390" s="1">
        <v>14421159</v>
      </c>
      <c r="G390" s="1">
        <v>3573526</v>
      </c>
      <c r="H390" s="1">
        <v>0</v>
      </c>
      <c r="I390" s="1">
        <v>13476631</v>
      </c>
      <c r="J390" s="1">
        <v>0</v>
      </c>
      <c r="K390" s="1">
        <v>4620000</v>
      </c>
      <c r="L390" s="1">
        <v>0</v>
      </c>
      <c r="M390" s="1">
        <v>1000000</v>
      </c>
      <c r="N390" s="1">
        <v>2766374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1606000</v>
      </c>
      <c r="U390" s="1">
        <v>0</v>
      </c>
      <c r="V390" s="1">
        <v>10521819</v>
      </c>
      <c r="W390" s="1">
        <v>1900000</v>
      </c>
      <c r="X390" s="1">
        <v>2093394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1975981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13106890</v>
      </c>
      <c r="AM390" s="1">
        <v>0</v>
      </c>
      <c r="AN390" s="1">
        <v>0</v>
      </c>
      <c r="AO390" s="1">
        <v>71061774</v>
      </c>
      <c r="AP390" s="1">
        <v>53643725</v>
      </c>
      <c r="AQ390" s="1">
        <v>17418049</v>
      </c>
      <c r="AR390" s="1">
        <v>14212355</v>
      </c>
      <c r="AS390" s="1">
        <v>2131853</v>
      </c>
      <c r="AT390" s="1">
        <f t="shared" si="42"/>
        <v>87405982</v>
      </c>
    </row>
    <row r="391" spans="1:46" x14ac:dyDescent="0.2">
      <c r="A391" s="1" t="str">
        <f>"00453"</f>
        <v>00453</v>
      </c>
      <c r="B391" s="1" t="str">
        <f>"رضا"</f>
        <v>رضا</v>
      </c>
      <c r="C391" s="1" t="str">
        <f>"اوجي نيا"</f>
        <v>اوجي نيا</v>
      </c>
      <c r="D391" s="1" t="str">
        <f t="shared" si="41"/>
        <v>قراردادي بهره بردار</v>
      </c>
      <c r="E391" s="1" t="str">
        <f>"پروژه تعميرات نيروگاه بوشهر"</f>
        <v>پروژه تعميرات نيروگاه بوشهر</v>
      </c>
      <c r="F391" s="1">
        <v>19702856</v>
      </c>
      <c r="G391" s="1">
        <v>816193</v>
      </c>
      <c r="H391" s="1">
        <v>0</v>
      </c>
      <c r="I391" s="1">
        <v>15557420</v>
      </c>
      <c r="J391" s="1">
        <v>0</v>
      </c>
      <c r="K391" s="1">
        <v>5500000</v>
      </c>
      <c r="L391" s="1">
        <v>0</v>
      </c>
      <c r="M391" s="1">
        <v>1000000</v>
      </c>
      <c r="N391" s="1">
        <v>3158175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1606000</v>
      </c>
      <c r="U391" s="1">
        <v>0</v>
      </c>
      <c r="V391" s="1">
        <v>11933816</v>
      </c>
      <c r="W391" s="1">
        <v>1900000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2255839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5225002</v>
      </c>
      <c r="AM391" s="1">
        <v>0</v>
      </c>
      <c r="AN391" s="1">
        <v>0</v>
      </c>
      <c r="AO391" s="1">
        <v>68655301</v>
      </c>
      <c r="AP391" s="1">
        <v>23024220</v>
      </c>
      <c r="AQ391" s="1">
        <v>45631081</v>
      </c>
      <c r="AR391" s="1">
        <v>13731060</v>
      </c>
      <c r="AS391" s="1">
        <v>2059659</v>
      </c>
      <c r="AT391" s="1">
        <f t="shared" si="42"/>
        <v>84446020</v>
      </c>
    </row>
    <row r="392" spans="1:46" x14ac:dyDescent="0.2">
      <c r="A392" s="1" t="str">
        <f>"00454"</f>
        <v>00454</v>
      </c>
      <c r="B392" s="1" t="str">
        <f>"مهرداد"</f>
        <v>مهرداد</v>
      </c>
      <c r="C392" s="1" t="str">
        <f>"بازياري"</f>
        <v>بازياري</v>
      </c>
      <c r="D392" s="1" t="str">
        <f t="shared" si="41"/>
        <v>قراردادي بهره بردار</v>
      </c>
      <c r="E392" s="1" t="str">
        <f>"پروژه بهره برداري نيروگاه بوشهر"</f>
        <v>پروژه بهره برداري نيروگاه بوشهر</v>
      </c>
      <c r="F392" s="1">
        <v>15459535</v>
      </c>
      <c r="G392" s="1">
        <v>9776771</v>
      </c>
      <c r="H392" s="1">
        <v>0</v>
      </c>
      <c r="I392" s="1">
        <v>12572744</v>
      </c>
      <c r="J392" s="1">
        <v>0</v>
      </c>
      <c r="K392" s="1">
        <v>4620000</v>
      </c>
      <c r="L392" s="1">
        <v>0</v>
      </c>
      <c r="M392" s="1">
        <v>1000000</v>
      </c>
      <c r="N392" s="1">
        <v>2888284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1606000</v>
      </c>
      <c r="U392" s="1">
        <v>0</v>
      </c>
      <c r="V392" s="1">
        <v>10363150</v>
      </c>
      <c r="W392" s="1">
        <v>1900000</v>
      </c>
      <c r="X392" s="1">
        <v>2244126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2063060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12073552</v>
      </c>
      <c r="AM392" s="1">
        <v>0</v>
      </c>
      <c r="AN392" s="1">
        <v>0</v>
      </c>
      <c r="AO392" s="1">
        <v>76567222</v>
      </c>
      <c r="AP392" s="1">
        <v>33265601</v>
      </c>
      <c r="AQ392" s="1">
        <v>43301621</v>
      </c>
      <c r="AR392" s="1">
        <v>15313444</v>
      </c>
      <c r="AS392" s="1">
        <v>2297017</v>
      </c>
      <c r="AT392" s="1">
        <f t="shared" si="42"/>
        <v>94177683</v>
      </c>
    </row>
    <row r="393" spans="1:46" x14ac:dyDescent="0.2">
      <c r="A393" s="1" t="str">
        <f>"00455"</f>
        <v>00455</v>
      </c>
      <c r="B393" s="1" t="str">
        <f>"سعيد"</f>
        <v>سعيد</v>
      </c>
      <c r="C393" s="1" t="str">
        <f>"بزرگي"</f>
        <v>بزرگي</v>
      </c>
      <c r="D393" s="1" t="str">
        <f t="shared" si="41"/>
        <v>قراردادي بهره بردار</v>
      </c>
      <c r="E393" s="1" t="str">
        <f>"پروژه بهره برداري نيروگاه بوشهر"</f>
        <v>پروژه بهره برداري نيروگاه بوشهر</v>
      </c>
      <c r="F393" s="1">
        <v>18657908</v>
      </c>
      <c r="G393" s="1">
        <v>0</v>
      </c>
      <c r="H393" s="1">
        <v>0</v>
      </c>
      <c r="I393" s="1">
        <v>13773417</v>
      </c>
      <c r="J393" s="1">
        <v>0</v>
      </c>
      <c r="K393" s="1">
        <v>5500000</v>
      </c>
      <c r="L393" s="1">
        <v>0</v>
      </c>
      <c r="M393" s="1">
        <v>1000000</v>
      </c>
      <c r="N393" s="1">
        <v>3171976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1387000</v>
      </c>
      <c r="U393" s="1">
        <v>0</v>
      </c>
      <c r="V393" s="1">
        <v>14888108</v>
      </c>
      <c r="W393" s="1">
        <v>1900000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2265697</v>
      </c>
      <c r="AF393" s="1">
        <v>1516881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4974478</v>
      </c>
      <c r="AM393" s="1">
        <v>0</v>
      </c>
      <c r="AN393" s="1">
        <v>0</v>
      </c>
      <c r="AO393" s="1">
        <v>69035465</v>
      </c>
      <c r="AP393" s="1">
        <v>17113961</v>
      </c>
      <c r="AQ393" s="1">
        <v>51921504</v>
      </c>
      <c r="AR393" s="1">
        <v>13503717</v>
      </c>
      <c r="AS393" s="1">
        <v>2025558</v>
      </c>
      <c r="AT393" s="1">
        <f t="shared" si="42"/>
        <v>84564740</v>
      </c>
    </row>
    <row r="394" spans="1:46" x14ac:dyDescent="0.2">
      <c r="A394" s="1" t="str">
        <f>"00456"</f>
        <v>00456</v>
      </c>
      <c r="B394" s="1" t="str">
        <f>"محمد"</f>
        <v>محمد</v>
      </c>
      <c r="C394" s="1" t="str">
        <f>"پرويني"</f>
        <v>پرويني</v>
      </c>
      <c r="D394" s="1" t="str">
        <f t="shared" si="41"/>
        <v>قراردادي بهره بردار</v>
      </c>
      <c r="E394" s="1" t="str">
        <f>"پروژه بهره برداري نيروگاه بوشهر"</f>
        <v>پروژه بهره برداري نيروگاه بوشهر</v>
      </c>
      <c r="F394" s="1">
        <v>15417912</v>
      </c>
      <c r="G394" s="1">
        <v>14932004</v>
      </c>
      <c r="H394" s="1">
        <v>0</v>
      </c>
      <c r="I394" s="1">
        <v>12983754</v>
      </c>
      <c r="J394" s="1">
        <v>0</v>
      </c>
      <c r="K394" s="1">
        <v>4620000</v>
      </c>
      <c r="L394" s="1">
        <v>0</v>
      </c>
      <c r="M394" s="1">
        <v>1000000</v>
      </c>
      <c r="N394" s="1">
        <v>2873717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1606000</v>
      </c>
      <c r="U394" s="1">
        <v>0</v>
      </c>
      <c r="V394" s="1">
        <v>10412880</v>
      </c>
      <c r="W394" s="1">
        <v>1900000</v>
      </c>
      <c r="X394" s="1">
        <v>2238084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2052655</v>
      </c>
      <c r="AF394" s="1">
        <v>1516881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11945355</v>
      </c>
      <c r="AM394" s="1">
        <v>0</v>
      </c>
      <c r="AN394" s="1">
        <v>0</v>
      </c>
      <c r="AO394" s="1">
        <v>83499242</v>
      </c>
      <c r="AP394" s="1">
        <v>24104178</v>
      </c>
      <c r="AQ394" s="1">
        <v>59395064</v>
      </c>
      <c r="AR394" s="1">
        <v>16396472</v>
      </c>
      <c r="AS394" s="1">
        <v>2459471</v>
      </c>
      <c r="AT394" s="1">
        <f t="shared" si="42"/>
        <v>102355185</v>
      </c>
    </row>
    <row r="395" spans="1:46" x14ac:dyDescent="0.2">
      <c r="A395" s="1" t="str">
        <f>"00457"</f>
        <v>00457</v>
      </c>
      <c r="B395" s="1" t="str">
        <f>"محمد امين"</f>
        <v>محمد امين</v>
      </c>
      <c r="C395" s="1" t="str">
        <f>"پريسوز"</f>
        <v>پريسوز</v>
      </c>
      <c r="D395" s="1" t="str">
        <f t="shared" si="41"/>
        <v>قراردادي بهره بردار</v>
      </c>
      <c r="E395" s="1" t="str">
        <f>"پروژه تعميرات نيروگاه بوشهر"</f>
        <v>پروژه تعميرات نيروگاه بوشهر</v>
      </c>
      <c r="F395" s="1">
        <v>13411261</v>
      </c>
      <c r="G395" s="1">
        <v>0</v>
      </c>
      <c r="H395" s="1">
        <v>0</v>
      </c>
      <c r="I395" s="1">
        <v>6843678</v>
      </c>
      <c r="J395" s="1">
        <v>0</v>
      </c>
      <c r="K395" s="1">
        <v>4620000</v>
      </c>
      <c r="L395" s="1">
        <v>0</v>
      </c>
      <c r="M395" s="1">
        <v>1000000</v>
      </c>
      <c r="N395" s="1">
        <v>2412910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1387000</v>
      </c>
      <c r="U395" s="1">
        <v>0</v>
      </c>
      <c r="V395" s="1">
        <v>7579574</v>
      </c>
      <c r="W395" s="1">
        <v>1900000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1723507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8563316</v>
      </c>
      <c r="AM395" s="1">
        <v>0</v>
      </c>
      <c r="AN395" s="1">
        <v>0</v>
      </c>
      <c r="AO395" s="1">
        <v>49441246</v>
      </c>
      <c r="AP395" s="1">
        <v>20378107</v>
      </c>
      <c r="AQ395" s="1">
        <v>29063139</v>
      </c>
      <c r="AR395" s="1">
        <v>9888249</v>
      </c>
      <c r="AS395" s="1">
        <v>1483237</v>
      </c>
      <c r="AT395" s="1">
        <f t="shared" si="42"/>
        <v>60812732</v>
      </c>
    </row>
    <row r="396" spans="1:46" x14ac:dyDescent="0.2">
      <c r="A396" s="1" t="str">
        <f>"00458"</f>
        <v>00458</v>
      </c>
      <c r="B396" s="1" t="str">
        <f>"سعيد"</f>
        <v>سعيد</v>
      </c>
      <c r="C396" s="1" t="str">
        <f>"پولادي"</f>
        <v>پولادي</v>
      </c>
      <c r="D396" s="1" t="str">
        <f t="shared" si="41"/>
        <v>قراردادي بهره بردار</v>
      </c>
      <c r="E396" s="1" t="str">
        <f>"پروژه بهره برداري نيروگاه بوشهر"</f>
        <v>پروژه بهره برداري نيروگاه بوشهر</v>
      </c>
      <c r="F396" s="1">
        <v>14324769</v>
      </c>
      <c r="G396" s="1">
        <v>2504731</v>
      </c>
      <c r="H396" s="1">
        <v>0</v>
      </c>
      <c r="I396" s="1">
        <v>11686524</v>
      </c>
      <c r="J396" s="1">
        <v>0</v>
      </c>
      <c r="K396" s="1">
        <v>4620000</v>
      </c>
      <c r="L396" s="1">
        <v>0</v>
      </c>
      <c r="M396" s="1">
        <v>1000000</v>
      </c>
      <c r="N396" s="1">
        <v>2732638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1606000</v>
      </c>
      <c r="U396" s="1">
        <v>0</v>
      </c>
      <c r="V396" s="1">
        <v>17861379</v>
      </c>
      <c r="W396" s="1">
        <v>1900000</v>
      </c>
      <c r="X396" s="1">
        <v>2079402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1951884</v>
      </c>
      <c r="AF396" s="1">
        <v>3033762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10602169</v>
      </c>
      <c r="AM396" s="1">
        <v>0</v>
      </c>
      <c r="AN396" s="1">
        <v>0</v>
      </c>
      <c r="AO396" s="1">
        <v>75903258</v>
      </c>
      <c r="AP396" s="1">
        <v>29367906</v>
      </c>
      <c r="AQ396" s="1">
        <v>46535352</v>
      </c>
      <c r="AR396" s="1">
        <v>14573899</v>
      </c>
      <c r="AS396" s="1">
        <v>2186085</v>
      </c>
      <c r="AT396" s="1">
        <f t="shared" si="42"/>
        <v>92663242</v>
      </c>
    </row>
    <row r="397" spans="1:46" x14ac:dyDescent="0.2">
      <c r="A397" s="1" t="str">
        <f>"00459"</f>
        <v>00459</v>
      </c>
      <c r="B397" s="1" t="str">
        <f>"بهنام"</f>
        <v>بهنام</v>
      </c>
      <c r="C397" s="1" t="str">
        <f>"تنگستاني"</f>
        <v>تنگستاني</v>
      </c>
      <c r="D397" s="1" t="str">
        <f t="shared" si="41"/>
        <v>قراردادي بهره بردار</v>
      </c>
      <c r="E397" s="1" t="str">
        <f>"پروژه بهره برداري نيروگاه بوشهر"</f>
        <v>پروژه بهره برداري نيروگاه بوشهر</v>
      </c>
      <c r="F397" s="1">
        <v>14072843</v>
      </c>
      <c r="G397" s="1">
        <v>0</v>
      </c>
      <c r="H397" s="1">
        <v>0</v>
      </c>
      <c r="I397" s="1">
        <v>11372759</v>
      </c>
      <c r="J397" s="1">
        <v>0</v>
      </c>
      <c r="K397" s="1">
        <v>3465000</v>
      </c>
      <c r="L397" s="1">
        <v>0</v>
      </c>
      <c r="M397" s="1">
        <v>1000000</v>
      </c>
      <c r="N397" s="1">
        <v>2644463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1387000</v>
      </c>
      <c r="U397" s="1">
        <v>0</v>
      </c>
      <c r="V397" s="1">
        <v>16103882</v>
      </c>
      <c r="W397" s="1">
        <v>1900000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1888902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6620764</v>
      </c>
      <c r="AM397" s="1">
        <v>0</v>
      </c>
      <c r="AN397" s="1">
        <v>0</v>
      </c>
      <c r="AO397" s="1">
        <v>60455613</v>
      </c>
      <c r="AP397" s="1">
        <v>23110129</v>
      </c>
      <c r="AQ397" s="1">
        <v>37345484</v>
      </c>
      <c r="AR397" s="1">
        <v>12091123</v>
      </c>
      <c r="AS397" s="1">
        <v>1813668</v>
      </c>
      <c r="AT397" s="1">
        <f t="shared" si="42"/>
        <v>74360404</v>
      </c>
    </row>
    <row r="398" spans="1:46" x14ac:dyDescent="0.2">
      <c r="A398" s="1" t="str">
        <f>"00460"</f>
        <v>00460</v>
      </c>
      <c r="B398" s="1" t="str">
        <f>"مجيد"</f>
        <v>مجيد</v>
      </c>
      <c r="C398" s="1" t="str">
        <f>"جعفري"</f>
        <v>جعفري</v>
      </c>
      <c r="D398" s="1" t="str">
        <f t="shared" si="41"/>
        <v>قراردادي بهره بردار</v>
      </c>
      <c r="E398" s="1" t="str">
        <f>"پروژه تعميرات نيروگاه بوشهر"</f>
        <v>پروژه تعميرات نيروگاه بوشهر</v>
      </c>
      <c r="F398" s="1">
        <v>14061889</v>
      </c>
      <c r="G398" s="1">
        <v>0</v>
      </c>
      <c r="H398" s="1">
        <v>0</v>
      </c>
      <c r="I398" s="1">
        <v>11622334</v>
      </c>
      <c r="J398" s="1">
        <v>0</v>
      </c>
      <c r="K398" s="1">
        <v>4620000</v>
      </c>
      <c r="L398" s="1">
        <v>0</v>
      </c>
      <c r="M398" s="1">
        <v>1000000</v>
      </c>
      <c r="N398" s="1">
        <v>2640630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1387000</v>
      </c>
      <c r="U398" s="1">
        <v>0</v>
      </c>
      <c r="V398" s="1">
        <v>13201051</v>
      </c>
      <c r="W398" s="1">
        <v>1900000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1886164</v>
      </c>
      <c r="AF398" s="1">
        <v>1516881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5956247</v>
      </c>
      <c r="AM398" s="1">
        <v>0</v>
      </c>
      <c r="AN398" s="1">
        <v>0</v>
      </c>
      <c r="AO398" s="1">
        <v>59792196</v>
      </c>
      <c r="AP398" s="1">
        <v>36368577</v>
      </c>
      <c r="AQ398" s="1">
        <v>23423619</v>
      </c>
      <c r="AR398" s="1">
        <v>11655063</v>
      </c>
      <c r="AS398" s="1">
        <v>1748259</v>
      </c>
      <c r="AT398" s="1">
        <f t="shared" si="42"/>
        <v>73195518</v>
      </c>
    </row>
    <row r="399" spans="1:46" x14ac:dyDescent="0.2">
      <c r="A399" s="1" t="str">
        <f>"00461"</f>
        <v>00461</v>
      </c>
      <c r="B399" s="1" t="str">
        <f>"علي اکبر"</f>
        <v>علي اکبر</v>
      </c>
      <c r="C399" s="1" t="str">
        <f>"جعفري"</f>
        <v>جعفري</v>
      </c>
      <c r="D399" s="1" t="str">
        <f t="shared" si="41"/>
        <v>قراردادي بهره بردار</v>
      </c>
      <c r="E399" s="1" t="str">
        <f>"پروژه بهره برداري نيروگاه بوشهر"</f>
        <v>پروژه بهره برداري نيروگاه بوشهر</v>
      </c>
      <c r="F399" s="1">
        <v>15571259</v>
      </c>
      <c r="G399" s="1">
        <v>3132470</v>
      </c>
      <c r="H399" s="1">
        <v>0</v>
      </c>
      <c r="I399" s="1">
        <v>12840142</v>
      </c>
      <c r="J399" s="1">
        <v>0</v>
      </c>
      <c r="K399" s="1">
        <v>4620000</v>
      </c>
      <c r="L399" s="1">
        <v>0</v>
      </c>
      <c r="M399" s="1">
        <v>1000000</v>
      </c>
      <c r="N399" s="1">
        <v>2927388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1606000</v>
      </c>
      <c r="U399" s="1">
        <v>0</v>
      </c>
      <c r="V399" s="1">
        <v>10376080</v>
      </c>
      <c r="W399" s="1">
        <v>1900000</v>
      </c>
      <c r="X399" s="1">
        <v>2260344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2090991</v>
      </c>
      <c r="AF399" s="1">
        <v>1516881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11683614</v>
      </c>
      <c r="AM399" s="1">
        <v>0</v>
      </c>
      <c r="AN399" s="1">
        <v>0</v>
      </c>
      <c r="AO399" s="1">
        <v>71525169</v>
      </c>
      <c r="AP399" s="1">
        <v>12072121</v>
      </c>
      <c r="AQ399" s="1">
        <v>59453048</v>
      </c>
      <c r="AR399" s="1">
        <v>14001658</v>
      </c>
      <c r="AS399" s="1">
        <v>2100249</v>
      </c>
      <c r="AT399" s="1">
        <f t="shared" si="42"/>
        <v>87627076</v>
      </c>
    </row>
    <row r="400" spans="1:46" x14ac:dyDescent="0.2">
      <c r="A400" s="1" t="str">
        <f>"00462"</f>
        <v>00462</v>
      </c>
      <c r="B400" s="1" t="str">
        <f>"سلمان"</f>
        <v>سلمان</v>
      </c>
      <c r="C400" s="1" t="str">
        <f>"حسين زاده"</f>
        <v>حسين زاده</v>
      </c>
      <c r="D400" s="1" t="str">
        <f t="shared" si="41"/>
        <v>قراردادي بهره بردار</v>
      </c>
      <c r="E400" s="1" t="str">
        <f>"پروژه بهره برداري نيروگاه بوشهر"</f>
        <v>پروژه بهره برداري نيروگاه بوشهر</v>
      </c>
      <c r="F400" s="1">
        <v>16167120</v>
      </c>
      <c r="G400" s="1">
        <v>7649768</v>
      </c>
      <c r="H400" s="1">
        <v>0</v>
      </c>
      <c r="I400" s="1">
        <v>13760342</v>
      </c>
      <c r="J400" s="1">
        <v>0</v>
      </c>
      <c r="K400" s="1">
        <v>4620000</v>
      </c>
      <c r="L400" s="1">
        <v>0</v>
      </c>
      <c r="M400" s="1">
        <v>1000000</v>
      </c>
      <c r="N400" s="1">
        <v>3135939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1606000</v>
      </c>
      <c r="U400" s="1">
        <v>0</v>
      </c>
      <c r="V400" s="1">
        <v>16268940</v>
      </c>
      <c r="W400" s="1">
        <v>1900000</v>
      </c>
      <c r="X400" s="1">
        <v>2346840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2239957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12197194</v>
      </c>
      <c r="AM400" s="1">
        <v>0</v>
      </c>
      <c r="AN400" s="1">
        <v>0</v>
      </c>
      <c r="AO400" s="1">
        <v>82892100</v>
      </c>
      <c r="AP400" s="1">
        <v>10160812</v>
      </c>
      <c r="AQ400" s="1">
        <v>72731288</v>
      </c>
      <c r="AR400" s="1">
        <v>16578420</v>
      </c>
      <c r="AS400" s="1">
        <v>2486763</v>
      </c>
      <c r="AT400" s="1">
        <f t="shared" si="42"/>
        <v>101957283</v>
      </c>
    </row>
    <row r="401" spans="1:46" x14ac:dyDescent="0.2">
      <c r="A401" s="1" t="str">
        <f>"00463"</f>
        <v>00463</v>
      </c>
      <c r="B401" s="1" t="str">
        <f>"حامد"</f>
        <v>حامد</v>
      </c>
      <c r="C401" s="1" t="str">
        <f>"حسيني فانيد"</f>
        <v>حسيني فانيد</v>
      </c>
      <c r="D401" s="1" t="str">
        <f t="shared" si="41"/>
        <v>قراردادي بهره بردار</v>
      </c>
      <c r="E401" s="1" t="str">
        <f>"پروژه تعميرات نيروگاه بوشهر"</f>
        <v>پروژه تعميرات نيروگاه بوشهر</v>
      </c>
      <c r="F401" s="1">
        <v>14405824</v>
      </c>
      <c r="G401" s="1">
        <v>1793612</v>
      </c>
      <c r="H401" s="1">
        <v>0</v>
      </c>
      <c r="I401" s="1">
        <v>12058035</v>
      </c>
      <c r="J401" s="1">
        <v>0</v>
      </c>
      <c r="K401" s="1">
        <v>4620000</v>
      </c>
      <c r="L401" s="1">
        <v>0</v>
      </c>
      <c r="M401" s="1">
        <v>1000000</v>
      </c>
      <c r="N401" s="1">
        <v>2761007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1606000</v>
      </c>
      <c r="U401" s="1">
        <v>0</v>
      </c>
      <c r="V401" s="1">
        <v>13593532</v>
      </c>
      <c r="W401" s="1">
        <v>1900000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1972148</v>
      </c>
      <c r="AF401" s="1">
        <v>1516881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6045539</v>
      </c>
      <c r="AM401" s="1">
        <v>0</v>
      </c>
      <c r="AN401" s="1">
        <v>0</v>
      </c>
      <c r="AO401" s="1">
        <v>63272578</v>
      </c>
      <c r="AP401" s="1">
        <v>26247275</v>
      </c>
      <c r="AQ401" s="1">
        <v>37025303</v>
      </c>
      <c r="AR401" s="1">
        <v>12351139</v>
      </c>
      <c r="AS401" s="1">
        <v>1852671</v>
      </c>
      <c r="AT401" s="1">
        <f t="shared" si="42"/>
        <v>77476388</v>
      </c>
    </row>
    <row r="402" spans="1:46" x14ac:dyDescent="0.2">
      <c r="A402" s="1" t="str">
        <f>"00465"</f>
        <v>00465</v>
      </c>
      <c r="B402" s="1" t="str">
        <f>"سيد محمد هادي"</f>
        <v>سيد محمد هادي</v>
      </c>
      <c r="C402" s="1" t="str">
        <f>"خرازيان"</f>
        <v>خرازيان</v>
      </c>
      <c r="D402" s="1" t="str">
        <f t="shared" si="41"/>
        <v>قراردادي بهره بردار</v>
      </c>
      <c r="E402" s="1" t="str">
        <f t="shared" ref="E402:E419" si="43">"پروژه بهره برداري نيروگاه بوشهر"</f>
        <v>پروژه بهره برداري نيروگاه بوشهر</v>
      </c>
      <c r="F402" s="1">
        <v>15406959</v>
      </c>
      <c r="G402" s="1">
        <v>3356207</v>
      </c>
      <c r="H402" s="1">
        <v>0</v>
      </c>
      <c r="I402" s="1">
        <v>11826070</v>
      </c>
      <c r="J402" s="1">
        <v>0</v>
      </c>
      <c r="K402" s="1">
        <v>4620000</v>
      </c>
      <c r="L402" s="1">
        <v>0</v>
      </c>
      <c r="M402" s="1">
        <v>1000000</v>
      </c>
      <c r="N402" s="1">
        <v>2869883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1606000</v>
      </c>
      <c r="U402" s="1">
        <v>0</v>
      </c>
      <c r="V402" s="1">
        <v>9881949</v>
      </c>
      <c r="W402" s="1">
        <v>1900000</v>
      </c>
      <c r="X402" s="1">
        <v>2236494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2049916</v>
      </c>
      <c r="AF402" s="1">
        <v>1516881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10812167</v>
      </c>
      <c r="AM402" s="1">
        <v>0</v>
      </c>
      <c r="AN402" s="1">
        <v>0</v>
      </c>
      <c r="AO402" s="1">
        <v>69082526</v>
      </c>
      <c r="AP402" s="1">
        <v>7814288</v>
      </c>
      <c r="AQ402" s="1">
        <v>61268238</v>
      </c>
      <c r="AR402" s="1">
        <v>13513129</v>
      </c>
      <c r="AS402" s="1">
        <v>2026969</v>
      </c>
      <c r="AT402" s="1">
        <f t="shared" si="42"/>
        <v>84622624</v>
      </c>
    </row>
    <row r="403" spans="1:46" x14ac:dyDescent="0.2">
      <c r="A403" s="1" t="str">
        <f>"00466"</f>
        <v>00466</v>
      </c>
      <c r="B403" s="1" t="str">
        <f>"عباس"</f>
        <v>عباس</v>
      </c>
      <c r="C403" s="1" t="str">
        <f>"خوش صوت"</f>
        <v>خوش صوت</v>
      </c>
      <c r="D403" s="1" t="str">
        <f t="shared" si="41"/>
        <v>قراردادي بهره بردار</v>
      </c>
      <c r="E403" s="1" t="str">
        <f t="shared" si="43"/>
        <v>پروژه بهره برداري نيروگاه بوشهر</v>
      </c>
      <c r="F403" s="1">
        <v>14351057</v>
      </c>
      <c r="G403" s="1">
        <v>315516</v>
      </c>
      <c r="H403" s="1">
        <v>0</v>
      </c>
      <c r="I403" s="1">
        <v>11463669</v>
      </c>
      <c r="J403" s="1">
        <v>0</v>
      </c>
      <c r="K403" s="1">
        <v>4620000</v>
      </c>
      <c r="L403" s="1">
        <v>0</v>
      </c>
      <c r="M403" s="1">
        <v>1000000</v>
      </c>
      <c r="N403" s="1">
        <v>2741838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1387000</v>
      </c>
      <c r="U403" s="1">
        <v>0</v>
      </c>
      <c r="V403" s="1">
        <v>8361002</v>
      </c>
      <c r="W403" s="1">
        <v>1900000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1958456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5837163</v>
      </c>
      <c r="AM403" s="1">
        <v>0</v>
      </c>
      <c r="AN403" s="1">
        <v>0</v>
      </c>
      <c r="AO403" s="1">
        <v>53935701</v>
      </c>
      <c r="AP403" s="1">
        <v>25645551</v>
      </c>
      <c r="AQ403" s="1">
        <v>28290150</v>
      </c>
      <c r="AR403" s="1">
        <v>10787140</v>
      </c>
      <c r="AS403" s="1">
        <v>1618071</v>
      </c>
      <c r="AT403" s="1">
        <f t="shared" si="42"/>
        <v>66340912</v>
      </c>
    </row>
    <row r="404" spans="1:46" x14ac:dyDescent="0.2">
      <c r="A404" s="1" t="str">
        <f>"00467"</f>
        <v>00467</v>
      </c>
      <c r="B404" s="1" t="str">
        <f>"سعيد"</f>
        <v>سعيد</v>
      </c>
      <c r="C404" s="1" t="str">
        <f>"داروئي"</f>
        <v>داروئي</v>
      </c>
      <c r="D404" s="1" t="str">
        <f t="shared" si="41"/>
        <v>قراردادي بهره بردار</v>
      </c>
      <c r="E404" s="1" t="str">
        <f t="shared" si="43"/>
        <v>پروژه بهره برداري نيروگاه بوشهر</v>
      </c>
      <c r="F404" s="1">
        <v>16791460</v>
      </c>
      <c r="G404" s="1">
        <v>0</v>
      </c>
      <c r="H404" s="1">
        <v>0</v>
      </c>
      <c r="I404" s="1">
        <v>14372609</v>
      </c>
      <c r="J404" s="1">
        <v>0</v>
      </c>
      <c r="K404" s="1">
        <v>4620000</v>
      </c>
      <c r="L404" s="1">
        <v>0</v>
      </c>
      <c r="M404" s="1">
        <v>1000000</v>
      </c>
      <c r="N404" s="1">
        <v>3354458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1387000</v>
      </c>
      <c r="U404" s="1">
        <v>0</v>
      </c>
      <c r="V404" s="1">
        <v>10305482</v>
      </c>
      <c r="W404" s="1">
        <v>1900000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2396042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7891877</v>
      </c>
      <c r="AM404" s="1">
        <v>0</v>
      </c>
      <c r="AN404" s="1">
        <v>0</v>
      </c>
      <c r="AO404" s="1">
        <v>64018928</v>
      </c>
      <c r="AP404" s="1">
        <v>31743812</v>
      </c>
      <c r="AQ404" s="1">
        <v>32275116</v>
      </c>
      <c r="AR404" s="1">
        <v>12803786</v>
      </c>
      <c r="AS404" s="1">
        <v>1920568</v>
      </c>
      <c r="AT404" s="1">
        <f t="shared" si="42"/>
        <v>78743282</v>
      </c>
    </row>
    <row r="405" spans="1:46" x14ac:dyDescent="0.2">
      <c r="A405" s="1" t="str">
        <f>"00469"</f>
        <v>00469</v>
      </c>
      <c r="B405" s="1" t="str">
        <f>"سعيد"</f>
        <v>سعيد</v>
      </c>
      <c r="C405" s="1" t="str">
        <f>"رستمي خليل اللهي"</f>
        <v>رستمي خليل اللهي</v>
      </c>
      <c r="D405" s="1" t="str">
        <f t="shared" si="41"/>
        <v>قراردادي بهره بردار</v>
      </c>
      <c r="E405" s="1" t="str">
        <f t="shared" si="43"/>
        <v>پروژه بهره برداري نيروگاه بوشهر</v>
      </c>
      <c r="F405" s="1">
        <v>14123228</v>
      </c>
      <c r="G405" s="1">
        <v>2428839</v>
      </c>
      <c r="H405" s="1">
        <v>0</v>
      </c>
      <c r="I405" s="1">
        <v>11097485</v>
      </c>
      <c r="J405" s="1">
        <v>0</v>
      </c>
      <c r="K405" s="1">
        <v>7084000</v>
      </c>
      <c r="L405" s="1">
        <v>0</v>
      </c>
      <c r="M405" s="1">
        <v>1000000</v>
      </c>
      <c r="N405" s="1">
        <v>2662098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1606000</v>
      </c>
      <c r="U405" s="1">
        <v>0</v>
      </c>
      <c r="V405" s="1">
        <v>9194690</v>
      </c>
      <c r="W405" s="1">
        <v>1900000</v>
      </c>
      <c r="X405" s="1">
        <v>2050146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1901499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10192603</v>
      </c>
      <c r="AM405" s="1">
        <v>0</v>
      </c>
      <c r="AN405" s="1">
        <v>0</v>
      </c>
      <c r="AO405" s="1">
        <v>65240588</v>
      </c>
      <c r="AP405" s="1">
        <v>36458908</v>
      </c>
      <c r="AQ405" s="1">
        <v>28781680</v>
      </c>
      <c r="AR405" s="1">
        <v>13048118</v>
      </c>
      <c r="AS405" s="1">
        <v>1957218</v>
      </c>
      <c r="AT405" s="1">
        <f t="shared" si="42"/>
        <v>80245924</v>
      </c>
    </row>
    <row r="406" spans="1:46" x14ac:dyDescent="0.2">
      <c r="A406" s="1" t="str">
        <f>"00470"</f>
        <v>00470</v>
      </c>
      <c r="B406" s="1" t="str">
        <f>"غلامحسين"</f>
        <v>غلامحسين</v>
      </c>
      <c r="C406" s="1" t="str">
        <f>"رضازاده"</f>
        <v>رضازاده</v>
      </c>
      <c r="D406" s="1" t="str">
        <f t="shared" si="41"/>
        <v>قراردادي بهره بردار</v>
      </c>
      <c r="E406" s="1" t="str">
        <f t="shared" si="43"/>
        <v>پروژه بهره برداري نيروگاه بوشهر</v>
      </c>
      <c r="F406" s="1">
        <v>14808907</v>
      </c>
      <c r="G406" s="1">
        <v>3387393</v>
      </c>
      <c r="H406" s="1">
        <v>0</v>
      </c>
      <c r="I406" s="1">
        <v>12212507</v>
      </c>
      <c r="J406" s="1">
        <v>0</v>
      </c>
      <c r="K406" s="1">
        <v>3465000</v>
      </c>
      <c r="L406" s="1">
        <v>0</v>
      </c>
      <c r="M406" s="1">
        <v>1000000</v>
      </c>
      <c r="N406" s="1">
        <v>2902086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1606000</v>
      </c>
      <c r="U406" s="1">
        <v>0</v>
      </c>
      <c r="V406" s="1">
        <v>9973772</v>
      </c>
      <c r="W406" s="1">
        <v>1900000</v>
      </c>
      <c r="X406" s="1">
        <v>2149680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2072918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11367807</v>
      </c>
      <c r="AM406" s="1">
        <v>0</v>
      </c>
      <c r="AN406" s="1">
        <v>0</v>
      </c>
      <c r="AO406" s="1">
        <v>66846070</v>
      </c>
      <c r="AP406" s="1">
        <v>30962673</v>
      </c>
      <c r="AQ406" s="1">
        <v>35883397</v>
      </c>
      <c r="AR406" s="1">
        <v>13369214</v>
      </c>
      <c r="AS406" s="1">
        <v>2005382</v>
      </c>
      <c r="AT406" s="1">
        <f t="shared" si="42"/>
        <v>82220666</v>
      </c>
    </row>
    <row r="407" spans="1:46" x14ac:dyDescent="0.2">
      <c r="A407" s="1" t="str">
        <f>"00471"</f>
        <v>00471</v>
      </c>
      <c r="B407" s="1" t="str">
        <f>"سالار"</f>
        <v>سالار</v>
      </c>
      <c r="C407" s="1" t="str">
        <f>"رضائي شورباخورلو"</f>
        <v>رضائي شورباخورلو</v>
      </c>
      <c r="D407" s="1" t="str">
        <f t="shared" si="41"/>
        <v>قراردادي بهره بردار</v>
      </c>
      <c r="E407" s="1" t="str">
        <f t="shared" si="43"/>
        <v>پروژه بهره برداري نيروگاه بوشهر</v>
      </c>
      <c r="F407" s="1">
        <v>14265621</v>
      </c>
      <c r="G407" s="1">
        <v>2870628</v>
      </c>
      <c r="H407" s="1">
        <v>0</v>
      </c>
      <c r="I407" s="1">
        <v>12634166</v>
      </c>
      <c r="J407" s="1">
        <v>0</v>
      </c>
      <c r="K407" s="1">
        <v>4620000</v>
      </c>
      <c r="L407" s="1">
        <v>0</v>
      </c>
      <c r="M407" s="1">
        <v>1000000</v>
      </c>
      <c r="N407" s="1">
        <v>2711936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1387000</v>
      </c>
      <c r="U407" s="1">
        <v>0</v>
      </c>
      <c r="V407" s="1">
        <v>15383535</v>
      </c>
      <c r="W407" s="1">
        <v>1900000</v>
      </c>
      <c r="X407" s="1">
        <v>2050449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1937097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11183222</v>
      </c>
      <c r="AM407" s="1">
        <v>0</v>
      </c>
      <c r="AN407" s="1">
        <v>0</v>
      </c>
      <c r="AO407" s="1">
        <v>71943654</v>
      </c>
      <c r="AP407" s="1">
        <v>30294980</v>
      </c>
      <c r="AQ407" s="1">
        <v>41648674</v>
      </c>
      <c r="AR407" s="1">
        <v>14388731</v>
      </c>
      <c r="AS407" s="1">
        <v>2158310</v>
      </c>
      <c r="AT407" s="1">
        <f t="shared" si="42"/>
        <v>88490695</v>
      </c>
    </row>
    <row r="408" spans="1:46" x14ac:dyDescent="0.2">
      <c r="A408" s="1" t="str">
        <f>"00472"</f>
        <v>00472</v>
      </c>
      <c r="B408" s="1" t="str">
        <f>"حسن"</f>
        <v>حسن</v>
      </c>
      <c r="C408" s="1" t="str">
        <f>"رهبان"</f>
        <v>رهبان</v>
      </c>
      <c r="D408" s="1" t="str">
        <f t="shared" si="41"/>
        <v>قراردادي بهره بردار</v>
      </c>
      <c r="E408" s="1" t="str">
        <f t="shared" si="43"/>
        <v>پروژه بهره برداري نيروگاه بوشهر</v>
      </c>
      <c r="F408" s="1">
        <v>12924933</v>
      </c>
      <c r="G408" s="1">
        <v>2210968</v>
      </c>
      <c r="H408" s="1">
        <v>0</v>
      </c>
      <c r="I408" s="1">
        <v>10140858</v>
      </c>
      <c r="J408" s="1">
        <v>0</v>
      </c>
      <c r="K408" s="1">
        <v>4620000</v>
      </c>
      <c r="L408" s="1">
        <v>0</v>
      </c>
      <c r="M408" s="1">
        <v>1000000</v>
      </c>
      <c r="N408" s="1">
        <v>2242695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1606000</v>
      </c>
      <c r="U408" s="1">
        <v>0</v>
      </c>
      <c r="V408" s="1">
        <v>15956406</v>
      </c>
      <c r="W408" s="1">
        <v>1900000</v>
      </c>
      <c r="X408" s="1">
        <v>1876200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1601925</v>
      </c>
      <c r="AF408" s="1">
        <v>1516881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9354147</v>
      </c>
      <c r="AM408" s="1">
        <v>0</v>
      </c>
      <c r="AN408" s="1">
        <v>0</v>
      </c>
      <c r="AO408" s="1">
        <v>66951013</v>
      </c>
      <c r="AP408" s="1">
        <v>25784451</v>
      </c>
      <c r="AQ408" s="1">
        <v>41166562</v>
      </c>
      <c r="AR408" s="1">
        <v>13086826</v>
      </c>
      <c r="AS408" s="1">
        <v>1963024</v>
      </c>
      <c r="AT408" s="1">
        <f t="shared" si="42"/>
        <v>82000863</v>
      </c>
    </row>
    <row r="409" spans="1:46" x14ac:dyDescent="0.2">
      <c r="A409" s="1" t="str">
        <f>"00473"</f>
        <v>00473</v>
      </c>
      <c r="B409" s="1" t="str">
        <f>"مجيد"</f>
        <v>مجيد</v>
      </c>
      <c r="C409" s="1" t="str">
        <f>"رياحين"</f>
        <v>رياحين</v>
      </c>
      <c r="D409" s="1" t="str">
        <f t="shared" si="41"/>
        <v>قراردادي بهره بردار</v>
      </c>
      <c r="E409" s="1" t="str">
        <f t="shared" si="43"/>
        <v>پروژه بهره برداري نيروگاه بوشهر</v>
      </c>
      <c r="F409" s="1">
        <v>14508785</v>
      </c>
      <c r="G409" s="1">
        <v>3251374</v>
      </c>
      <c r="H409" s="1">
        <v>0</v>
      </c>
      <c r="I409" s="1">
        <v>12107130</v>
      </c>
      <c r="J409" s="1">
        <v>0</v>
      </c>
      <c r="K409" s="1">
        <v>4620000</v>
      </c>
      <c r="L409" s="1">
        <v>0</v>
      </c>
      <c r="M409" s="1">
        <v>1000000</v>
      </c>
      <c r="N409" s="1">
        <v>2797043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1606000</v>
      </c>
      <c r="U409" s="1">
        <v>0</v>
      </c>
      <c r="V409" s="1">
        <v>13879815</v>
      </c>
      <c r="W409" s="1">
        <v>1900000</v>
      </c>
      <c r="X409" s="1">
        <v>2106114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1997888</v>
      </c>
      <c r="AF409" s="1">
        <v>1516881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12305106</v>
      </c>
      <c r="AM409" s="1">
        <v>0</v>
      </c>
      <c r="AN409" s="1">
        <v>0</v>
      </c>
      <c r="AO409" s="1">
        <v>73596136</v>
      </c>
      <c r="AP409" s="1">
        <v>29013905</v>
      </c>
      <c r="AQ409" s="1">
        <v>44582231</v>
      </c>
      <c r="AR409" s="1">
        <v>14415851</v>
      </c>
      <c r="AS409" s="1">
        <v>2162378</v>
      </c>
      <c r="AT409" s="1">
        <f t="shared" si="42"/>
        <v>90174365</v>
      </c>
    </row>
    <row r="410" spans="1:46" x14ac:dyDescent="0.2">
      <c r="A410" s="1" t="str">
        <f>"00474"</f>
        <v>00474</v>
      </c>
      <c r="B410" s="1" t="str">
        <f>"سيدمجتبي"</f>
        <v>سيدمجتبي</v>
      </c>
      <c r="C410" s="1" t="str">
        <f>"سادات حسيني گروه"</f>
        <v>سادات حسيني گروه</v>
      </c>
      <c r="D410" s="1" t="str">
        <f t="shared" si="41"/>
        <v>قراردادي بهره بردار</v>
      </c>
      <c r="E410" s="1" t="str">
        <f t="shared" si="43"/>
        <v>پروژه بهره برداري نيروگاه بوشهر</v>
      </c>
      <c r="F410" s="1">
        <v>14386108</v>
      </c>
      <c r="G410" s="1">
        <v>12551164</v>
      </c>
      <c r="H410" s="1">
        <v>0</v>
      </c>
      <c r="I410" s="1">
        <v>11523482</v>
      </c>
      <c r="J410" s="1">
        <v>0</v>
      </c>
      <c r="K410" s="1">
        <v>4620000</v>
      </c>
      <c r="L410" s="1">
        <v>0</v>
      </c>
      <c r="M410" s="1">
        <v>1000000</v>
      </c>
      <c r="N410" s="1">
        <v>2754106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1606000</v>
      </c>
      <c r="U410" s="1">
        <v>0</v>
      </c>
      <c r="V410" s="1">
        <v>9502816</v>
      </c>
      <c r="W410" s="1">
        <v>1900000</v>
      </c>
      <c r="X410" s="1">
        <v>2088306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1967219</v>
      </c>
      <c r="AF410" s="1">
        <v>1516881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10685677</v>
      </c>
      <c r="AM410" s="1">
        <v>0</v>
      </c>
      <c r="AN410" s="1">
        <v>0</v>
      </c>
      <c r="AO410" s="1">
        <v>76101759</v>
      </c>
      <c r="AP410" s="1">
        <v>13586560</v>
      </c>
      <c r="AQ410" s="1">
        <v>62515199</v>
      </c>
      <c r="AR410" s="1">
        <v>14916976</v>
      </c>
      <c r="AS410" s="1">
        <v>2237546</v>
      </c>
      <c r="AT410" s="1">
        <f t="shared" si="42"/>
        <v>93256281</v>
      </c>
    </row>
    <row r="411" spans="1:46" x14ac:dyDescent="0.2">
      <c r="A411" s="1" t="str">
        <f>"00475"</f>
        <v>00475</v>
      </c>
      <c r="B411" s="1" t="str">
        <f>"عليرضا"</f>
        <v>عليرضا</v>
      </c>
      <c r="C411" s="1" t="str">
        <f>"سترگ"</f>
        <v>سترگ</v>
      </c>
      <c r="D411" s="1" t="str">
        <f t="shared" si="41"/>
        <v>قراردادي بهره بردار</v>
      </c>
      <c r="E411" s="1" t="str">
        <f t="shared" si="43"/>
        <v>پروژه بهره برداري نيروگاه بوشهر</v>
      </c>
      <c r="F411" s="1">
        <v>18132148</v>
      </c>
      <c r="G411" s="1">
        <v>3831112</v>
      </c>
      <c r="H411" s="1">
        <v>0</v>
      </c>
      <c r="I411" s="1">
        <v>14071502</v>
      </c>
      <c r="J411" s="1">
        <v>0</v>
      </c>
      <c r="K411" s="1">
        <v>5500000</v>
      </c>
      <c r="L411" s="1">
        <v>0</v>
      </c>
      <c r="M411" s="1">
        <v>1000000</v>
      </c>
      <c r="N411" s="1">
        <v>2987960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1606000</v>
      </c>
      <c r="U411" s="1">
        <v>0</v>
      </c>
      <c r="V411" s="1">
        <v>20489907</v>
      </c>
      <c r="W411" s="1">
        <v>1900000</v>
      </c>
      <c r="X411" s="1">
        <v>2632086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2134257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10049640</v>
      </c>
      <c r="AM411" s="1">
        <v>0</v>
      </c>
      <c r="AN411" s="1">
        <v>0</v>
      </c>
      <c r="AO411" s="1">
        <v>84334612</v>
      </c>
      <c r="AP411" s="1">
        <v>10395942</v>
      </c>
      <c r="AQ411" s="1">
        <v>73938670</v>
      </c>
      <c r="AR411" s="1">
        <v>16866922</v>
      </c>
      <c r="AS411" s="1">
        <v>2530038</v>
      </c>
      <c r="AT411" s="1">
        <f t="shared" si="42"/>
        <v>103731572</v>
      </c>
    </row>
    <row r="412" spans="1:46" x14ac:dyDescent="0.2">
      <c r="A412" s="1" t="str">
        <f>"00476"</f>
        <v>00476</v>
      </c>
      <c r="B412" s="1" t="str">
        <f>"ابراهيم"</f>
        <v>ابراهيم</v>
      </c>
      <c r="C412" s="1" t="str">
        <f>"سملي"</f>
        <v>سملي</v>
      </c>
      <c r="D412" s="1" t="str">
        <f t="shared" si="41"/>
        <v>قراردادي بهره بردار</v>
      </c>
      <c r="E412" s="1" t="str">
        <f t="shared" si="43"/>
        <v>پروژه بهره برداري نيروگاه بوشهر</v>
      </c>
      <c r="F412" s="1">
        <v>14469353</v>
      </c>
      <c r="G412" s="1">
        <v>2511193</v>
      </c>
      <c r="H412" s="1">
        <v>0</v>
      </c>
      <c r="I412" s="1">
        <v>11367805</v>
      </c>
      <c r="J412" s="1">
        <v>0</v>
      </c>
      <c r="K412" s="1">
        <v>4620000</v>
      </c>
      <c r="L412" s="1">
        <v>0</v>
      </c>
      <c r="M412" s="1">
        <v>1000000</v>
      </c>
      <c r="N412" s="1">
        <v>2783242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1606000</v>
      </c>
      <c r="U412" s="1">
        <v>0</v>
      </c>
      <c r="V412" s="1">
        <v>9506453</v>
      </c>
      <c r="W412" s="1">
        <v>1900000</v>
      </c>
      <c r="X412" s="1">
        <v>2100390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1988030</v>
      </c>
      <c r="AF412" s="1">
        <v>1516881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10723971</v>
      </c>
      <c r="AM412" s="1">
        <v>0</v>
      </c>
      <c r="AN412" s="1">
        <v>0</v>
      </c>
      <c r="AO412" s="1">
        <v>66093318</v>
      </c>
      <c r="AP412" s="1">
        <v>7627048</v>
      </c>
      <c r="AQ412" s="1">
        <v>58466270</v>
      </c>
      <c r="AR412" s="1">
        <v>12915287</v>
      </c>
      <c r="AS412" s="1">
        <v>1937293</v>
      </c>
      <c r="AT412" s="1">
        <f t="shared" si="42"/>
        <v>80945898</v>
      </c>
    </row>
    <row r="413" spans="1:46" x14ac:dyDescent="0.2">
      <c r="A413" s="1" t="str">
        <f>"00477"</f>
        <v>00477</v>
      </c>
      <c r="B413" s="1" t="str">
        <f>"احسان"</f>
        <v>احسان</v>
      </c>
      <c r="C413" s="1" t="str">
        <f>"سيفي علمي"</f>
        <v>سيفي علمي</v>
      </c>
      <c r="D413" s="1" t="str">
        <f t="shared" si="41"/>
        <v>قراردادي بهره بردار</v>
      </c>
      <c r="E413" s="1" t="str">
        <f t="shared" si="43"/>
        <v>پروژه بهره برداري نيروگاه بوشهر</v>
      </c>
      <c r="F413" s="1">
        <v>13908543</v>
      </c>
      <c r="G413" s="1">
        <v>4059271</v>
      </c>
      <c r="H413" s="1">
        <v>0</v>
      </c>
      <c r="I413" s="1">
        <v>10756103</v>
      </c>
      <c r="J413" s="1">
        <v>0</v>
      </c>
      <c r="K413" s="1">
        <v>4620000</v>
      </c>
      <c r="L413" s="1">
        <v>0</v>
      </c>
      <c r="M413" s="1">
        <v>1000000</v>
      </c>
      <c r="N413" s="1">
        <v>2586958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1387000</v>
      </c>
      <c r="U413" s="1">
        <v>0</v>
      </c>
      <c r="V413" s="1">
        <v>13450248</v>
      </c>
      <c r="W413" s="1">
        <v>1900000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1847827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5388383</v>
      </c>
      <c r="AM413" s="1">
        <v>0</v>
      </c>
      <c r="AN413" s="1">
        <v>0</v>
      </c>
      <c r="AO413" s="1">
        <v>60904333</v>
      </c>
      <c r="AP413" s="1">
        <v>21788712</v>
      </c>
      <c r="AQ413" s="1">
        <v>39115621</v>
      </c>
      <c r="AR413" s="1">
        <v>12180867</v>
      </c>
      <c r="AS413" s="1">
        <v>1827130</v>
      </c>
      <c r="AT413" s="1">
        <f t="shared" si="42"/>
        <v>74912330</v>
      </c>
    </row>
    <row r="414" spans="1:46" x14ac:dyDescent="0.2">
      <c r="A414" s="1" t="str">
        <f>"00478"</f>
        <v>00478</v>
      </c>
      <c r="B414" s="1" t="str">
        <f>"حامد"</f>
        <v>حامد</v>
      </c>
      <c r="C414" s="1" t="str">
        <f>"شاد"</f>
        <v>شاد</v>
      </c>
      <c r="D414" s="1" t="str">
        <f t="shared" si="41"/>
        <v>قراردادي بهره بردار</v>
      </c>
      <c r="E414" s="1" t="str">
        <f t="shared" si="43"/>
        <v>پروژه بهره برداري نيروگاه بوشهر</v>
      </c>
      <c r="F414" s="1">
        <v>14508785</v>
      </c>
      <c r="G414" s="1">
        <v>6525780</v>
      </c>
      <c r="H414" s="1">
        <v>0</v>
      </c>
      <c r="I414" s="1">
        <v>12263875</v>
      </c>
      <c r="J414" s="1">
        <v>0</v>
      </c>
      <c r="K414" s="1">
        <v>4620000</v>
      </c>
      <c r="L414" s="1">
        <v>0</v>
      </c>
      <c r="M414" s="1">
        <v>1000000</v>
      </c>
      <c r="N414" s="1">
        <v>2797043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1606000</v>
      </c>
      <c r="U414" s="1">
        <v>0</v>
      </c>
      <c r="V414" s="1">
        <v>14745935</v>
      </c>
      <c r="W414" s="1">
        <v>1900000</v>
      </c>
      <c r="X414" s="1">
        <v>2106114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1997888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11486235</v>
      </c>
      <c r="AM414" s="1">
        <v>0</v>
      </c>
      <c r="AN414" s="1">
        <v>0</v>
      </c>
      <c r="AO414" s="1">
        <v>75557655</v>
      </c>
      <c r="AP414" s="1">
        <v>24420849</v>
      </c>
      <c r="AQ414" s="1">
        <v>51136806</v>
      </c>
      <c r="AR414" s="1">
        <v>15111531</v>
      </c>
      <c r="AS414" s="1">
        <v>2266730</v>
      </c>
      <c r="AT414" s="1">
        <f t="shared" si="42"/>
        <v>92935916</v>
      </c>
    </row>
    <row r="415" spans="1:46" x14ac:dyDescent="0.2">
      <c r="A415" s="1" t="str">
        <f>"00479"</f>
        <v>00479</v>
      </c>
      <c r="B415" s="1" t="str">
        <f>"صابر"</f>
        <v>صابر</v>
      </c>
      <c r="C415" s="1" t="str">
        <f>"شباني"</f>
        <v>شباني</v>
      </c>
      <c r="D415" s="1" t="str">
        <f t="shared" si="41"/>
        <v>قراردادي بهره بردار</v>
      </c>
      <c r="E415" s="1" t="str">
        <f t="shared" si="43"/>
        <v>پروژه بهره برداري نيروگاه بوشهر</v>
      </c>
      <c r="F415" s="1">
        <v>14158279</v>
      </c>
      <c r="G415" s="1">
        <v>3260764</v>
      </c>
      <c r="H415" s="1">
        <v>0</v>
      </c>
      <c r="I415" s="1">
        <v>11538036</v>
      </c>
      <c r="J415" s="1">
        <v>0</v>
      </c>
      <c r="K415" s="1">
        <v>0</v>
      </c>
      <c r="L415" s="1">
        <v>0</v>
      </c>
      <c r="M415" s="1">
        <v>1000000</v>
      </c>
      <c r="N415" s="1">
        <v>2674366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1606000</v>
      </c>
      <c r="U415" s="1">
        <v>0</v>
      </c>
      <c r="V415" s="1">
        <v>9600928</v>
      </c>
      <c r="W415" s="1">
        <v>1900000</v>
      </c>
      <c r="X415" s="1">
        <v>2055234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1910261</v>
      </c>
      <c r="AF415" s="1">
        <v>1516881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11462225</v>
      </c>
      <c r="AM415" s="1">
        <v>0</v>
      </c>
      <c r="AN415" s="1">
        <v>0</v>
      </c>
      <c r="AO415" s="1">
        <v>62682974</v>
      </c>
      <c r="AP415" s="1">
        <v>11090939</v>
      </c>
      <c r="AQ415" s="1">
        <v>51592035</v>
      </c>
      <c r="AR415" s="1">
        <v>12233219</v>
      </c>
      <c r="AS415" s="1">
        <v>1834983</v>
      </c>
      <c r="AT415" s="1">
        <f t="shared" si="42"/>
        <v>76751176</v>
      </c>
    </row>
    <row r="416" spans="1:46" x14ac:dyDescent="0.2">
      <c r="A416" s="1" t="str">
        <f>"00480"</f>
        <v>00480</v>
      </c>
      <c r="B416" s="1" t="str">
        <f>"عليرضا"</f>
        <v>عليرضا</v>
      </c>
      <c r="C416" s="1" t="str">
        <f>"شريفي راد"</f>
        <v>شريفي راد</v>
      </c>
      <c r="D416" s="1" t="str">
        <f t="shared" si="41"/>
        <v>قراردادي بهره بردار</v>
      </c>
      <c r="E416" s="1" t="str">
        <f t="shared" si="43"/>
        <v>پروژه بهره برداري نيروگاه بوشهر</v>
      </c>
      <c r="F416" s="1">
        <v>20215472</v>
      </c>
      <c r="G416" s="1">
        <v>0</v>
      </c>
      <c r="H416" s="1">
        <v>0</v>
      </c>
      <c r="I416" s="1">
        <v>15576050</v>
      </c>
      <c r="J416" s="1">
        <v>0</v>
      </c>
      <c r="K416" s="1">
        <v>5500000</v>
      </c>
      <c r="L416" s="1">
        <v>0</v>
      </c>
      <c r="M416" s="1">
        <v>1000000</v>
      </c>
      <c r="N416" s="1">
        <v>3337590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1606000</v>
      </c>
      <c r="U416" s="1">
        <v>0</v>
      </c>
      <c r="V416" s="1">
        <v>16519107</v>
      </c>
      <c r="W416" s="1">
        <v>1900000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2383993</v>
      </c>
      <c r="AF416" s="1">
        <v>3033762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6023895</v>
      </c>
      <c r="AM416" s="1">
        <v>0</v>
      </c>
      <c r="AN416" s="1">
        <v>0</v>
      </c>
      <c r="AO416" s="1">
        <v>77095869</v>
      </c>
      <c r="AP416" s="1">
        <v>12024899</v>
      </c>
      <c r="AQ416" s="1">
        <v>65070970</v>
      </c>
      <c r="AR416" s="1">
        <v>14812421</v>
      </c>
      <c r="AS416" s="1">
        <v>2221863</v>
      </c>
      <c r="AT416" s="1">
        <f t="shared" si="42"/>
        <v>94130153</v>
      </c>
    </row>
    <row r="417" spans="1:46" x14ac:dyDescent="0.2">
      <c r="A417" s="1" t="str">
        <f>"00481"</f>
        <v>00481</v>
      </c>
      <c r="B417" s="1" t="str">
        <f>"صادق"</f>
        <v>صادق</v>
      </c>
      <c r="C417" s="1" t="str">
        <f>"شهابي"</f>
        <v>شهابي</v>
      </c>
      <c r="D417" s="1" t="str">
        <f t="shared" si="41"/>
        <v>قراردادي بهره بردار</v>
      </c>
      <c r="E417" s="1" t="str">
        <f t="shared" si="43"/>
        <v>پروژه بهره برداري نيروگاه بوشهر</v>
      </c>
      <c r="F417" s="1">
        <v>15194464</v>
      </c>
      <c r="G417" s="1">
        <v>2223096</v>
      </c>
      <c r="H417" s="1">
        <v>0</v>
      </c>
      <c r="I417" s="1">
        <v>11650066</v>
      </c>
      <c r="J417" s="1">
        <v>0</v>
      </c>
      <c r="K417" s="1">
        <v>4620000</v>
      </c>
      <c r="L417" s="1">
        <v>0</v>
      </c>
      <c r="M417" s="1">
        <v>1000000</v>
      </c>
      <c r="N417" s="1">
        <v>2795510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1606000</v>
      </c>
      <c r="U417" s="1">
        <v>0</v>
      </c>
      <c r="V417" s="1">
        <v>9818461</v>
      </c>
      <c r="W417" s="1">
        <v>1900000</v>
      </c>
      <c r="X417" s="1">
        <v>1852580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1996793</v>
      </c>
      <c r="AF417" s="1">
        <v>1516881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11052128</v>
      </c>
      <c r="AM417" s="1">
        <v>0</v>
      </c>
      <c r="AN417" s="1">
        <v>0</v>
      </c>
      <c r="AO417" s="1">
        <v>67225979</v>
      </c>
      <c r="AP417" s="1">
        <v>27591584</v>
      </c>
      <c r="AQ417" s="1">
        <v>39634395</v>
      </c>
      <c r="AR417" s="1">
        <v>13141820</v>
      </c>
      <c r="AS417" s="1">
        <v>1971273</v>
      </c>
      <c r="AT417" s="1">
        <f t="shared" si="42"/>
        <v>82339072</v>
      </c>
    </row>
    <row r="418" spans="1:46" x14ac:dyDescent="0.2">
      <c r="A418" s="1" t="str">
        <f>"00482"</f>
        <v>00482</v>
      </c>
      <c r="B418" s="1" t="str">
        <f>"مهدي"</f>
        <v>مهدي</v>
      </c>
      <c r="C418" s="1" t="str">
        <f>"صداقت"</f>
        <v>صداقت</v>
      </c>
      <c r="D418" s="1" t="str">
        <f t="shared" ref="D418:D446" si="44">"قراردادي بهره بردار"</f>
        <v>قراردادي بهره بردار</v>
      </c>
      <c r="E418" s="1" t="str">
        <f t="shared" si="43"/>
        <v>پروژه بهره برداري نيروگاه بوشهر</v>
      </c>
      <c r="F418" s="1">
        <v>18462939</v>
      </c>
      <c r="G418" s="1">
        <v>3807570</v>
      </c>
      <c r="H418" s="1">
        <v>0</v>
      </c>
      <c r="I418" s="1">
        <v>13887074</v>
      </c>
      <c r="J418" s="1">
        <v>0</v>
      </c>
      <c r="K418" s="1">
        <v>5500000</v>
      </c>
      <c r="L418" s="1">
        <v>0</v>
      </c>
      <c r="M418" s="1">
        <v>1000000</v>
      </c>
      <c r="N418" s="1">
        <v>3103737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1606000</v>
      </c>
      <c r="U418" s="1">
        <v>0</v>
      </c>
      <c r="V418" s="1">
        <v>17881054</v>
      </c>
      <c r="W418" s="1">
        <v>1900000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2216955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4402364</v>
      </c>
      <c r="AM418" s="1">
        <v>0</v>
      </c>
      <c r="AN418" s="1">
        <v>0</v>
      </c>
      <c r="AO418" s="1">
        <v>73767693</v>
      </c>
      <c r="AP418" s="1">
        <v>27653542</v>
      </c>
      <c r="AQ418" s="1">
        <v>46114151</v>
      </c>
      <c r="AR418" s="1">
        <v>14753539</v>
      </c>
      <c r="AS418" s="1">
        <v>2213031</v>
      </c>
      <c r="AT418" s="1">
        <f t="shared" si="42"/>
        <v>90734263</v>
      </c>
    </row>
    <row r="419" spans="1:46" x14ac:dyDescent="0.2">
      <c r="A419" s="1" t="str">
        <f>"00483"</f>
        <v>00483</v>
      </c>
      <c r="B419" s="1" t="str">
        <f>"رضا"</f>
        <v>رضا</v>
      </c>
      <c r="C419" s="1" t="str">
        <f>"عابدي"</f>
        <v>عابدي</v>
      </c>
      <c r="D419" s="1" t="str">
        <f t="shared" si="44"/>
        <v>قراردادي بهره بردار</v>
      </c>
      <c r="E419" s="1" t="str">
        <f t="shared" si="43"/>
        <v>پروژه بهره برداري نيروگاه بوشهر</v>
      </c>
      <c r="F419" s="1">
        <v>18519896</v>
      </c>
      <c r="G419" s="1">
        <v>8400471</v>
      </c>
      <c r="H419" s="1">
        <v>0</v>
      </c>
      <c r="I419" s="1">
        <v>15312902</v>
      </c>
      <c r="J419" s="1">
        <v>0</v>
      </c>
      <c r="K419" s="1">
        <v>5500000</v>
      </c>
      <c r="L419" s="1">
        <v>0</v>
      </c>
      <c r="M419" s="1">
        <v>1000000</v>
      </c>
      <c r="N419" s="1">
        <v>3123672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1387000</v>
      </c>
      <c r="U419" s="1">
        <v>0</v>
      </c>
      <c r="V419" s="1">
        <v>13912975</v>
      </c>
      <c r="W419" s="1">
        <v>1900000</v>
      </c>
      <c r="X419" s="1">
        <v>2688372</v>
      </c>
      <c r="Y419" s="1">
        <v>0</v>
      </c>
      <c r="Z419" s="1">
        <v>0</v>
      </c>
      <c r="AA419" s="1">
        <v>0</v>
      </c>
      <c r="AB419" s="1">
        <v>0</v>
      </c>
      <c r="AC419" s="1">
        <v>3877480</v>
      </c>
      <c r="AD419" s="1">
        <v>0</v>
      </c>
      <c r="AE419" s="1">
        <v>2231194</v>
      </c>
      <c r="AF419" s="1">
        <v>1516881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17426053</v>
      </c>
      <c r="AM419" s="1">
        <v>0</v>
      </c>
      <c r="AN419" s="1">
        <v>0</v>
      </c>
      <c r="AO419" s="1">
        <v>96796896</v>
      </c>
      <c r="AP419" s="1">
        <v>42132586</v>
      </c>
      <c r="AQ419" s="1">
        <v>54664310</v>
      </c>
      <c r="AR419" s="1">
        <v>19056003</v>
      </c>
      <c r="AS419" s="1">
        <v>2858400</v>
      </c>
      <c r="AT419" s="1">
        <f t="shared" si="42"/>
        <v>118711299</v>
      </c>
    </row>
    <row r="420" spans="1:46" x14ac:dyDescent="0.2">
      <c r="A420" s="1" t="str">
        <f>"00484"</f>
        <v>00484</v>
      </c>
      <c r="B420" s="1" t="str">
        <f>"وحيد"</f>
        <v>وحيد</v>
      </c>
      <c r="C420" s="1" t="str">
        <f>"عدالت"</f>
        <v>عدالت</v>
      </c>
      <c r="D420" s="1" t="str">
        <f t="shared" si="44"/>
        <v>قراردادي بهره بردار</v>
      </c>
      <c r="E420" s="1" t="str">
        <f>"پروژه تعميرات نيروگاه بوشهر"</f>
        <v>پروژه تعميرات نيروگاه بوشهر</v>
      </c>
      <c r="F420" s="1">
        <v>15089312</v>
      </c>
      <c r="G420" s="1">
        <v>0</v>
      </c>
      <c r="H420" s="1">
        <v>0</v>
      </c>
      <c r="I420" s="1">
        <v>12516131</v>
      </c>
      <c r="J420" s="1">
        <v>0</v>
      </c>
      <c r="K420" s="1">
        <v>3465000</v>
      </c>
      <c r="L420" s="1">
        <v>0</v>
      </c>
      <c r="M420" s="1">
        <v>1000000</v>
      </c>
      <c r="N420" s="1">
        <v>2758707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1387000</v>
      </c>
      <c r="U420" s="1">
        <v>0</v>
      </c>
      <c r="V420" s="1">
        <v>14039123</v>
      </c>
      <c r="W420" s="1">
        <v>1900000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1970505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6128697</v>
      </c>
      <c r="AM420" s="1">
        <v>0</v>
      </c>
      <c r="AN420" s="1">
        <v>0</v>
      </c>
      <c r="AO420" s="1">
        <v>60254475</v>
      </c>
      <c r="AP420" s="1">
        <v>25978787</v>
      </c>
      <c r="AQ420" s="1">
        <v>34275688</v>
      </c>
      <c r="AR420" s="1">
        <v>12050895</v>
      </c>
      <c r="AS420" s="1">
        <v>1807634</v>
      </c>
      <c r="AT420" s="1">
        <f t="shared" si="42"/>
        <v>74113004</v>
      </c>
    </row>
    <row r="421" spans="1:46" x14ac:dyDescent="0.2">
      <c r="A421" s="1" t="str">
        <f>"00485"</f>
        <v>00485</v>
      </c>
      <c r="B421" s="1" t="str">
        <f>"مرتضي"</f>
        <v>مرتضي</v>
      </c>
      <c r="C421" s="1" t="str">
        <f>"غلامي"</f>
        <v>غلامي</v>
      </c>
      <c r="D421" s="1" t="str">
        <f t="shared" si="44"/>
        <v>قراردادي بهره بردار</v>
      </c>
      <c r="E421" s="1" t="str">
        <f t="shared" ref="E421:E446" si="45">"پروژه بهره برداري نيروگاه بوشهر"</f>
        <v>پروژه بهره برداري نيروگاه بوشهر</v>
      </c>
      <c r="F421" s="1">
        <v>14607365</v>
      </c>
      <c r="G421" s="1">
        <v>6369277</v>
      </c>
      <c r="H421" s="1">
        <v>0</v>
      </c>
      <c r="I421" s="1">
        <v>12037983</v>
      </c>
      <c r="J421" s="1">
        <v>0</v>
      </c>
      <c r="K421" s="1">
        <v>3465000</v>
      </c>
      <c r="L421" s="1">
        <v>0</v>
      </c>
      <c r="M421" s="1">
        <v>1000000</v>
      </c>
      <c r="N421" s="1">
        <v>2831546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1606000</v>
      </c>
      <c r="U421" s="1">
        <v>0</v>
      </c>
      <c r="V421" s="1">
        <v>9928361</v>
      </c>
      <c r="W421" s="1">
        <v>1900000</v>
      </c>
      <c r="X421" s="1">
        <v>2120424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2022533</v>
      </c>
      <c r="AF421" s="1">
        <v>4550643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11667359</v>
      </c>
      <c r="AM421" s="1">
        <v>0</v>
      </c>
      <c r="AN421" s="1">
        <v>0</v>
      </c>
      <c r="AO421" s="1">
        <v>74106491</v>
      </c>
      <c r="AP421" s="1">
        <v>39018060</v>
      </c>
      <c r="AQ421" s="1">
        <v>35088431</v>
      </c>
      <c r="AR421" s="1">
        <v>13911170</v>
      </c>
      <c r="AS421" s="1">
        <v>2086675</v>
      </c>
      <c r="AT421" s="1">
        <f t="shared" si="42"/>
        <v>90104336</v>
      </c>
    </row>
    <row r="422" spans="1:46" x14ac:dyDescent="0.2">
      <c r="A422" s="1" t="str">
        <f>"00486"</f>
        <v>00486</v>
      </c>
      <c r="B422" s="1" t="str">
        <f>"نويد"</f>
        <v>نويد</v>
      </c>
      <c r="C422" s="1" t="str">
        <f>"فلاح"</f>
        <v>فلاح</v>
      </c>
      <c r="D422" s="1" t="str">
        <f t="shared" si="44"/>
        <v>قراردادي بهره بردار</v>
      </c>
      <c r="E422" s="1" t="str">
        <f t="shared" si="45"/>
        <v>پروژه بهره برداري نيروگاه بوشهر</v>
      </c>
      <c r="F422" s="1">
        <v>14521929</v>
      </c>
      <c r="G422" s="1">
        <v>6920736</v>
      </c>
      <c r="H422" s="1">
        <v>0</v>
      </c>
      <c r="I422" s="1">
        <v>12154201</v>
      </c>
      <c r="J422" s="1">
        <v>0</v>
      </c>
      <c r="K422" s="1">
        <v>3465000</v>
      </c>
      <c r="L422" s="1">
        <v>0</v>
      </c>
      <c r="M422" s="1">
        <v>1000000</v>
      </c>
      <c r="N422" s="1">
        <v>2801644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1606000</v>
      </c>
      <c r="U422" s="1">
        <v>0</v>
      </c>
      <c r="V422" s="1">
        <v>13903051</v>
      </c>
      <c r="W422" s="1">
        <v>1900000</v>
      </c>
      <c r="X422" s="1">
        <v>2108022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2001174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12310189</v>
      </c>
      <c r="AM422" s="1">
        <v>0</v>
      </c>
      <c r="AN422" s="1">
        <v>0</v>
      </c>
      <c r="AO422" s="1">
        <v>74691946</v>
      </c>
      <c r="AP422" s="1">
        <v>35966413</v>
      </c>
      <c r="AQ422" s="1">
        <v>38725533</v>
      </c>
      <c r="AR422" s="1">
        <v>14938389</v>
      </c>
      <c r="AS422" s="1">
        <v>2240758</v>
      </c>
      <c r="AT422" s="1">
        <f t="shared" si="42"/>
        <v>91871093</v>
      </c>
    </row>
    <row r="423" spans="1:46" x14ac:dyDescent="0.2">
      <c r="A423" s="1" t="str">
        <f>"00487"</f>
        <v>00487</v>
      </c>
      <c r="B423" s="1" t="str">
        <f>"علي"</f>
        <v>علي</v>
      </c>
      <c r="C423" s="1" t="str">
        <f>"فولادوند"</f>
        <v>فولادوند</v>
      </c>
      <c r="D423" s="1" t="str">
        <f t="shared" si="44"/>
        <v>قراردادي بهره بردار</v>
      </c>
      <c r="E423" s="1" t="str">
        <f t="shared" si="45"/>
        <v>پروژه بهره برداري نيروگاه بوشهر</v>
      </c>
      <c r="F423" s="1">
        <v>16147404</v>
      </c>
      <c r="G423" s="1">
        <v>7778097</v>
      </c>
      <c r="H423" s="1">
        <v>0</v>
      </c>
      <c r="I423" s="1">
        <v>14633269</v>
      </c>
      <c r="J423" s="1">
        <v>0</v>
      </c>
      <c r="K423" s="1">
        <v>4620000</v>
      </c>
      <c r="L423" s="1">
        <v>0</v>
      </c>
      <c r="M423" s="1">
        <v>1000000</v>
      </c>
      <c r="N423" s="1">
        <v>3129039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1606000</v>
      </c>
      <c r="U423" s="1">
        <v>0</v>
      </c>
      <c r="V423" s="1">
        <v>15625401</v>
      </c>
      <c r="W423" s="1">
        <v>1900000</v>
      </c>
      <c r="X423" s="1">
        <v>2343978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2235028</v>
      </c>
      <c r="AF423" s="1">
        <v>1516881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13069123</v>
      </c>
      <c r="AM423" s="1">
        <v>0</v>
      </c>
      <c r="AN423" s="1">
        <v>0</v>
      </c>
      <c r="AO423" s="1">
        <v>85604220</v>
      </c>
      <c r="AP423" s="1">
        <v>31547938</v>
      </c>
      <c r="AQ423" s="1">
        <v>54056282</v>
      </c>
      <c r="AR423" s="1">
        <v>16817468</v>
      </c>
      <c r="AS423" s="1">
        <v>2522620</v>
      </c>
      <c r="AT423" s="1">
        <f t="shared" si="42"/>
        <v>104944308</v>
      </c>
    </row>
    <row r="424" spans="1:46" x14ac:dyDescent="0.2">
      <c r="A424" s="1" t="str">
        <f>"00488"</f>
        <v>00488</v>
      </c>
      <c r="B424" s="1" t="str">
        <f>"حميدرضا"</f>
        <v>حميدرضا</v>
      </c>
      <c r="C424" s="1" t="str">
        <f>"جفره اي"</f>
        <v>جفره اي</v>
      </c>
      <c r="D424" s="1" t="str">
        <f t="shared" si="44"/>
        <v>قراردادي بهره بردار</v>
      </c>
      <c r="E424" s="1" t="str">
        <f t="shared" si="45"/>
        <v>پروژه بهره برداري نيروگاه بوشهر</v>
      </c>
      <c r="F424" s="1">
        <v>14029029</v>
      </c>
      <c r="G424" s="1">
        <v>2726177</v>
      </c>
      <c r="H424" s="1">
        <v>0</v>
      </c>
      <c r="I424" s="1">
        <v>11384754</v>
      </c>
      <c r="J424" s="1">
        <v>0</v>
      </c>
      <c r="K424" s="1">
        <v>4620000</v>
      </c>
      <c r="L424" s="1">
        <v>0</v>
      </c>
      <c r="M424" s="1">
        <v>1000000</v>
      </c>
      <c r="N424" s="1">
        <v>2629129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1606000</v>
      </c>
      <c r="U424" s="1">
        <v>0</v>
      </c>
      <c r="V424" s="1">
        <v>14080429</v>
      </c>
      <c r="W424" s="1">
        <v>1900000</v>
      </c>
      <c r="X424" s="1">
        <v>2036472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1877949</v>
      </c>
      <c r="AF424" s="1">
        <v>1516881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11189882</v>
      </c>
      <c r="AM424" s="1">
        <v>0</v>
      </c>
      <c r="AN424" s="1">
        <v>0</v>
      </c>
      <c r="AO424" s="1">
        <v>70596702</v>
      </c>
      <c r="AP424" s="1">
        <v>8061099</v>
      </c>
      <c r="AQ424" s="1">
        <v>62535603</v>
      </c>
      <c r="AR424" s="1">
        <v>13815964</v>
      </c>
      <c r="AS424" s="1">
        <v>2072395</v>
      </c>
      <c r="AT424" s="1">
        <f t="shared" si="42"/>
        <v>86485061</v>
      </c>
    </row>
    <row r="425" spans="1:46" x14ac:dyDescent="0.2">
      <c r="A425" s="1" t="str">
        <f>"00489"</f>
        <v>00489</v>
      </c>
      <c r="B425" s="1" t="str">
        <f>"ايوب"</f>
        <v>ايوب</v>
      </c>
      <c r="C425" s="1" t="str">
        <f>"قاسمي"</f>
        <v>قاسمي</v>
      </c>
      <c r="D425" s="1" t="str">
        <f t="shared" si="44"/>
        <v>قراردادي بهره بردار</v>
      </c>
      <c r="E425" s="1" t="str">
        <f t="shared" si="45"/>
        <v>پروژه بهره برداري نيروگاه بوشهر</v>
      </c>
      <c r="F425" s="1">
        <v>14167041</v>
      </c>
      <c r="G425" s="1">
        <v>6496783</v>
      </c>
      <c r="H425" s="1">
        <v>0</v>
      </c>
      <c r="I425" s="1">
        <v>11299030</v>
      </c>
      <c r="J425" s="1">
        <v>0</v>
      </c>
      <c r="K425" s="1">
        <v>4620000</v>
      </c>
      <c r="L425" s="1">
        <v>0</v>
      </c>
      <c r="M425" s="1">
        <v>1000000</v>
      </c>
      <c r="N425" s="1">
        <v>2677433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1387000</v>
      </c>
      <c r="U425" s="1">
        <v>0</v>
      </c>
      <c r="V425" s="1">
        <v>9564499</v>
      </c>
      <c r="W425" s="1">
        <v>1900000</v>
      </c>
      <c r="X425" s="1">
        <v>2056506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1912452</v>
      </c>
      <c r="AF425" s="1">
        <v>1516881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11528821</v>
      </c>
      <c r="AM425" s="1">
        <v>0</v>
      </c>
      <c r="AN425" s="1">
        <v>0</v>
      </c>
      <c r="AO425" s="1">
        <v>70126446</v>
      </c>
      <c r="AP425" s="1">
        <v>30342644</v>
      </c>
      <c r="AQ425" s="1">
        <v>39783802</v>
      </c>
      <c r="AR425" s="1">
        <v>13721913</v>
      </c>
      <c r="AS425" s="1">
        <v>2058287</v>
      </c>
      <c r="AT425" s="1">
        <f t="shared" si="42"/>
        <v>85906646</v>
      </c>
    </row>
    <row r="426" spans="1:46" x14ac:dyDescent="0.2">
      <c r="A426" s="1" t="str">
        <f>"00490"</f>
        <v>00490</v>
      </c>
      <c r="B426" s="1" t="str">
        <f>"محمدرضا"</f>
        <v>محمدرضا</v>
      </c>
      <c r="C426" s="1" t="str">
        <f>"قاضي زاده اسکويي"</f>
        <v>قاضي زاده اسکويي</v>
      </c>
      <c r="D426" s="1" t="str">
        <f t="shared" si="44"/>
        <v>قراردادي بهره بردار</v>
      </c>
      <c r="E426" s="1" t="str">
        <f t="shared" si="45"/>
        <v>پروژه بهره برداري نيروگاه بوشهر</v>
      </c>
      <c r="F426" s="1">
        <v>16362089</v>
      </c>
      <c r="G426" s="1">
        <v>2327067</v>
      </c>
      <c r="H426" s="1">
        <v>0</v>
      </c>
      <c r="I426" s="1">
        <v>14875277</v>
      </c>
      <c r="J426" s="1">
        <v>0</v>
      </c>
      <c r="K426" s="1">
        <v>4620000</v>
      </c>
      <c r="L426" s="1">
        <v>0</v>
      </c>
      <c r="M426" s="1">
        <v>1000000</v>
      </c>
      <c r="N426" s="1">
        <v>3204179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1387000</v>
      </c>
      <c r="U426" s="1">
        <v>0</v>
      </c>
      <c r="V426" s="1">
        <v>15894457</v>
      </c>
      <c r="W426" s="1">
        <v>1900000</v>
      </c>
      <c r="X426" s="1">
        <v>2375142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2288699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13331040</v>
      </c>
      <c r="AM426" s="1">
        <v>0</v>
      </c>
      <c r="AN426" s="1">
        <v>0</v>
      </c>
      <c r="AO426" s="1">
        <v>79564950</v>
      </c>
      <c r="AP426" s="1">
        <v>16981491</v>
      </c>
      <c r="AQ426" s="1">
        <v>62583459</v>
      </c>
      <c r="AR426" s="1">
        <v>15912990</v>
      </c>
      <c r="AS426" s="1">
        <v>2386949</v>
      </c>
      <c r="AT426" s="1">
        <f t="shared" si="42"/>
        <v>97864889</v>
      </c>
    </row>
    <row r="427" spans="1:46" x14ac:dyDescent="0.2">
      <c r="A427" s="1" t="str">
        <f>"00491"</f>
        <v>00491</v>
      </c>
      <c r="B427" s="1" t="str">
        <f>"حميد"</f>
        <v>حميد</v>
      </c>
      <c r="C427" s="1" t="str">
        <f>"قانع"</f>
        <v>قانع</v>
      </c>
      <c r="D427" s="1" t="str">
        <f t="shared" si="44"/>
        <v>قراردادي بهره بردار</v>
      </c>
      <c r="E427" s="1" t="str">
        <f t="shared" si="45"/>
        <v>پروژه بهره برداري نيروگاه بوشهر</v>
      </c>
      <c r="F427" s="1">
        <v>15691745</v>
      </c>
      <c r="G427" s="1">
        <v>2472785</v>
      </c>
      <c r="H427" s="1">
        <v>0</v>
      </c>
      <c r="I427" s="1">
        <v>12761925</v>
      </c>
      <c r="J427" s="1">
        <v>0</v>
      </c>
      <c r="K427" s="1">
        <v>4620000</v>
      </c>
      <c r="L427" s="1">
        <v>0</v>
      </c>
      <c r="M427" s="1">
        <v>1000000</v>
      </c>
      <c r="N427" s="1">
        <v>2969558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1387000</v>
      </c>
      <c r="U427" s="1">
        <v>0</v>
      </c>
      <c r="V427" s="1">
        <v>17845916</v>
      </c>
      <c r="W427" s="1">
        <v>1900000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2121113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7014558</v>
      </c>
      <c r="AM427" s="1">
        <v>0</v>
      </c>
      <c r="AN427" s="1">
        <v>0</v>
      </c>
      <c r="AO427" s="1">
        <v>69784600</v>
      </c>
      <c r="AP427" s="1">
        <v>33093086</v>
      </c>
      <c r="AQ427" s="1">
        <v>36691514</v>
      </c>
      <c r="AR427" s="1">
        <v>13956920</v>
      </c>
      <c r="AS427" s="1">
        <v>2093538</v>
      </c>
      <c r="AT427" s="1">
        <f t="shared" si="42"/>
        <v>85835058</v>
      </c>
    </row>
    <row r="428" spans="1:46" x14ac:dyDescent="0.2">
      <c r="A428" s="1" t="str">
        <f>"00492"</f>
        <v>00492</v>
      </c>
      <c r="B428" s="1" t="str">
        <f>"حامد"</f>
        <v>حامد</v>
      </c>
      <c r="C428" s="1" t="str">
        <f>"كريم زاده"</f>
        <v>كريم زاده</v>
      </c>
      <c r="D428" s="1" t="str">
        <f t="shared" si="44"/>
        <v>قراردادي بهره بردار</v>
      </c>
      <c r="E428" s="1" t="str">
        <f t="shared" si="45"/>
        <v>پروژه بهره برداري نيروگاه بوشهر</v>
      </c>
      <c r="F428" s="1">
        <v>19012796</v>
      </c>
      <c r="G428" s="1">
        <v>8184611</v>
      </c>
      <c r="H428" s="1">
        <v>0</v>
      </c>
      <c r="I428" s="1">
        <v>16494812</v>
      </c>
      <c r="J428" s="1">
        <v>0</v>
      </c>
      <c r="K428" s="1">
        <v>4125000</v>
      </c>
      <c r="L428" s="1">
        <v>0</v>
      </c>
      <c r="M428" s="1">
        <v>1000000</v>
      </c>
      <c r="N428" s="1">
        <v>3296187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1387000</v>
      </c>
      <c r="U428" s="1">
        <v>0</v>
      </c>
      <c r="V428" s="1">
        <v>14459163</v>
      </c>
      <c r="W428" s="1">
        <v>1900000</v>
      </c>
      <c r="X428" s="1">
        <v>2759922</v>
      </c>
      <c r="Y428" s="1">
        <v>0</v>
      </c>
      <c r="Z428" s="1">
        <v>0</v>
      </c>
      <c r="AA428" s="1">
        <v>0</v>
      </c>
      <c r="AB428" s="1">
        <v>0</v>
      </c>
      <c r="AC428" s="1">
        <v>3877480</v>
      </c>
      <c r="AD428" s="1">
        <v>0</v>
      </c>
      <c r="AE428" s="1">
        <v>2354419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17830231</v>
      </c>
      <c r="AM428" s="1">
        <v>0</v>
      </c>
      <c r="AN428" s="1">
        <v>0</v>
      </c>
      <c r="AO428" s="1">
        <v>96681621</v>
      </c>
      <c r="AP428" s="1">
        <v>31997757</v>
      </c>
      <c r="AQ428" s="1">
        <v>64683864</v>
      </c>
      <c r="AR428" s="1">
        <v>19336324</v>
      </c>
      <c r="AS428" s="1">
        <v>2900449</v>
      </c>
      <c r="AT428" s="1">
        <f t="shared" si="42"/>
        <v>118918394</v>
      </c>
    </row>
    <row r="429" spans="1:46" x14ac:dyDescent="0.2">
      <c r="A429" s="1" t="str">
        <f>"00493"</f>
        <v>00493</v>
      </c>
      <c r="B429" s="1" t="str">
        <f>"هادي"</f>
        <v>هادي</v>
      </c>
      <c r="C429" s="1" t="str">
        <f>"كسرايي"</f>
        <v>كسرايي</v>
      </c>
      <c r="D429" s="1" t="str">
        <f t="shared" si="44"/>
        <v>قراردادي بهره بردار</v>
      </c>
      <c r="E429" s="1" t="str">
        <f t="shared" si="45"/>
        <v>پروژه بهره برداري نيروگاه بوشهر</v>
      </c>
      <c r="F429" s="1">
        <v>14510976</v>
      </c>
      <c r="G429" s="1">
        <v>3449843</v>
      </c>
      <c r="H429" s="1">
        <v>0</v>
      </c>
      <c r="I429" s="1">
        <v>11602392</v>
      </c>
      <c r="J429" s="1">
        <v>0</v>
      </c>
      <c r="K429" s="1">
        <v>4620000</v>
      </c>
      <c r="L429" s="1">
        <v>0</v>
      </c>
      <c r="M429" s="1">
        <v>1000000</v>
      </c>
      <c r="N429" s="1">
        <v>2797810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1387000</v>
      </c>
      <c r="U429" s="1">
        <v>0</v>
      </c>
      <c r="V429" s="1">
        <v>16598188</v>
      </c>
      <c r="W429" s="1">
        <v>1900000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1998436</v>
      </c>
      <c r="AF429" s="1">
        <v>1516881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6813543</v>
      </c>
      <c r="AM429" s="1">
        <v>0</v>
      </c>
      <c r="AN429" s="1">
        <v>0</v>
      </c>
      <c r="AO429" s="1">
        <v>68195069</v>
      </c>
      <c r="AP429" s="1">
        <v>28277541</v>
      </c>
      <c r="AQ429" s="1">
        <v>39917528</v>
      </c>
      <c r="AR429" s="1">
        <v>13335638</v>
      </c>
      <c r="AS429" s="1">
        <v>2000346</v>
      </c>
      <c r="AT429" s="1">
        <f t="shared" si="42"/>
        <v>83531053</v>
      </c>
    </row>
    <row r="430" spans="1:46" x14ac:dyDescent="0.2">
      <c r="A430" s="1" t="str">
        <f>"00494"</f>
        <v>00494</v>
      </c>
      <c r="B430" s="1" t="str">
        <f>"علي"</f>
        <v>علي</v>
      </c>
      <c r="C430" s="1" t="str">
        <f>"كريمي"</f>
        <v>كريمي</v>
      </c>
      <c r="D430" s="1" t="str">
        <f t="shared" si="44"/>
        <v>قراردادي بهره بردار</v>
      </c>
      <c r="E430" s="1" t="str">
        <f t="shared" si="45"/>
        <v>پروژه بهره برداري نيروگاه بوشهر</v>
      </c>
      <c r="F430" s="1">
        <v>23429180</v>
      </c>
      <c r="G430" s="1">
        <v>3419137</v>
      </c>
      <c r="H430" s="1">
        <v>0</v>
      </c>
      <c r="I430" s="1">
        <v>19828821</v>
      </c>
      <c r="J430" s="1">
        <v>0</v>
      </c>
      <c r="K430" s="1">
        <v>5500000</v>
      </c>
      <c r="L430" s="1">
        <v>0</v>
      </c>
      <c r="M430" s="1">
        <v>1000000</v>
      </c>
      <c r="N430" s="1">
        <v>3528507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1387000</v>
      </c>
      <c r="U430" s="1">
        <v>0</v>
      </c>
      <c r="V430" s="1">
        <v>15100857</v>
      </c>
      <c r="W430" s="1">
        <v>1900000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3877480</v>
      </c>
      <c r="AD430" s="1">
        <v>0</v>
      </c>
      <c r="AE430" s="1">
        <v>2520362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12471553</v>
      </c>
      <c r="AM430" s="1">
        <v>0</v>
      </c>
      <c r="AN430" s="1">
        <v>0</v>
      </c>
      <c r="AO430" s="1">
        <v>93962897</v>
      </c>
      <c r="AP430" s="1">
        <v>19140431</v>
      </c>
      <c r="AQ430" s="1">
        <v>74822466</v>
      </c>
      <c r="AR430" s="1">
        <v>18792579</v>
      </c>
      <c r="AS430" s="1">
        <v>2818887</v>
      </c>
      <c r="AT430" s="1">
        <f t="shared" si="42"/>
        <v>115574363</v>
      </c>
    </row>
    <row r="431" spans="1:46" x14ac:dyDescent="0.2">
      <c r="A431" s="1" t="str">
        <f>"00495"</f>
        <v>00495</v>
      </c>
      <c r="B431" s="1" t="str">
        <f>"اميد"</f>
        <v>اميد</v>
      </c>
      <c r="C431" s="1" t="str">
        <f>"لغويان زاده"</f>
        <v>لغويان زاده</v>
      </c>
      <c r="D431" s="1" t="str">
        <f t="shared" si="44"/>
        <v>قراردادي بهره بردار</v>
      </c>
      <c r="E431" s="1" t="str">
        <f t="shared" si="45"/>
        <v>پروژه بهره برداري نيروگاه بوشهر</v>
      </c>
      <c r="F431" s="1">
        <v>18147483</v>
      </c>
      <c r="G431" s="1">
        <v>2227697</v>
      </c>
      <c r="H431" s="1">
        <v>0</v>
      </c>
      <c r="I431" s="1">
        <v>13636365</v>
      </c>
      <c r="J431" s="1">
        <v>0</v>
      </c>
      <c r="K431" s="1">
        <v>5500000</v>
      </c>
      <c r="L431" s="1">
        <v>0</v>
      </c>
      <c r="M431" s="1">
        <v>1000000</v>
      </c>
      <c r="N431" s="1">
        <v>2809311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1606000</v>
      </c>
      <c r="U431" s="1">
        <v>0</v>
      </c>
      <c r="V431" s="1">
        <v>4099955</v>
      </c>
      <c r="W431" s="1">
        <v>1900000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2006651</v>
      </c>
      <c r="AF431" s="1">
        <v>3033762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4399735</v>
      </c>
      <c r="AM431" s="1">
        <v>0</v>
      </c>
      <c r="AN431" s="1">
        <v>0</v>
      </c>
      <c r="AO431" s="1">
        <v>60366959</v>
      </c>
      <c r="AP431" s="1">
        <v>9544715</v>
      </c>
      <c r="AQ431" s="1">
        <v>50822244</v>
      </c>
      <c r="AR431" s="1">
        <v>11466639</v>
      </c>
      <c r="AS431" s="1">
        <v>1719996</v>
      </c>
      <c r="AT431" s="1">
        <f t="shared" si="42"/>
        <v>73553594</v>
      </c>
    </row>
    <row r="432" spans="1:46" x14ac:dyDescent="0.2">
      <c r="A432" s="1" t="str">
        <f>"00496"</f>
        <v>00496</v>
      </c>
      <c r="B432" s="1" t="str">
        <f>"محمد"</f>
        <v>محمد</v>
      </c>
      <c r="C432" s="1" t="str">
        <f>"مجري ساز پور"</f>
        <v>مجري ساز پور</v>
      </c>
      <c r="D432" s="1" t="str">
        <f t="shared" si="44"/>
        <v>قراردادي بهره بردار</v>
      </c>
      <c r="E432" s="1" t="str">
        <f t="shared" si="45"/>
        <v>پروژه بهره برداري نيروگاه بوشهر</v>
      </c>
      <c r="F432" s="1">
        <v>15582212</v>
      </c>
      <c r="G432" s="1">
        <v>3464457</v>
      </c>
      <c r="H432" s="1">
        <v>0</v>
      </c>
      <c r="I432" s="1">
        <v>13105665</v>
      </c>
      <c r="J432" s="1">
        <v>0</v>
      </c>
      <c r="K432" s="1">
        <v>4620000</v>
      </c>
      <c r="L432" s="1">
        <v>0</v>
      </c>
      <c r="M432" s="1">
        <v>1000000</v>
      </c>
      <c r="N432" s="1">
        <v>2931222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1606000</v>
      </c>
      <c r="U432" s="1">
        <v>0</v>
      </c>
      <c r="V432" s="1">
        <v>14789447</v>
      </c>
      <c r="W432" s="1">
        <v>1900000</v>
      </c>
      <c r="X432" s="1">
        <v>2261934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2093730</v>
      </c>
      <c r="AF432" s="1">
        <v>1516881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12868107</v>
      </c>
      <c r="AM432" s="1">
        <v>0</v>
      </c>
      <c r="AN432" s="1">
        <v>0</v>
      </c>
      <c r="AO432" s="1">
        <v>77739655</v>
      </c>
      <c r="AP432" s="1">
        <v>11225400</v>
      </c>
      <c r="AQ432" s="1">
        <v>66514255</v>
      </c>
      <c r="AR432" s="1">
        <v>15244555</v>
      </c>
      <c r="AS432" s="1">
        <v>2286683</v>
      </c>
      <c r="AT432" s="1">
        <f t="shared" si="42"/>
        <v>95270893</v>
      </c>
    </row>
    <row r="433" spans="1:46" x14ac:dyDescent="0.2">
      <c r="A433" s="1" t="str">
        <f>"00497"</f>
        <v>00497</v>
      </c>
      <c r="B433" s="1" t="str">
        <f>"احمد"</f>
        <v>احمد</v>
      </c>
      <c r="C433" s="1" t="str">
        <f>"محمدي"</f>
        <v>محمدي</v>
      </c>
      <c r="D433" s="1" t="str">
        <f t="shared" si="44"/>
        <v>قراردادي بهره بردار</v>
      </c>
      <c r="E433" s="1" t="str">
        <f t="shared" si="45"/>
        <v>پروژه بهره برداري نيروگاه بوشهر</v>
      </c>
      <c r="F433" s="1">
        <v>19383019</v>
      </c>
      <c r="G433" s="1">
        <v>7116697</v>
      </c>
      <c r="H433" s="1">
        <v>0</v>
      </c>
      <c r="I433" s="1">
        <v>15564249</v>
      </c>
      <c r="J433" s="1">
        <v>0</v>
      </c>
      <c r="K433" s="1">
        <v>0</v>
      </c>
      <c r="L433" s="1">
        <v>0</v>
      </c>
      <c r="M433" s="1">
        <v>1000000</v>
      </c>
      <c r="N433" s="1">
        <v>3425765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1387000</v>
      </c>
      <c r="U433" s="1">
        <v>0</v>
      </c>
      <c r="V433" s="1">
        <v>16255418</v>
      </c>
      <c r="W433" s="1">
        <v>1900000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2446975</v>
      </c>
      <c r="AF433" s="1">
        <v>1516881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5958175</v>
      </c>
      <c r="AM433" s="1">
        <v>0</v>
      </c>
      <c r="AN433" s="1">
        <v>0</v>
      </c>
      <c r="AO433" s="1">
        <v>75954179</v>
      </c>
      <c r="AP433" s="1">
        <v>30242276</v>
      </c>
      <c r="AQ433" s="1">
        <v>45711903</v>
      </c>
      <c r="AR433" s="1">
        <v>14887460</v>
      </c>
      <c r="AS433" s="1">
        <v>2233119</v>
      </c>
      <c r="AT433" s="1">
        <f t="shared" si="42"/>
        <v>93074758</v>
      </c>
    </row>
    <row r="434" spans="1:46" x14ac:dyDescent="0.2">
      <c r="A434" s="1" t="str">
        <f>"00498"</f>
        <v>00498</v>
      </c>
      <c r="B434" s="1" t="str">
        <f>"عبدالرحيم"</f>
        <v>عبدالرحيم</v>
      </c>
      <c r="C434" s="1" t="str">
        <f>"محمديان"</f>
        <v>محمديان</v>
      </c>
      <c r="D434" s="1" t="str">
        <f t="shared" si="44"/>
        <v>قراردادي بهره بردار</v>
      </c>
      <c r="E434" s="1" t="str">
        <f t="shared" si="45"/>
        <v>پروژه بهره برداري نيروگاه بوشهر</v>
      </c>
      <c r="F434" s="1">
        <v>14830813</v>
      </c>
      <c r="G434" s="1">
        <v>10448975</v>
      </c>
      <c r="H434" s="1">
        <v>0</v>
      </c>
      <c r="I434" s="1">
        <v>12613056</v>
      </c>
      <c r="J434" s="1">
        <v>0</v>
      </c>
      <c r="K434" s="1">
        <v>4620000</v>
      </c>
      <c r="L434" s="1">
        <v>0</v>
      </c>
      <c r="M434" s="1">
        <v>1000000</v>
      </c>
      <c r="N434" s="1">
        <v>2909753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1606000</v>
      </c>
      <c r="U434" s="1">
        <v>0</v>
      </c>
      <c r="V434" s="1">
        <v>14273827</v>
      </c>
      <c r="W434" s="1">
        <v>1900000</v>
      </c>
      <c r="X434" s="1">
        <v>2152860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2078395</v>
      </c>
      <c r="AF434" s="1">
        <v>1516881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12524918</v>
      </c>
      <c r="AM434" s="1">
        <v>0</v>
      </c>
      <c r="AN434" s="1">
        <v>0</v>
      </c>
      <c r="AO434" s="1">
        <v>82475478</v>
      </c>
      <c r="AP434" s="1">
        <v>30455637</v>
      </c>
      <c r="AQ434" s="1">
        <v>52019841</v>
      </c>
      <c r="AR434" s="1">
        <v>16191719</v>
      </c>
      <c r="AS434" s="1">
        <v>2428758</v>
      </c>
      <c r="AT434" s="1">
        <f t="shared" si="42"/>
        <v>101095955</v>
      </c>
    </row>
    <row r="435" spans="1:46" x14ac:dyDescent="0.2">
      <c r="A435" s="1" t="str">
        <f>"00499"</f>
        <v>00499</v>
      </c>
      <c r="B435" s="1" t="str">
        <f>"مهدي"</f>
        <v>مهدي</v>
      </c>
      <c r="C435" s="1" t="str">
        <f>"مرشدي"</f>
        <v>مرشدي</v>
      </c>
      <c r="D435" s="1" t="str">
        <f t="shared" si="44"/>
        <v>قراردادي بهره بردار</v>
      </c>
      <c r="E435" s="1" t="str">
        <f t="shared" si="45"/>
        <v>پروژه بهره برداري نيروگاه بوشهر</v>
      </c>
      <c r="F435" s="1">
        <v>14287528</v>
      </c>
      <c r="G435" s="1">
        <v>10008130</v>
      </c>
      <c r="H435" s="1">
        <v>0</v>
      </c>
      <c r="I435" s="1">
        <v>12238197</v>
      </c>
      <c r="J435" s="1">
        <v>0</v>
      </c>
      <c r="K435" s="1">
        <v>4620000</v>
      </c>
      <c r="L435" s="1">
        <v>0</v>
      </c>
      <c r="M435" s="1">
        <v>1000000</v>
      </c>
      <c r="N435" s="1">
        <v>2719603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1606000</v>
      </c>
      <c r="U435" s="1">
        <v>0</v>
      </c>
      <c r="V435" s="1">
        <v>9822579</v>
      </c>
      <c r="W435" s="1">
        <v>1900000</v>
      </c>
      <c r="X435" s="1">
        <v>2073996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1942574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11518963</v>
      </c>
      <c r="AM435" s="1">
        <v>0</v>
      </c>
      <c r="AN435" s="1">
        <v>0</v>
      </c>
      <c r="AO435" s="1">
        <v>73737570</v>
      </c>
      <c r="AP435" s="1">
        <v>12873435</v>
      </c>
      <c r="AQ435" s="1">
        <v>60864135</v>
      </c>
      <c r="AR435" s="1">
        <v>14747514</v>
      </c>
      <c r="AS435" s="1">
        <v>2212127</v>
      </c>
      <c r="AT435" s="1">
        <f t="shared" si="42"/>
        <v>90697211</v>
      </c>
    </row>
    <row r="436" spans="1:46" x14ac:dyDescent="0.2">
      <c r="A436" s="1" t="str">
        <f>"00500"</f>
        <v>00500</v>
      </c>
      <c r="B436" s="1" t="str">
        <f>"محمد"</f>
        <v>محمد</v>
      </c>
      <c r="C436" s="1" t="str">
        <f>"معيني"</f>
        <v>معيني</v>
      </c>
      <c r="D436" s="1" t="str">
        <f t="shared" si="44"/>
        <v>قراردادي بهره بردار</v>
      </c>
      <c r="E436" s="1" t="str">
        <f t="shared" si="45"/>
        <v>پروژه بهره برداري نيروگاه بوشهر</v>
      </c>
      <c r="F436" s="1">
        <v>18320545</v>
      </c>
      <c r="G436" s="1">
        <v>3438113</v>
      </c>
      <c r="H436" s="1">
        <v>0</v>
      </c>
      <c r="I436" s="1">
        <v>13531797</v>
      </c>
      <c r="J436" s="1">
        <v>0</v>
      </c>
      <c r="K436" s="1">
        <v>5500000</v>
      </c>
      <c r="L436" s="1">
        <v>0</v>
      </c>
      <c r="M436" s="1">
        <v>1000000</v>
      </c>
      <c r="N436" s="1">
        <v>3053899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1387000</v>
      </c>
      <c r="U436" s="1">
        <v>0</v>
      </c>
      <c r="V436" s="1">
        <v>18239115</v>
      </c>
      <c r="W436" s="1">
        <v>1900000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2181356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5576999</v>
      </c>
      <c r="AM436" s="1">
        <v>0</v>
      </c>
      <c r="AN436" s="1">
        <v>0</v>
      </c>
      <c r="AO436" s="1">
        <v>74128824</v>
      </c>
      <c r="AP436" s="1">
        <v>35095433</v>
      </c>
      <c r="AQ436" s="1">
        <v>39033391</v>
      </c>
      <c r="AR436" s="1">
        <v>14825765</v>
      </c>
      <c r="AS436" s="1">
        <v>2223865</v>
      </c>
      <c r="AT436" s="1">
        <f t="shared" si="42"/>
        <v>91178454</v>
      </c>
    </row>
    <row r="437" spans="1:46" x14ac:dyDescent="0.2">
      <c r="A437" s="1" t="str">
        <f>"00501"</f>
        <v>00501</v>
      </c>
      <c r="B437" s="1" t="str">
        <f>"احمد"</f>
        <v>احمد</v>
      </c>
      <c r="C437" s="1" t="str">
        <f>"ملکي"</f>
        <v>ملکي</v>
      </c>
      <c r="D437" s="1" t="str">
        <f t="shared" si="44"/>
        <v>قراردادي بهره بردار</v>
      </c>
      <c r="E437" s="1" t="str">
        <f t="shared" si="45"/>
        <v>پروژه بهره برداري نيروگاه بوشهر</v>
      </c>
      <c r="F437" s="1">
        <v>19183668</v>
      </c>
      <c r="G437" s="1">
        <v>0</v>
      </c>
      <c r="H437" s="1">
        <v>0</v>
      </c>
      <c r="I437" s="1">
        <v>15280479</v>
      </c>
      <c r="J437" s="1">
        <v>0</v>
      </c>
      <c r="K437" s="1">
        <v>4125000</v>
      </c>
      <c r="L437" s="1">
        <v>0</v>
      </c>
      <c r="M437" s="1">
        <v>1000000</v>
      </c>
      <c r="N437" s="1">
        <v>3355992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1387000</v>
      </c>
      <c r="U437" s="1">
        <v>0</v>
      </c>
      <c r="V437" s="1">
        <v>10723301</v>
      </c>
      <c r="W437" s="1">
        <v>1900000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2397137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6405772</v>
      </c>
      <c r="AM437" s="1">
        <v>0</v>
      </c>
      <c r="AN437" s="1">
        <v>0</v>
      </c>
      <c r="AO437" s="1">
        <v>65758349</v>
      </c>
      <c r="AP437" s="1">
        <v>20395911</v>
      </c>
      <c r="AQ437" s="1">
        <v>45362438</v>
      </c>
      <c r="AR437" s="1">
        <v>13151670</v>
      </c>
      <c r="AS437" s="1">
        <v>1972750</v>
      </c>
      <c r="AT437" s="1">
        <f t="shared" si="42"/>
        <v>80882769</v>
      </c>
    </row>
    <row r="438" spans="1:46" x14ac:dyDescent="0.2">
      <c r="A438" s="1" t="str">
        <f>"00502"</f>
        <v>00502</v>
      </c>
      <c r="B438" s="1" t="str">
        <f>"رامين"</f>
        <v>رامين</v>
      </c>
      <c r="C438" s="1" t="str">
        <f>"منصوري"</f>
        <v>منصوري</v>
      </c>
      <c r="D438" s="1" t="str">
        <f t="shared" si="44"/>
        <v>قراردادي بهره بردار</v>
      </c>
      <c r="E438" s="1" t="str">
        <f t="shared" si="45"/>
        <v>پروژه بهره برداري نيروگاه بوشهر</v>
      </c>
      <c r="F438" s="1">
        <v>14657751</v>
      </c>
      <c r="G438" s="1">
        <v>2607278</v>
      </c>
      <c r="H438" s="1">
        <v>0</v>
      </c>
      <c r="I438" s="1">
        <v>11724659</v>
      </c>
      <c r="J438" s="1">
        <v>0</v>
      </c>
      <c r="K438" s="1">
        <v>4620000</v>
      </c>
      <c r="L438" s="1">
        <v>0</v>
      </c>
      <c r="M438" s="1">
        <v>1000000</v>
      </c>
      <c r="N438" s="1">
        <v>2849181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1387000</v>
      </c>
      <c r="U438" s="1">
        <v>0</v>
      </c>
      <c r="V438" s="1">
        <v>15612190</v>
      </c>
      <c r="W438" s="1">
        <v>1900000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2035129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5905161</v>
      </c>
      <c r="AM438" s="1">
        <v>0</v>
      </c>
      <c r="AN438" s="1">
        <v>0</v>
      </c>
      <c r="AO438" s="1">
        <v>64298349</v>
      </c>
      <c r="AP438" s="1">
        <v>25908695</v>
      </c>
      <c r="AQ438" s="1">
        <v>38389654</v>
      </c>
      <c r="AR438" s="1">
        <v>12859670</v>
      </c>
      <c r="AS438" s="1">
        <v>1928950</v>
      </c>
      <c r="AT438" s="1">
        <f t="shared" si="42"/>
        <v>79086969</v>
      </c>
    </row>
    <row r="439" spans="1:46" x14ac:dyDescent="0.2">
      <c r="A439" s="1" t="str">
        <f>"00503"</f>
        <v>00503</v>
      </c>
      <c r="B439" s="1" t="str">
        <f>"سيد ابوالحسن"</f>
        <v>سيد ابوالحسن</v>
      </c>
      <c r="C439" s="1" t="str">
        <f>"موسوي برازجاني"</f>
        <v>موسوي برازجاني</v>
      </c>
      <c r="D439" s="1" t="str">
        <f t="shared" si="44"/>
        <v>قراردادي بهره بردار</v>
      </c>
      <c r="E439" s="1" t="str">
        <f t="shared" si="45"/>
        <v>پروژه بهره برداري نيروگاه بوشهر</v>
      </c>
      <c r="F439" s="1">
        <v>15299616</v>
      </c>
      <c r="G439" s="1">
        <v>7095107</v>
      </c>
      <c r="H439" s="1">
        <v>0</v>
      </c>
      <c r="I439" s="1">
        <v>11759718</v>
      </c>
      <c r="J439" s="1">
        <v>0</v>
      </c>
      <c r="K439" s="1">
        <v>4620000</v>
      </c>
      <c r="L439" s="1">
        <v>0</v>
      </c>
      <c r="M439" s="1">
        <v>1000000</v>
      </c>
      <c r="N439" s="1">
        <v>2832313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1606000</v>
      </c>
      <c r="U439" s="1">
        <v>0</v>
      </c>
      <c r="V439" s="1">
        <v>9895590</v>
      </c>
      <c r="W439" s="1">
        <v>1900000</v>
      </c>
      <c r="X439" s="1">
        <v>2220912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2023081</v>
      </c>
      <c r="AF439" s="1">
        <v>4550643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11109576</v>
      </c>
      <c r="AM439" s="1">
        <v>0</v>
      </c>
      <c r="AN439" s="1">
        <v>0</v>
      </c>
      <c r="AO439" s="1">
        <v>75912556</v>
      </c>
      <c r="AP439" s="1">
        <v>8836456</v>
      </c>
      <c r="AQ439" s="1">
        <v>67076100</v>
      </c>
      <c r="AR439" s="1">
        <v>14272383</v>
      </c>
      <c r="AS439" s="1">
        <v>2140857</v>
      </c>
      <c r="AT439" s="1">
        <f t="shared" si="42"/>
        <v>92325796</v>
      </c>
    </row>
    <row r="440" spans="1:46" x14ac:dyDescent="0.2">
      <c r="A440" s="1" t="str">
        <f>"00504"</f>
        <v>00504</v>
      </c>
      <c r="B440" s="1" t="str">
        <f>"مجتبي"</f>
        <v>مجتبي</v>
      </c>
      <c r="C440" s="1" t="str">
        <f>"ميري"</f>
        <v>ميري</v>
      </c>
      <c r="D440" s="1" t="str">
        <f t="shared" si="44"/>
        <v>قراردادي بهره بردار</v>
      </c>
      <c r="E440" s="1" t="str">
        <f t="shared" si="45"/>
        <v>پروژه بهره برداري نيروگاه بوشهر</v>
      </c>
      <c r="F440" s="1">
        <v>14370773</v>
      </c>
      <c r="G440" s="1">
        <v>9552336</v>
      </c>
      <c r="H440" s="1">
        <v>0</v>
      </c>
      <c r="I440" s="1">
        <v>12662355</v>
      </c>
      <c r="J440" s="1">
        <v>0</v>
      </c>
      <c r="K440" s="1">
        <v>4620000</v>
      </c>
      <c r="L440" s="1">
        <v>0</v>
      </c>
      <c r="M440" s="1">
        <v>1000000</v>
      </c>
      <c r="N440" s="1">
        <v>2748739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1606000</v>
      </c>
      <c r="U440" s="1">
        <v>0</v>
      </c>
      <c r="V440" s="1">
        <v>10125254</v>
      </c>
      <c r="W440" s="1">
        <v>1900000</v>
      </c>
      <c r="X440" s="1">
        <v>2086080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1963385</v>
      </c>
      <c r="AF440" s="1">
        <v>1516881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12277591</v>
      </c>
      <c r="AM440" s="1">
        <v>0</v>
      </c>
      <c r="AN440" s="1">
        <v>0</v>
      </c>
      <c r="AO440" s="1">
        <v>76429394</v>
      </c>
      <c r="AP440" s="1">
        <v>31479211</v>
      </c>
      <c r="AQ440" s="1">
        <v>44950183</v>
      </c>
      <c r="AR440" s="1">
        <v>14982503</v>
      </c>
      <c r="AS440" s="1">
        <v>2247375</v>
      </c>
      <c r="AT440" s="1">
        <f t="shared" si="42"/>
        <v>93659272</v>
      </c>
    </row>
    <row r="441" spans="1:46" x14ac:dyDescent="0.2">
      <c r="A441" s="1" t="str">
        <f>"00505"</f>
        <v>00505</v>
      </c>
      <c r="B441" s="1" t="str">
        <f>"جمال"</f>
        <v>جمال</v>
      </c>
      <c r="C441" s="1" t="str">
        <f>"نصيري"</f>
        <v>نصيري</v>
      </c>
      <c r="D441" s="1" t="str">
        <f t="shared" si="44"/>
        <v>قراردادي بهره بردار</v>
      </c>
      <c r="E441" s="1" t="str">
        <f t="shared" si="45"/>
        <v>پروژه بهره برداري نيروگاه بوشهر</v>
      </c>
      <c r="F441" s="1">
        <v>15845092</v>
      </c>
      <c r="G441" s="1">
        <v>2751236</v>
      </c>
      <c r="H441" s="1">
        <v>0</v>
      </c>
      <c r="I441" s="1">
        <v>12533613</v>
      </c>
      <c r="J441" s="1">
        <v>0</v>
      </c>
      <c r="K441" s="1">
        <v>4620000</v>
      </c>
      <c r="L441" s="1">
        <v>0</v>
      </c>
      <c r="M441" s="1">
        <v>1000000</v>
      </c>
      <c r="N441" s="1">
        <v>3023230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1606000</v>
      </c>
      <c r="U441" s="1">
        <v>0</v>
      </c>
      <c r="V441" s="1">
        <v>10415167</v>
      </c>
      <c r="W441" s="1">
        <v>1900000</v>
      </c>
      <c r="X441" s="1">
        <v>1965169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2159450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11721950</v>
      </c>
      <c r="AM441" s="1">
        <v>0</v>
      </c>
      <c r="AN441" s="1">
        <v>0</v>
      </c>
      <c r="AO441" s="1">
        <v>69540907</v>
      </c>
      <c r="AP441" s="1">
        <v>13161475</v>
      </c>
      <c r="AQ441" s="1">
        <v>56379432</v>
      </c>
      <c r="AR441" s="1">
        <v>13908181</v>
      </c>
      <c r="AS441" s="1">
        <v>2086227</v>
      </c>
      <c r="AT441" s="1">
        <f t="shared" si="42"/>
        <v>85535315</v>
      </c>
    </row>
    <row r="442" spans="1:46" x14ac:dyDescent="0.2">
      <c r="A442" s="1" t="str">
        <f>"00506"</f>
        <v>00506</v>
      </c>
      <c r="B442" s="1" t="str">
        <f>"سيد اسحق"</f>
        <v>سيد اسحق</v>
      </c>
      <c r="C442" s="1" t="str">
        <f>"نعمتي"</f>
        <v>نعمتي</v>
      </c>
      <c r="D442" s="1" t="str">
        <f t="shared" si="44"/>
        <v>قراردادي بهره بردار</v>
      </c>
      <c r="E442" s="1" t="str">
        <f t="shared" si="45"/>
        <v>پروژه بهره برداري نيروگاه بوشهر</v>
      </c>
      <c r="F442" s="1">
        <v>14280956</v>
      </c>
      <c r="G442" s="1">
        <v>3327933</v>
      </c>
      <c r="H442" s="1">
        <v>0</v>
      </c>
      <c r="I442" s="1">
        <v>11638132</v>
      </c>
      <c r="J442" s="1">
        <v>0</v>
      </c>
      <c r="K442" s="1">
        <v>4620000</v>
      </c>
      <c r="L442" s="1">
        <v>0</v>
      </c>
      <c r="M442" s="1">
        <v>1000000</v>
      </c>
      <c r="N442" s="1">
        <v>2717303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1606000</v>
      </c>
      <c r="U442" s="1">
        <v>0</v>
      </c>
      <c r="V442" s="1">
        <v>17798761</v>
      </c>
      <c r="W442" s="1">
        <v>1900000</v>
      </c>
      <c r="X442" s="1">
        <v>2073042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1940931</v>
      </c>
      <c r="AF442" s="1">
        <v>1516881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10575881</v>
      </c>
      <c r="AM442" s="1">
        <v>0</v>
      </c>
      <c r="AN442" s="1">
        <v>0</v>
      </c>
      <c r="AO442" s="1">
        <v>74995820</v>
      </c>
      <c r="AP442" s="1">
        <v>29310407</v>
      </c>
      <c r="AQ442" s="1">
        <v>45685413</v>
      </c>
      <c r="AR442" s="1">
        <v>14695788</v>
      </c>
      <c r="AS442" s="1">
        <v>2204368</v>
      </c>
      <c r="AT442" s="1">
        <f t="shared" si="42"/>
        <v>91895976</v>
      </c>
    </row>
    <row r="443" spans="1:46" x14ac:dyDescent="0.2">
      <c r="A443" s="1" t="str">
        <f>"00508"</f>
        <v>00508</v>
      </c>
      <c r="B443" s="1" t="str">
        <f>"عبدالکريم"</f>
        <v>عبدالکريم</v>
      </c>
      <c r="C443" s="1" t="str">
        <f>"نيکنام"</f>
        <v>نيکنام</v>
      </c>
      <c r="D443" s="1" t="str">
        <f t="shared" si="44"/>
        <v>قراردادي بهره بردار</v>
      </c>
      <c r="E443" s="1" t="str">
        <f t="shared" si="45"/>
        <v>پروژه بهره برداري نيروگاه بوشهر</v>
      </c>
      <c r="F443" s="1">
        <v>14024648</v>
      </c>
      <c r="G443" s="1">
        <v>1794927</v>
      </c>
      <c r="H443" s="1">
        <v>0</v>
      </c>
      <c r="I443" s="1">
        <v>11563310</v>
      </c>
      <c r="J443" s="1">
        <v>0</v>
      </c>
      <c r="K443" s="1">
        <v>3465000</v>
      </c>
      <c r="L443" s="1">
        <v>0</v>
      </c>
      <c r="M443" s="1">
        <v>1000000</v>
      </c>
      <c r="N443" s="1">
        <v>2627595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1606000</v>
      </c>
      <c r="U443" s="1">
        <v>0</v>
      </c>
      <c r="V443" s="1">
        <v>9512904</v>
      </c>
      <c r="W443" s="1">
        <v>1900000</v>
      </c>
      <c r="X443" s="1">
        <v>1076956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1876854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11268044</v>
      </c>
      <c r="AM443" s="1">
        <v>0</v>
      </c>
      <c r="AN443" s="1">
        <v>0</v>
      </c>
      <c r="AO443" s="1">
        <v>61716238</v>
      </c>
      <c r="AP443" s="1">
        <v>27038317</v>
      </c>
      <c r="AQ443" s="1">
        <v>34677921</v>
      </c>
      <c r="AR443" s="1">
        <v>12343248</v>
      </c>
      <c r="AS443" s="1">
        <v>1851487</v>
      </c>
      <c r="AT443" s="1">
        <f t="shared" si="42"/>
        <v>75910973</v>
      </c>
    </row>
    <row r="444" spans="1:46" x14ac:dyDescent="0.2">
      <c r="A444" s="1" t="str">
        <f>"00509"</f>
        <v>00509</v>
      </c>
      <c r="B444" s="1" t="str">
        <f>"سيد موسي"</f>
        <v>سيد موسي</v>
      </c>
      <c r="C444" s="1" t="str">
        <f>"هاشمي"</f>
        <v>هاشمي</v>
      </c>
      <c r="D444" s="1" t="str">
        <f t="shared" si="44"/>
        <v>قراردادي بهره بردار</v>
      </c>
      <c r="E444" s="1" t="str">
        <f t="shared" si="45"/>
        <v>پروژه بهره برداري نيروگاه بوشهر</v>
      </c>
      <c r="F444" s="1">
        <v>15943672</v>
      </c>
      <c r="G444" s="1">
        <v>7089791</v>
      </c>
      <c r="H444" s="1">
        <v>0</v>
      </c>
      <c r="I444" s="1">
        <v>14386335</v>
      </c>
      <c r="J444" s="1">
        <v>0</v>
      </c>
      <c r="K444" s="1">
        <v>4620000</v>
      </c>
      <c r="L444" s="1">
        <v>0</v>
      </c>
      <c r="M444" s="1">
        <v>1000000</v>
      </c>
      <c r="N444" s="1">
        <v>3057733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1606000</v>
      </c>
      <c r="U444" s="1">
        <v>0</v>
      </c>
      <c r="V444" s="1">
        <v>11051491</v>
      </c>
      <c r="W444" s="1">
        <v>1900000</v>
      </c>
      <c r="X444" s="1">
        <v>2314404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2184095</v>
      </c>
      <c r="AF444" s="1">
        <v>3033762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12478125</v>
      </c>
      <c r="AM444" s="1">
        <v>0</v>
      </c>
      <c r="AN444" s="1">
        <v>0</v>
      </c>
      <c r="AO444" s="1">
        <v>80665408</v>
      </c>
      <c r="AP444" s="1">
        <v>10912952</v>
      </c>
      <c r="AQ444" s="1">
        <v>69752456</v>
      </c>
      <c r="AR444" s="1">
        <v>15526329</v>
      </c>
      <c r="AS444" s="1">
        <v>2328949</v>
      </c>
      <c r="AT444" s="1">
        <f t="shared" si="42"/>
        <v>98520686</v>
      </c>
    </row>
    <row r="445" spans="1:46" x14ac:dyDescent="0.2">
      <c r="A445" s="1" t="str">
        <f>"00512"</f>
        <v>00512</v>
      </c>
      <c r="B445" s="1" t="str">
        <f>"مريم"</f>
        <v>مريم</v>
      </c>
      <c r="C445" s="1" t="str">
        <f>"سليماني"</f>
        <v>سليماني</v>
      </c>
      <c r="D445" s="1" t="str">
        <f t="shared" si="44"/>
        <v>قراردادي بهره بردار</v>
      </c>
      <c r="E445" s="1" t="str">
        <f t="shared" si="45"/>
        <v>پروژه بهره برداري نيروگاه بوشهر</v>
      </c>
      <c r="F445" s="1">
        <v>18125576</v>
      </c>
      <c r="G445" s="1">
        <v>6223726</v>
      </c>
      <c r="H445" s="1">
        <v>0</v>
      </c>
      <c r="I445" s="1">
        <v>15062653</v>
      </c>
      <c r="J445" s="1">
        <v>1100000</v>
      </c>
      <c r="K445" s="1">
        <v>4125000</v>
      </c>
      <c r="L445" s="1">
        <v>0</v>
      </c>
      <c r="M445" s="1">
        <v>1000000</v>
      </c>
      <c r="N445" s="1">
        <v>2801644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1387000</v>
      </c>
      <c r="U445" s="1">
        <v>0</v>
      </c>
      <c r="V445" s="1">
        <v>4220053</v>
      </c>
      <c r="W445" s="1">
        <v>1900000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2001174</v>
      </c>
      <c r="AF445" s="1">
        <v>1516881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4209476</v>
      </c>
      <c r="AM445" s="1">
        <v>0</v>
      </c>
      <c r="AN445" s="1">
        <v>0</v>
      </c>
      <c r="AO445" s="1">
        <v>63673183</v>
      </c>
      <c r="AP445" s="1">
        <v>6921165</v>
      </c>
      <c r="AQ445" s="1">
        <v>56752018</v>
      </c>
      <c r="AR445" s="1">
        <v>12211260</v>
      </c>
      <c r="AS445" s="1">
        <v>1831689</v>
      </c>
      <c r="AT445" s="1">
        <f t="shared" si="42"/>
        <v>77716132</v>
      </c>
    </row>
    <row r="446" spans="1:46" x14ac:dyDescent="0.2">
      <c r="A446" s="1" t="str">
        <f>"00513"</f>
        <v>00513</v>
      </c>
      <c r="B446" s="1" t="str">
        <f>"مريم"</f>
        <v>مريم</v>
      </c>
      <c r="C446" s="1" t="str">
        <f>"دهقاني"</f>
        <v>دهقاني</v>
      </c>
      <c r="D446" s="1" t="str">
        <f t="shared" si="44"/>
        <v>قراردادي بهره بردار</v>
      </c>
      <c r="E446" s="1" t="str">
        <f t="shared" si="45"/>
        <v>پروژه بهره برداري نيروگاه بوشهر</v>
      </c>
      <c r="F446" s="1">
        <v>18642573</v>
      </c>
      <c r="G446" s="1">
        <v>0</v>
      </c>
      <c r="H446" s="1">
        <v>0</v>
      </c>
      <c r="I446" s="1">
        <v>15703529</v>
      </c>
      <c r="J446" s="1">
        <v>0</v>
      </c>
      <c r="K446" s="1">
        <v>4125000</v>
      </c>
      <c r="L446" s="1">
        <v>0</v>
      </c>
      <c r="M446" s="1">
        <v>1000000</v>
      </c>
      <c r="N446" s="1">
        <v>2787076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1387000</v>
      </c>
      <c r="U446" s="1">
        <v>0</v>
      </c>
      <c r="V446" s="1">
        <v>4351240</v>
      </c>
      <c r="W446" s="1">
        <v>1900000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1990768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4388453</v>
      </c>
      <c r="AM446" s="1">
        <v>0</v>
      </c>
      <c r="AN446" s="1">
        <v>0</v>
      </c>
      <c r="AO446" s="1">
        <v>56275639</v>
      </c>
      <c r="AP446" s="1">
        <v>21502929</v>
      </c>
      <c r="AQ446" s="1">
        <v>34772710</v>
      </c>
      <c r="AR446" s="1">
        <v>11255128</v>
      </c>
      <c r="AS446" s="1">
        <v>1688269</v>
      </c>
      <c r="AT446" s="1">
        <f t="shared" si="42"/>
        <v>69219036</v>
      </c>
    </row>
    <row r="447" spans="1:46" x14ac:dyDescent="0.2">
      <c r="A447" s="1" t="str">
        <f>"00514"</f>
        <v>00514</v>
      </c>
      <c r="B447" s="1" t="str">
        <f>"بديع الزمان"</f>
        <v>بديع الزمان</v>
      </c>
      <c r="C447" s="1" t="str">
        <f>"رفيعي"</f>
        <v>رفيعي</v>
      </c>
      <c r="D447" s="1" t="str">
        <f>"قراردادي کارگري"</f>
        <v>قراردادي کارگري</v>
      </c>
      <c r="E447" s="1" t="str">
        <f t="shared" ref="E447:E452" si="46">"پروژه تعميرات نيروگاه بوشهر"</f>
        <v>پروژه تعميرات نيروگاه بوشهر</v>
      </c>
      <c r="F447" s="1">
        <v>12180291</v>
      </c>
      <c r="G447" s="1">
        <v>2502105</v>
      </c>
      <c r="H447" s="1">
        <v>0</v>
      </c>
      <c r="I447" s="1">
        <v>10840458</v>
      </c>
      <c r="J447" s="1">
        <v>0</v>
      </c>
      <c r="K447" s="1">
        <v>0</v>
      </c>
      <c r="L447" s="1">
        <v>7628143</v>
      </c>
      <c r="M447" s="1">
        <v>1000000</v>
      </c>
      <c r="N447" s="1">
        <v>6496155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12696162</v>
      </c>
      <c r="W447" s="1">
        <v>1900000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813647</v>
      </c>
      <c r="AD447" s="1">
        <v>0</v>
      </c>
      <c r="AE447" s="1">
        <v>0</v>
      </c>
      <c r="AF447" s="1">
        <v>1516881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0</v>
      </c>
      <c r="AO447" s="1">
        <v>57573842</v>
      </c>
      <c r="AP447" s="1">
        <v>7948042</v>
      </c>
      <c r="AQ447" s="1">
        <v>49625800</v>
      </c>
      <c r="AR447" s="1">
        <v>11211392</v>
      </c>
      <c r="AS447" s="1">
        <v>1681709</v>
      </c>
      <c r="AT447" s="1">
        <f t="shared" si="42"/>
        <v>70466943</v>
      </c>
    </row>
    <row r="448" spans="1:46" x14ac:dyDescent="0.2">
      <c r="A448" s="1" t="str">
        <f>"00515"</f>
        <v>00515</v>
      </c>
      <c r="B448" s="1" t="str">
        <f>"كورش"</f>
        <v>كورش</v>
      </c>
      <c r="C448" s="1" t="str">
        <f>"اميني"</f>
        <v>اميني</v>
      </c>
      <c r="D448" s="1" t="str">
        <f>"قراردادي کارگري"</f>
        <v>قراردادي کارگري</v>
      </c>
      <c r="E448" s="1" t="str">
        <f t="shared" si="46"/>
        <v>پروژه تعميرات نيروگاه بوشهر</v>
      </c>
      <c r="F448" s="1">
        <v>12742196</v>
      </c>
      <c r="G448" s="1">
        <v>9906209</v>
      </c>
      <c r="H448" s="1">
        <v>0</v>
      </c>
      <c r="I448" s="1">
        <v>11085710</v>
      </c>
      <c r="J448" s="1">
        <v>0</v>
      </c>
      <c r="K448" s="1">
        <v>0</v>
      </c>
      <c r="L448" s="1">
        <v>7462913</v>
      </c>
      <c r="M448" s="1">
        <v>1000000</v>
      </c>
      <c r="N448" s="1">
        <v>6795839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13013175</v>
      </c>
      <c r="W448" s="1">
        <v>1900000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894660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0</v>
      </c>
      <c r="AM448" s="1">
        <v>0</v>
      </c>
      <c r="AN448" s="1">
        <v>0</v>
      </c>
      <c r="AO448" s="1">
        <v>64800702</v>
      </c>
      <c r="AP448" s="1">
        <v>8968032</v>
      </c>
      <c r="AQ448" s="1">
        <v>55832670</v>
      </c>
      <c r="AR448" s="1">
        <v>12960140</v>
      </c>
      <c r="AS448" s="1">
        <v>1944021</v>
      </c>
      <c r="AT448" s="1">
        <f t="shared" si="42"/>
        <v>79704863</v>
      </c>
    </row>
    <row r="449" spans="1:46" x14ac:dyDescent="0.2">
      <c r="A449" s="1" t="str">
        <f>"00516"</f>
        <v>00516</v>
      </c>
      <c r="B449" s="1" t="str">
        <f>"رضا"</f>
        <v>رضا</v>
      </c>
      <c r="C449" s="1" t="str">
        <f>"اشك منش"</f>
        <v>اشك منش</v>
      </c>
      <c r="D449" s="1" t="str">
        <f t="shared" ref="D449:D458" si="47">"قراردادي بهره بردار"</f>
        <v>قراردادي بهره بردار</v>
      </c>
      <c r="E449" s="1" t="str">
        <f t="shared" si="46"/>
        <v>پروژه تعميرات نيروگاه بوشهر</v>
      </c>
      <c r="F449" s="1">
        <v>24349260</v>
      </c>
      <c r="G449" s="1">
        <v>10612253</v>
      </c>
      <c r="H449" s="1">
        <v>0</v>
      </c>
      <c r="I449" s="1">
        <v>30364524</v>
      </c>
      <c r="J449" s="1">
        <v>0</v>
      </c>
      <c r="K449" s="1">
        <v>5500000</v>
      </c>
      <c r="L449" s="1">
        <v>0</v>
      </c>
      <c r="M449" s="1">
        <v>1000000</v>
      </c>
      <c r="N449" s="1">
        <v>3418864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1387000</v>
      </c>
      <c r="U449" s="1">
        <v>0</v>
      </c>
      <c r="V449" s="1">
        <v>6835944</v>
      </c>
      <c r="W449" s="1">
        <v>1900000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3877480</v>
      </c>
      <c r="AD449" s="1">
        <v>0</v>
      </c>
      <c r="AE449" s="1">
        <v>2442046</v>
      </c>
      <c r="AF449" s="1">
        <v>1516881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3907273</v>
      </c>
      <c r="AM449" s="1">
        <v>0</v>
      </c>
      <c r="AN449" s="1">
        <v>0</v>
      </c>
      <c r="AO449" s="1">
        <v>97111525</v>
      </c>
      <c r="AP449" s="1">
        <v>34764927</v>
      </c>
      <c r="AQ449" s="1">
        <v>62346598</v>
      </c>
      <c r="AR449" s="1">
        <v>19118929</v>
      </c>
      <c r="AS449" s="1">
        <v>2867839</v>
      </c>
      <c r="AT449" s="1">
        <f t="shared" si="42"/>
        <v>119098293</v>
      </c>
    </row>
    <row r="450" spans="1:46" x14ac:dyDescent="0.2">
      <c r="A450" s="1" t="str">
        <f>"00517"</f>
        <v>00517</v>
      </c>
      <c r="B450" s="1" t="str">
        <f>"سجاد"</f>
        <v>سجاد</v>
      </c>
      <c r="C450" s="1" t="str">
        <f>"جعفري زاده"</f>
        <v>جعفري زاده</v>
      </c>
      <c r="D450" s="1" t="str">
        <f t="shared" si="47"/>
        <v>قراردادي بهره بردار</v>
      </c>
      <c r="E450" s="1" t="str">
        <f t="shared" si="46"/>
        <v>پروژه تعميرات نيروگاه بوشهر</v>
      </c>
      <c r="F450" s="1">
        <v>22855225</v>
      </c>
      <c r="G450" s="1">
        <v>11376055</v>
      </c>
      <c r="H450" s="1">
        <v>0</v>
      </c>
      <c r="I450" s="1">
        <v>17803700</v>
      </c>
      <c r="J450" s="1">
        <v>0</v>
      </c>
      <c r="K450" s="1">
        <v>5500000</v>
      </c>
      <c r="L450" s="1">
        <v>0</v>
      </c>
      <c r="M450" s="1">
        <v>1000000</v>
      </c>
      <c r="N450" s="1">
        <v>3327623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1387000</v>
      </c>
      <c r="U450" s="1">
        <v>0</v>
      </c>
      <c r="V450" s="1">
        <v>12058354</v>
      </c>
      <c r="W450" s="1">
        <v>1900000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2376873</v>
      </c>
      <c r="AF450" s="1">
        <v>1516881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6064203</v>
      </c>
      <c r="AM450" s="1">
        <v>0</v>
      </c>
      <c r="AN450" s="1">
        <v>0</v>
      </c>
      <c r="AO450" s="1">
        <v>87165914</v>
      </c>
      <c r="AP450" s="1">
        <v>34741522</v>
      </c>
      <c r="AQ450" s="1">
        <v>52424392</v>
      </c>
      <c r="AR450" s="1">
        <v>17129807</v>
      </c>
      <c r="AS450" s="1">
        <v>2569471</v>
      </c>
      <c r="AT450" s="1">
        <f t="shared" si="42"/>
        <v>106865192</v>
      </c>
    </row>
    <row r="451" spans="1:46" x14ac:dyDescent="0.2">
      <c r="A451" s="1" t="str">
        <f>"00519"</f>
        <v>00519</v>
      </c>
      <c r="B451" s="1" t="str">
        <f>"رامين"</f>
        <v>رامين</v>
      </c>
      <c r="C451" s="1" t="str">
        <f>"وزان"</f>
        <v>وزان</v>
      </c>
      <c r="D451" s="1" t="str">
        <f t="shared" si="47"/>
        <v>قراردادي بهره بردار</v>
      </c>
      <c r="E451" s="1" t="str">
        <f t="shared" si="46"/>
        <v>پروژه تعميرات نيروگاه بوشهر</v>
      </c>
      <c r="F451" s="1">
        <v>23819119</v>
      </c>
      <c r="G451" s="1">
        <v>0</v>
      </c>
      <c r="H451" s="1">
        <v>0</v>
      </c>
      <c r="I451" s="1">
        <v>21084804</v>
      </c>
      <c r="J451" s="1">
        <v>0</v>
      </c>
      <c r="K451" s="1">
        <v>5500000</v>
      </c>
      <c r="L451" s="1">
        <v>0</v>
      </c>
      <c r="M451" s="1">
        <v>1000000</v>
      </c>
      <c r="N451" s="1">
        <v>3664985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1387000</v>
      </c>
      <c r="U451" s="1">
        <v>0</v>
      </c>
      <c r="V451" s="1">
        <v>18524301</v>
      </c>
      <c r="W451" s="1">
        <v>1900000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2617847</v>
      </c>
      <c r="AF451" s="1">
        <v>1516881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6701687</v>
      </c>
      <c r="AM451" s="1">
        <v>0</v>
      </c>
      <c r="AN451" s="1">
        <v>0</v>
      </c>
      <c r="AO451" s="1">
        <v>87716624</v>
      </c>
      <c r="AP451" s="1">
        <v>33209241</v>
      </c>
      <c r="AQ451" s="1">
        <v>54507383</v>
      </c>
      <c r="AR451" s="1">
        <v>17239949</v>
      </c>
      <c r="AS451" s="1">
        <v>2585992</v>
      </c>
      <c r="AT451" s="1">
        <f t="shared" ref="AT451:AT514" si="48">AO451+AR451+AS451</f>
        <v>107542565</v>
      </c>
    </row>
    <row r="452" spans="1:46" x14ac:dyDescent="0.2">
      <c r="A452" s="1" t="str">
        <f>"00520"</f>
        <v>00520</v>
      </c>
      <c r="B452" s="1" t="str">
        <f>"امير"</f>
        <v>امير</v>
      </c>
      <c r="C452" s="1" t="str">
        <f>"مجدميان"</f>
        <v>مجدميان</v>
      </c>
      <c r="D452" s="1" t="str">
        <f t="shared" si="47"/>
        <v>قراردادي بهره بردار</v>
      </c>
      <c r="E452" s="1" t="str">
        <f t="shared" si="46"/>
        <v>پروژه تعميرات نيروگاه بوشهر</v>
      </c>
      <c r="F452" s="1">
        <v>18655717</v>
      </c>
      <c r="G452" s="1">
        <v>4276026</v>
      </c>
      <c r="H452" s="1">
        <v>0</v>
      </c>
      <c r="I452" s="1">
        <v>14494717</v>
      </c>
      <c r="J452" s="1">
        <v>0</v>
      </c>
      <c r="K452" s="1">
        <v>4620000</v>
      </c>
      <c r="L452" s="1">
        <v>0</v>
      </c>
      <c r="M452" s="1">
        <v>1000000</v>
      </c>
      <c r="N452" s="1">
        <v>3650417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1387000</v>
      </c>
      <c r="U452" s="1">
        <v>0</v>
      </c>
      <c r="V452" s="1">
        <v>14690280</v>
      </c>
      <c r="W452" s="1">
        <v>1900000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2607441</v>
      </c>
      <c r="AF452" s="1">
        <v>3033762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6498832</v>
      </c>
      <c r="AM452" s="1">
        <v>0</v>
      </c>
      <c r="AN452" s="1">
        <v>0</v>
      </c>
      <c r="AO452" s="1">
        <v>76814192</v>
      </c>
      <c r="AP452" s="1">
        <v>10620402</v>
      </c>
      <c r="AQ452" s="1">
        <v>66193790</v>
      </c>
      <c r="AR452" s="1">
        <v>14756086</v>
      </c>
      <c r="AS452" s="1">
        <v>2213413</v>
      </c>
      <c r="AT452" s="1">
        <f t="shared" si="48"/>
        <v>93783691</v>
      </c>
    </row>
    <row r="453" spans="1:46" x14ac:dyDescent="0.2">
      <c r="A453" s="1" t="str">
        <f>"00521"</f>
        <v>00521</v>
      </c>
      <c r="B453" s="1" t="str">
        <f>"حسين"</f>
        <v>حسين</v>
      </c>
      <c r="C453" s="1" t="str">
        <f>"آرمند"</f>
        <v>آرمند</v>
      </c>
      <c r="D453" s="1" t="str">
        <f t="shared" si="47"/>
        <v>قراردادي بهره بردار</v>
      </c>
      <c r="E453" s="1" t="str">
        <f t="shared" ref="E453:E458" si="49">"پروژه بهره برداري نيروگاه بوشهر"</f>
        <v>پروژه بهره برداري نيروگاه بوشهر</v>
      </c>
      <c r="F453" s="1">
        <v>15803469</v>
      </c>
      <c r="G453" s="1">
        <v>4594748</v>
      </c>
      <c r="H453" s="1">
        <v>0</v>
      </c>
      <c r="I453" s="1">
        <v>13197881</v>
      </c>
      <c r="J453" s="1">
        <v>0</v>
      </c>
      <c r="K453" s="1">
        <v>4620000</v>
      </c>
      <c r="L453" s="1">
        <v>0</v>
      </c>
      <c r="M453" s="1">
        <v>1000000</v>
      </c>
      <c r="N453" s="1">
        <v>3008662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1606000</v>
      </c>
      <c r="U453" s="1">
        <v>0</v>
      </c>
      <c r="V453" s="1">
        <v>13154372</v>
      </c>
      <c r="W453" s="1">
        <v>1900000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2149044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6948357</v>
      </c>
      <c r="AM453" s="1">
        <v>0</v>
      </c>
      <c r="AN453" s="1">
        <v>0</v>
      </c>
      <c r="AO453" s="1">
        <v>67982533</v>
      </c>
      <c r="AP453" s="1">
        <v>19658501</v>
      </c>
      <c r="AQ453" s="1">
        <v>48324032</v>
      </c>
      <c r="AR453" s="1">
        <v>13596507</v>
      </c>
      <c r="AS453" s="1">
        <v>2039476</v>
      </c>
      <c r="AT453" s="1">
        <f t="shared" si="48"/>
        <v>83618516</v>
      </c>
    </row>
    <row r="454" spans="1:46" x14ac:dyDescent="0.2">
      <c r="A454" s="1" t="str">
        <f>"00522"</f>
        <v>00522</v>
      </c>
      <c r="B454" s="1" t="str">
        <f>"حميد"</f>
        <v>حميد</v>
      </c>
      <c r="C454" s="1" t="str">
        <f>"آقا بابايي"</f>
        <v>آقا بابايي</v>
      </c>
      <c r="D454" s="1" t="str">
        <f t="shared" si="47"/>
        <v>قراردادي بهره بردار</v>
      </c>
      <c r="E454" s="1" t="str">
        <f t="shared" si="49"/>
        <v>پروژه بهره برداري نيروگاه بوشهر</v>
      </c>
      <c r="F454" s="1">
        <v>37760521</v>
      </c>
      <c r="G454" s="1">
        <v>11231572</v>
      </c>
      <c r="H454" s="1">
        <v>0</v>
      </c>
      <c r="I454" s="1">
        <v>47215802</v>
      </c>
      <c r="J454" s="1">
        <v>0</v>
      </c>
      <c r="K454" s="1">
        <v>5500000</v>
      </c>
      <c r="L454" s="1">
        <v>0</v>
      </c>
      <c r="M454" s="1">
        <v>1000000</v>
      </c>
      <c r="N454" s="1">
        <v>5524314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1387000</v>
      </c>
      <c r="U454" s="1">
        <v>0</v>
      </c>
      <c r="V454" s="1">
        <v>10335547</v>
      </c>
      <c r="W454" s="1">
        <v>1900000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3384580</v>
      </c>
      <c r="AD454" s="1">
        <v>0</v>
      </c>
      <c r="AE454" s="1">
        <v>3945938</v>
      </c>
      <c r="AF454" s="1">
        <v>3033762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5524314</v>
      </c>
      <c r="AM454" s="1">
        <v>0</v>
      </c>
      <c r="AN454" s="1">
        <v>0</v>
      </c>
      <c r="AO454" s="1">
        <v>137743350</v>
      </c>
      <c r="AP454" s="1">
        <v>24822972</v>
      </c>
      <c r="AQ454" s="1">
        <v>112920378</v>
      </c>
      <c r="AR454" s="1">
        <v>26552511</v>
      </c>
      <c r="AS454" s="1">
        <v>3982877</v>
      </c>
      <c r="AT454" s="1">
        <f t="shared" si="48"/>
        <v>168278738</v>
      </c>
    </row>
    <row r="455" spans="1:46" x14ac:dyDescent="0.2">
      <c r="A455" s="1" t="str">
        <f>"00523"</f>
        <v>00523</v>
      </c>
      <c r="B455" s="1" t="str">
        <f>"محسن"</f>
        <v>محسن</v>
      </c>
      <c r="C455" s="1" t="str">
        <f>"ابراهيمي"</f>
        <v>ابراهيمي</v>
      </c>
      <c r="D455" s="1" t="str">
        <f t="shared" si="47"/>
        <v>قراردادي بهره بردار</v>
      </c>
      <c r="E455" s="1" t="str">
        <f t="shared" si="49"/>
        <v>پروژه بهره برداري نيروگاه بوشهر</v>
      </c>
      <c r="F455" s="1">
        <v>18283304</v>
      </c>
      <c r="G455" s="1">
        <v>0</v>
      </c>
      <c r="H455" s="1">
        <v>0</v>
      </c>
      <c r="I455" s="1">
        <v>13493288</v>
      </c>
      <c r="J455" s="1">
        <v>0</v>
      </c>
      <c r="K455" s="1">
        <v>4125000</v>
      </c>
      <c r="L455" s="1">
        <v>0</v>
      </c>
      <c r="M455" s="1">
        <v>1000000</v>
      </c>
      <c r="N455" s="1">
        <v>3040864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1606000</v>
      </c>
      <c r="U455" s="1">
        <v>0</v>
      </c>
      <c r="V455" s="1">
        <v>18801556</v>
      </c>
      <c r="W455" s="1">
        <v>1900000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2172046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5499888</v>
      </c>
      <c r="AM455" s="1">
        <v>0</v>
      </c>
      <c r="AN455" s="1">
        <v>0</v>
      </c>
      <c r="AO455" s="1">
        <v>69921946</v>
      </c>
      <c r="AP455" s="1">
        <v>16351522</v>
      </c>
      <c r="AQ455" s="1">
        <v>53570424</v>
      </c>
      <c r="AR455" s="1">
        <v>13984389</v>
      </c>
      <c r="AS455" s="1">
        <v>2097658</v>
      </c>
      <c r="AT455" s="1">
        <f t="shared" si="48"/>
        <v>86003993</v>
      </c>
    </row>
    <row r="456" spans="1:46" x14ac:dyDescent="0.2">
      <c r="A456" s="1" t="str">
        <f>"00524"</f>
        <v>00524</v>
      </c>
      <c r="B456" s="1" t="str">
        <f>"مهدي"</f>
        <v>مهدي</v>
      </c>
      <c r="C456" s="1" t="str">
        <f>"اسکندري"</f>
        <v>اسکندري</v>
      </c>
      <c r="D456" s="1" t="str">
        <f t="shared" si="47"/>
        <v>قراردادي بهره بردار</v>
      </c>
      <c r="E456" s="1" t="str">
        <f t="shared" si="49"/>
        <v>پروژه بهره برداري نيروگاه بوشهر</v>
      </c>
      <c r="F456" s="1">
        <v>18543993</v>
      </c>
      <c r="G456" s="1">
        <v>8379452</v>
      </c>
      <c r="H456" s="1">
        <v>0</v>
      </c>
      <c r="I456" s="1">
        <v>15103231</v>
      </c>
      <c r="J456" s="1">
        <v>0</v>
      </c>
      <c r="K456" s="1">
        <v>5500000</v>
      </c>
      <c r="L456" s="1">
        <v>0</v>
      </c>
      <c r="M456" s="1">
        <v>1000000</v>
      </c>
      <c r="N456" s="1">
        <v>3132106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1387000</v>
      </c>
      <c r="U456" s="1">
        <v>0</v>
      </c>
      <c r="V456" s="1">
        <v>13878164</v>
      </c>
      <c r="W456" s="1">
        <v>1900000</v>
      </c>
      <c r="X456" s="1">
        <v>2618579</v>
      </c>
      <c r="Y456" s="1">
        <v>0</v>
      </c>
      <c r="Z456" s="1">
        <v>0</v>
      </c>
      <c r="AA456" s="1">
        <v>0</v>
      </c>
      <c r="AB456" s="1">
        <v>0</v>
      </c>
      <c r="AC456" s="1">
        <v>3877480</v>
      </c>
      <c r="AD456" s="1">
        <v>0</v>
      </c>
      <c r="AE456" s="1">
        <v>2237218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17445812</v>
      </c>
      <c r="AM456" s="1">
        <v>0</v>
      </c>
      <c r="AN456" s="1">
        <v>0</v>
      </c>
      <c r="AO456" s="1">
        <v>95003035</v>
      </c>
      <c r="AP456" s="1">
        <v>14922519</v>
      </c>
      <c r="AQ456" s="1">
        <v>80080516</v>
      </c>
      <c r="AR456" s="1">
        <v>19000607</v>
      </c>
      <c r="AS456" s="1">
        <v>2850091</v>
      </c>
      <c r="AT456" s="1">
        <f t="shared" si="48"/>
        <v>116853733</v>
      </c>
    </row>
    <row r="457" spans="1:46" x14ac:dyDescent="0.2">
      <c r="A457" s="1" t="str">
        <f>"00525"</f>
        <v>00525</v>
      </c>
      <c r="B457" s="1" t="str">
        <f>"روح اله"</f>
        <v>روح اله</v>
      </c>
      <c r="C457" s="1" t="str">
        <f>"اسيري"</f>
        <v>اسيري</v>
      </c>
      <c r="D457" s="1" t="str">
        <f t="shared" si="47"/>
        <v>قراردادي بهره بردار</v>
      </c>
      <c r="E457" s="1" t="str">
        <f t="shared" si="49"/>
        <v>پروژه بهره برداري نيروگاه بوشهر</v>
      </c>
      <c r="F457" s="1">
        <v>15284281</v>
      </c>
      <c r="G457" s="1">
        <v>1815914</v>
      </c>
      <c r="H457" s="1">
        <v>0</v>
      </c>
      <c r="I457" s="1">
        <v>13911874</v>
      </c>
      <c r="J457" s="1">
        <v>0</v>
      </c>
      <c r="K457" s="1">
        <v>4620000</v>
      </c>
      <c r="L457" s="1">
        <v>0</v>
      </c>
      <c r="M457" s="1">
        <v>1000000</v>
      </c>
      <c r="N457" s="1">
        <v>2826946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1606000</v>
      </c>
      <c r="U457" s="1">
        <v>0</v>
      </c>
      <c r="V457" s="1">
        <v>9624133</v>
      </c>
      <c r="W457" s="1">
        <v>1900000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2019247</v>
      </c>
      <c r="AF457" s="1">
        <v>1516881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7801709</v>
      </c>
      <c r="AM457" s="1">
        <v>0</v>
      </c>
      <c r="AN457" s="1">
        <v>0</v>
      </c>
      <c r="AO457" s="1">
        <v>63926985</v>
      </c>
      <c r="AP457" s="1">
        <v>8179181</v>
      </c>
      <c r="AQ457" s="1">
        <v>55747804</v>
      </c>
      <c r="AR457" s="1">
        <v>12482021</v>
      </c>
      <c r="AS457" s="1">
        <v>1872303</v>
      </c>
      <c r="AT457" s="1">
        <f t="shared" si="48"/>
        <v>78281309</v>
      </c>
    </row>
    <row r="458" spans="1:46" x14ac:dyDescent="0.2">
      <c r="A458" s="1" t="str">
        <f>"00526"</f>
        <v>00526</v>
      </c>
      <c r="B458" s="1" t="str">
        <f>"سارا"</f>
        <v>سارا</v>
      </c>
      <c r="C458" s="1" t="str">
        <f>"اميدي"</f>
        <v>اميدي</v>
      </c>
      <c r="D458" s="1" t="str">
        <f t="shared" si="47"/>
        <v>قراردادي بهره بردار</v>
      </c>
      <c r="E458" s="1" t="str">
        <f t="shared" si="49"/>
        <v>پروژه بهره برداري نيروگاه بوشهر</v>
      </c>
      <c r="F458" s="1">
        <v>13864729</v>
      </c>
      <c r="G458" s="1">
        <v>0</v>
      </c>
      <c r="H458" s="1">
        <v>0</v>
      </c>
      <c r="I458" s="1">
        <v>10268235</v>
      </c>
      <c r="J458" s="1">
        <v>1100000</v>
      </c>
      <c r="K458" s="1">
        <v>3465000</v>
      </c>
      <c r="L458" s="1">
        <v>0</v>
      </c>
      <c r="M458" s="1">
        <v>1000000</v>
      </c>
      <c r="N458" s="1">
        <v>2571624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1387000</v>
      </c>
      <c r="U458" s="1">
        <v>0</v>
      </c>
      <c r="V458" s="1">
        <v>3295949</v>
      </c>
      <c r="W458" s="1">
        <v>1900000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1836874</v>
      </c>
      <c r="AF458" s="1">
        <v>1516881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4418027</v>
      </c>
      <c r="AM458" s="1">
        <v>0</v>
      </c>
      <c r="AN458" s="1">
        <v>0</v>
      </c>
      <c r="AO458" s="1">
        <v>46624319</v>
      </c>
      <c r="AP458" s="1">
        <v>20458754</v>
      </c>
      <c r="AQ458" s="1">
        <v>26165565</v>
      </c>
      <c r="AR458" s="1">
        <v>8801488</v>
      </c>
      <c r="AS458" s="1">
        <v>1320223</v>
      </c>
      <c r="AT458" s="1">
        <f t="shared" si="48"/>
        <v>56746030</v>
      </c>
    </row>
    <row r="459" spans="1:46" x14ac:dyDescent="0.2">
      <c r="A459" s="1" t="str">
        <f>"00527"</f>
        <v>00527</v>
      </c>
      <c r="B459" s="1" t="str">
        <f>"اسحاق"</f>
        <v>اسحاق</v>
      </c>
      <c r="C459" s="1" t="str">
        <f>"غلامي"</f>
        <v>غلامي</v>
      </c>
      <c r="D459" s="1" t="str">
        <f>"قراردادي کارگري"</f>
        <v>قراردادي کارگري</v>
      </c>
      <c r="E459" s="1" t="str">
        <f>"پروژه تعميرات نيروگاه بوشهر"</f>
        <v>پروژه تعميرات نيروگاه بوشهر</v>
      </c>
      <c r="F459" s="1">
        <v>6431064</v>
      </c>
      <c r="G459" s="1">
        <v>8897522</v>
      </c>
      <c r="H459" s="1">
        <v>0</v>
      </c>
      <c r="I459" s="1">
        <v>5209161</v>
      </c>
      <c r="J459" s="1">
        <v>0</v>
      </c>
      <c r="K459" s="1">
        <v>0</v>
      </c>
      <c r="L459" s="1">
        <v>7628143</v>
      </c>
      <c r="M459" s="1">
        <v>1000000</v>
      </c>
      <c r="N459" s="1">
        <v>3384770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2564980</v>
      </c>
      <c r="W459" s="1">
        <v>1900000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1516881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0</v>
      </c>
      <c r="AM459" s="1">
        <v>0</v>
      </c>
      <c r="AN459" s="1">
        <v>0</v>
      </c>
      <c r="AO459" s="1">
        <v>38532521</v>
      </c>
      <c r="AP459" s="1">
        <v>4351238</v>
      </c>
      <c r="AQ459" s="1">
        <v>34181283</v>
      </c>
      <c r="AR459" s="1">
        <v>7403128</v>
      </c>
      <c r="AS459" s="1">
        <v>1110469</v>
      </c>
      <c r="AT459" s="1">
        <f t="shared" si="48"/>
        <v>47046118</v>
      </c>
    </row>
    <row r="460" spans="1:46" x14ac:dyDescent="0.2">
      <c r="A460" s="1" t="str">
        <f>"00528"</f>
        <v>00528</v>
      </c>
      <c r="B460" s="1" t="str">
        <f>"ميلاد"</f>
        <v>ميلاد</v>
      </c>
      <c r="C460" s="1" t="str">
        <f>"بيژندي"</f>
        <v>بيژندي</v>
      </c>
      <c r="D460" s="1" t="str">
        <f t="shared" ref="D460:D491" si="50">"قراردادي بهره بردار"</f>
        <v>قراردادي بهره بردار</v>
      </c>
      <c r="E460" s="1" t="str">
        <f t="shared" ref="E460:E490" si="51">"پروژه بهره برداري نيروگاه بوشهر"</f>
        <v>پروژه بهره برداري نيروگاه بوشهر</v>
      </c>
      <c r="F460" s="1">
        <v>13972072</v>
      </c>
      <c r="G460" s="1">
        <v>3048683</v>
      </c>
      <c r="H460" s="1">
        <v>0</v>
      </c>
      <c r="I460" s="1">
        <v>10559915</v>
      </c>
      <c r="J460" s="1">
        <v>0</v>
      </c>
      <c r="K460" s="1">
        <v>0</v>
      </c>
      <c r="L460" s="1">
        <v>0</v>
      </c>
      <c r="M460" s="1">
        <v>1000000</v>
      </c>
      <c r="N460" s="1">
        <v>2609194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1387000</v>
      </c>
      <c r="U460" s="1">
        <v>0</v>
      </c>
      <c r="V460" s="1">
        <v>13777874</v>
      </c>
      <c r="W460" s="1">
        <v>1900000</v>
      </c>
      <c r="X460" s="1">
        <v>1905427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1863710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11222478</v>
      </c>
      <c r="AM460" s="1">
        <v>0</v>
      </c>
      <c r="AN460" s="1">
        <v>0</v>
      </c>
      <c r="AO460" s="1">
        <v>63246353</v>
      </c>
      <c r="AP460" s="1">
        <v>24565020</v>
      </c>
      <c r="AQ460" s="1">
        <v>38681333</v>
      </c>
      <c r="AR460" s="1">
        <v>12649271</v>
      </c>
      <c r="AS460" s="1">
        <v>1897391</v>
      </c>
      <c r="AT460" s="1">
        <f t="shared" si="48"/>
        <v>77793015</v>
      </c>
    </row>
    <row r="461" spans="1:46" x14ac:dyDescent="0.2">
      <c r="A461" s="1" t="str">
        <f>"00531"</f>
        <v>00531</v>
      </c>
      <c r="B461" s="1" t="str">
        <f>"مسعود"</f>
        <v>مسعود</v>
      </c>
      <c r="C461" s="1" t="str">
        <f>"حسين آبادي"</f>
        <v>حسين آبادي</v>
      </c>
      <c r="D461" s="1" t="str">
        <f t="shared" si="50"/>
        <v>قراردادي بهره بردار</v>
      </c>
      <c r="E461" s="1" t="str">
        <f t="shared" si="51"/>
        <v>پروژه بهره برداري نيروگاه بوشهر</v>
      </c>
      <c r="F461" s="1">
        <v>15691745</v>
      </c>
      <c r="G461" s="1">
        <v>7489323</v>
      </c>
      <c r="H461" s="1">
        <v>0</v>
      </c>
      <c r="I461" s="1">
        <v>14091081</v>
      </c>
      <c r="J461" s="1">
        <v>0</v>
      </c>
      <c r="K461" s="1">
        <v>4620000</v>
      </c>
      <c r="L461" s="1">
        <v>0</v>
      </c>
      <c r="M461" s="1">
        <v>1000000</v>
      </c>
      <c r="N461" s="1">
        <v>2969558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1606000</v>
      </c>
      <c r="U461" s="1">
        <v>0</v>
      </c>
      <c r="V461" s="1">
        <v>15045283</v>
      </c>
      <c r="W461" s="1">
        <v>1900000</v>
      </c>
      <c r="X461" s="1">
        <v>2277834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2121113</v>
      </c>
      <c r="AF461" s="1">
        <v>1516881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12513219</v>
      </c>
      <c r="AM461" s="1">
        <v>0</v>
      </c>
      <c r="AN461" s="1">
        <v>0</v>
      </c>
      <c r="AO461" s="1">
        <v>82842037</v>
      </c>
      <c r="AP461" s="1">
        <v>29037097</v>
      </c>
      <c r="AQ461" s="1">
        <v>53804940</v>
      </c>
      <c r="AR461" s="1">
        <v>16265031</v>
      </c>
      <c r="AS461" s="1">
        <v>2439755</v>
      </c>
      <c r="AT461" s="1">
        <f t="shared" si="48"/>
        <v>101546823</v>
      </c>
    </row>
    <row r="462" spans="1:46" x14ac:dyDescent="0.2">
      <c r="A462" s="1" t="str">
        <f>"00533"</f>
        <v>00533</v>
      </c>
      <c r="B462" s="1" t="str">
        <f>"نيما"</f>
        <v>نيما</v>
      </c>
      <c r="C462" s="1" t="str">
        <f>"درست کار"</f>
        <v>درست کار</v>
      </c>
      <c r="D462" s="1" t="str">
        <f t="shared" si="50"/>
        <v>قراردادي بهره بردار</v>
      </c>
      <c r="E462" s="1" t="str">
        <f t="shared" si="51"/>
        <v>پروژه بهره برداري نيروگاه بوشهر</v>
      </c>
      <c r="F462" s="1">
        <v>19343587</v>
      </c>
      <c r="G462" s="1">
        <v>15626124</v>
      </c>
      <c r="H462" s="1">
        <v>0</v>
      </c>
      <c r="I462" s="1">
        <v>17320805</v>
      </c>
      <c r="J462" s="1">
        <v>0</v>
      </c>
      <c r="K462" s="1">
        <v>5500000</v>
      </c>
      <c r="L462" s="1">
        <v>0</v>
      </c>
      <c r="M462" s="1">
        <v>1000000</v>
      </c>
      <c r="N462" s="1">
        <v>3411963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1606000</v>
      </c>
      <c r="U462" s="1">
        <v>0</v>
      </c>
      <c r="V462" s="1">
        <v>20154960</v>
      </c>
      <c r="W462" s="1">
        <v>1900000</v>
      </c>
      <c r="X462" s="1">
        <v>2807940</v>
      </c>
      <c r="Y462" s="1">
        <v>0</v>
      </c>
      <c r="Z462" s="1">
        <v>0</v>
      </c>
      <c r="AA462" s="1">
        <v>0</v>
      </c>
      <c r="AB462" s="1">
        <v>0</v>
      </c>
      <c r="AC462" s="1">
        <v>3877480</v>
      </c>
      <c r="AD462" s="1">
        <v>0</v>
      </c>
      <c r="AE462" s="1">
        <v>2437117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18625048</v>
      </c>
      <c r="AM462" s="1">
        <v>0</v>
      </c>
      <c r="AN462" s="1">
        <v>0</v>
      </c>
      <c r="AO462" s="1">
        <v>113611024</v>
      </c>
      <c r="AP462" s="1">
        <v>41710706</v>
      </c>
      <c r="AQ462" s="1">
        <v>71900318</v>
      </c>
      <c r="AR462" s="1">
        <v>22722205</v>
      </c>
      <c r="AS462" s="1">
        <v>3408331</v>
      </c>
      <c r="AT462" s="1">
        <f t="shared" si="48"/>
        <v>139741560</v>
      </c>
    </row>
    <row r="463" spans="1:46" x14ac:dyDescent="0.2">
      <c r="A463" s="1" t="str">
        <f>"00534"</f>
        <v>00534</v>
      </c>
      <c r="B463" s="1" t="str">
        <f>"اكرم"</f>
        <v>اكرم</v>
      </c>
      <c r="C463" s="1" t="str">
        <f>"درويشي"</f>
        <v>درويشي</v>
      </c>
      <c r="D463" s="1" t="str">
        <f t="shared" si="50"/>
        <v>قراردادي بهره بردار</v>
      </c>
      <c r="E463" s="1" t="str">
        <f t="shared" si="51"/>
        <v>پروژه بهره برداري نيروگاه بوشهر</v>
      </c>
      <c r="F463" s="1">
        <v>13950165</v>
      </c>
      <c r="G463" s="1">
        <v>0</v>
      </c>
      <c r="H463" s="1">
        <v>0</v>
      </c>
      <c r="I463" s="1">
        <v>9908511</v>
      </c>
      <c r="J463" s="1">
        <v>0</v>
      </c>
      <c r="K463" s="1">
        <v>3465000</v>
      </c>
      <c r="L463" s="1">
        <v>0</v>
      </c>
      <c r="M463" s="1">
        <v>1000000</v>
      </c>
      <c r="N463" s="1">
        <v>2628362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1606000</v>
      </c>
      <c r="U463" s="1">
        <v>0</v>
      </c>
      <c r="V463" s="1">
        <v>3284764</v>
      </c>
      <c r="W463" s="1">
        <v>1900000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1877401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4483199</v>
      </c>
      <c r="AM463" s="1">
        <v>0</v>
      </c>
      <c r="AN463" s="1">
        <v>0</v>
      </c>
      <c r="AO463" s="1">
        <v>44103402</v>
      </c>
      <c r="AP463" s="1">
        <v>26231281</v>
      </c>
      <c r="AQ463" s="1">
        <v>17872121</v>
      </c>
      <c r="AR463" s="1">
        <v>8820680</v>
      </c>
      <c r="AS463" s="1">
        <v>1323102</v>
      </c>
      <c r="AT463" s="1">
        <f t="shared" si="48"/>
        <v>54247184</v>
      </c>
    </row>
    <row r="464" spans="1:46" x14ac:dyDescent="0.2">
      <c r="A464" s="1" t="str">
        <f>"00535"</f>
        <v>00535</v>
      </c>
      <c r="B464" s="1" t="str">
        <f>"اسماء"</f>
        <v>اسماء</v>
      </c>
      <c r="C464" s="1" t="str">
        <f>"دولتي"</f>
        <v>دولتي</v>
      </c>
      <c r="D464" s="1" t="str">
        <f t="shared" si="50"/>
        <v>قراردادي بهره بردار</v>
      </c>
      <c r="E464" s="1" t="str">
        <f t="shared" si="51"/>
        <v>پروژه بهره برداري نيروگاه بوشهر</v>
      </c>
      <c r="F464" s="1">
        <v>13682904</v>
      </c>
      <c r="G464" s="1">
        <v>0</v>
      </c>
      <c r="H464" s="1">
        <v>0</v>
      </c>
      <c r="I464" s="1">
        <v>9430049</v>
      </c>
      <c r="J464" s="1">
        <v>0</v>
      </c>
      <c r="K464" s="1">
        <v>3465000</v>
      </c>
      <c r="L464" s="1">
        <v>0</v>
      </c>
      <c r="M464" s="1">
        <v>1000000</v>
      </c>
      <c r="N464" s="1">
        <v>2266464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1387000</v>
      </c>
      <c r="U464" s="1">
        <v>0</v>
      </c>
      <c r="V464" s="1">
        <v>3158820</v>
      </c>
      <c r="W464" s="1">
        <v>1900000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1618903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4589885</v>
      </c>
      <c r="AM464" s="1">
        <v>0</v>
      </c>
      <c r="AN464" s="1">
        <v>0</v>
      </c>
      <c r="AO464" s="1">
        <v>42499025</v>
      </c>
      <c r="AP464" s="1">
        <v>11796644</v>
      </c>
      <c r="AQ464" s="1">
        <v>30702381</v>
      </c>
      <c r="AR464" s="1">
        <v>8499805</v>
      </c>
      <c r="AS464" s="1">
        <v>1274971</v>
      </c>
      <c r="AT464" s="1">
        <f t="shared" si="48"/>
        <v>52273801</v>
      </c>
    </row>
    <row r="465" spans="1:46" x14ac:dyDescent="0.2">
      <c r="A465" s="1" t="str">
        <f>"00536"</f>
        <v>00536</v>
      </c>
      <c r="B465" s="1" t="str">
        <f>"سجاد"</f>
        <v>سجاد</v>
      </c>
      <c r="C465" s="1" t="str">
        <f>"دهقاني فتح ابادي"</f>
        <v>دهقاني فتح ابادي</v>
      </c>
      <c r="D465" s="1" t="str">
        <f t="shared" si="50"/>
        <v>قراردادي بهره بردار</v>
      </c>
      <c r="E465" s="1" t="str">
        <f t="shared" si="51"/>
        <v>پروژه بهره برداري نيروگاه بوشهر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f t="shared" si="48"/>
        <v>0</v>
      </c>
    </row>
    <row r="466" spans="1:46" x14ac:dyDescent="0.2">
      <c r="A466" s="1" t="str">
        <f>"00537"</f>
        <v>00537</v>
      </c>
      <c r="B466" s="1" t="str">
        <f>"حمزه"</f>
        <v>حمزه</v>
      </c>
      <c r="C466" s="1" t="str">
        <f>"ذبيحي"</f>
        <v>ذبيحي</v>
      </c>
      <c r="D466" s="1" t="str">
        <f t="shared" si="50"/>
        <v>قراردادي بهره بردار</v>
      </c>
      <c r="E466" s="1" t="str">
        <f t="shared" si="51"/>
        <v>پروژه بهره برداري نيروگاه بوشهر</v>
      </c>
      <c r="F466" s="1">
        <v>19389591</v>
      </c>
      <c r="G466" s="1">
        <v>5393297</v>
      </c>
      <c r="H466" s="1">
        <v>0</v>
      </c>
      <c r="I466" s="1">
        <v>17019296</v>
      </c>
      <c r="J466" s="1">
        <v>0</v>
      </c>
      <c r="K466" s="1">
        <v>4125000</v>
      </c>
      <c r="L466" s="1">
        <v>0</v>
      </c>
      <c r="M466" s="1">
        <v>1000000</v>
      </c>
      <c r="N466" s="1">
        <v>3428065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1387000</v>
      </c>
      <c r="U466" s="1">
        <v>0</v>
      </c>
      <c r="V466" s="1">
        <v>20096289</v>
      </c>
      <c r="W466" s="1">
        <v>1900000</v>
      </c>
      <c r="X466" s="1">
        <v>2814618</v>
      </c>
      <c r="Y466" s="1">
        <v>0</v>
      </c>
      <c r="Z466" s="1">
        <v>0</v>
      </c>
      <c r="AA466" s="1">
        <v>0</v>
      </c>
      <c r="AB466" s="1">
        <v>0</v>
      </c>
      <c r="AC466" s="1">
        <v>3877480</v>
      </c>
      <c r="AD466" s="1">
        <v>0</v>
      </c>
      <c r="AE466" s="1">
        <v>2448618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18663692</v>
      </c>
      <c r="AM466" s="1">
        <v>0</v>
      </c>
      <c r="AN466" s="1">
        <v>0</v>
      </c>
      <c r="AO466" s="1">
        <v>101542946</v>
      </c>
      <c r="AP466" s="1">
        <v>33016205</v>
      </c>
      <c r="AQ466" s="1">
        <v>68526741</v>
      </c>
      <c r="AR466" s="1">
        <v>20308589</v>
      </c>
      <c r="AS466" s="1">
        <v>3046288</v>
      </c>
      <c r="AT466" s="1">
        <f t="shared" si="48"/>
        <v>124897823</v>
      </c>
    </row>
    <row r="467" spans="1:46" x14ac:dyDescent="0.2">
      <c r="A467" s="1" t="str">
        <f>"00538"</f>
        <v>00538</v>
      </c>
      <c r="B467" s="1" t="str">
        <f>"مهرزاد"</f>
        <v>مهرزاد</v>
      </c>
      <c r="C467" s="1" t="str">
        <f>"رزمجوئي"</f>
        <v>رزمجوئي</v>
      </c>
      <c r="D467" s="1" t="str">
        <f t="shared" si="50"/>
        <v>قراردادي بهره بردار</v>
      </c>
      <c r="E467" s="1" t="str">
        <f t="shared" si="51"/>
        <v>پروژه بهره برداري نيروگاه بوشهر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f t="shared" si="48"/>
        <v>0</v>
      </c>
    </row>
    <row r="468" spans="1:46" x14ac:dyDescent="0.2">
      <c r="A468" s="1" t="str">
        <f>"00539"</f>
        <v>00539</v>
      </c>
      <c r="B468" s="1" t="str">
        <f>"صابر"</f>
        <v>صابر</v>
      </c>
      <c r="C468" s="1" t="str">
        <f>"رفيعي"</f>
        <v>رفيعي</v>
      </c>
      <c r="D468" s="1" t="str">
        <f t="shared" si="50"/>
        <v>قراردادي بهره بردار</v>
      </c>
      <c r="E468" s="1" t="str">
        <f t="shared" si="51"/>
        <v>پروژه بهره برداري نيروگاه بوشهر</v>
      </c>
      <c r="F468" s="1">
        <v>18557137</v>
      </c>
      <c r="G468" s="1">
        <v>8430787</v>
      </c>
      <c r="H468" s="1">
        <v>0</v>
      </c>
      <c r="I468" s="1">
        <v>15441082</v>
      </c>
      <c r="J468" s="1">
        <v>0</v>
      </c>
      <c r="K468" s="1">
        <v>5500000</v>
      </c>
      <c r="L468" s="1">
        <v>0</v>
      </c>
      <c r="M468" s="1">
        <v>1000000</v>
      </c>
      <c r="N468" s="1">
        <v>3136706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1387000</v>
      </c>
      <c r="U468" s="1">
        <v>0</v>
      </c>
      <c r="V468" s="1">
        <v>13963185</v>
      </c>
      <c r="W468" s="1">
        <v>1900000</v>
      </c>
      <c r="X468" s="1">
        <v>2693778</v>
      </c>
      <c r="Y468" s="1">
        <v>0</v>
      </c>
      <c r="Z468" s="1">
        <v>0</v>
      </c>
      <c r="AA468" s="1">
        <v>0</v>
      </c>
      <c r="AB468" s="1">
        <v>0</v>
      </c>
      <c r="AC468" s="1">
        <v>3877480</v>
      </c>
      <c r="AD468" s="1">
        <v>0</v>
      </c>
      <c r="AE468" s="1">
        <v>2240504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17456590</v>
      </c>
      <c r="AM468" s="1">
        <v>0</v>
      </c>
      <c r="AN468" s="1">
        <v>0</v>
      </c>
      <c r="AO468" s="1">
        <v>95584249</v>
      </c>
      <c r="AP468" s="1">
        <v>29733040</v>
      </c>
      <c r="AQ468" s="1">
        <v>65851209</v>
      </c>
      <c r="AR468" s="1">
        <v>19116850</v>
      </c>
      <c r="AS468" s="1">
        <v>2867527</v>
      </c>
      <c r="AT468" s="1">
        <f t="shared" si="48"/>
        <v>117568626</v>
      </c>
    </row>
    <row r="469" spans="1:46" x14ac:dyDescent="0.2">
      <c r="A469" s="1" t="str">
        <f>"00540"</f>
        <v>00540</v>
      </c>
      <c r="B469" s="1" t="str">
        <f>"قنبر"</f>
        <v>قنبر</v>
      </c>
      <c r="C469" s="1" t="str">
        <f>"رئيسي"</f>
        <v>رئيسي</v>
      </c>
      <c r="D469" s="1" t="str">
        <f t="shared" si="50"/>
        <v>قراردادي بهره بردار</v>
      </c>
      <c r="E469" s="1" t="str">
        <f t="shared" si="51"/>
        <v>پروژه بهره برداري نيروگاه بوشهر</v>
      </c>
      <c r="F469" s="1">
        <v>14134181</v>
      </c>
      <c r="G469" s="1">
        <v>3630416</v>
      </c>
      <c r="H469" s="1">
        <v>0</v>
      </c>
      <c r="I469" s="1">
        <v>11501270</v>
      </c>
      <c r="J469" s="1">
        <v>0</v>
      </c>
      <c r="K469" s="1">
        <v>4620000</v>
      </c>
      <c r="L469" s="1">
        <v>0</v>
      </c>
      <c r="M469" s="1">
        <v>1000000</v>
      </c>
      <c r="N469" s="1">
        <v>2665932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1606000</v>
      </c>
      <c r="U469" s="1">
        <v>0</v>
      </c>
      <c r="V469" s="1">
        <v>9535203</v>
      </c>
      <c r="W469" s="1">
        <v>1900000</v>
      </c>
      <c r="X469" s="1">
        <v>2051736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1904237</v>
      </c>
      <c r="AF469" s="1">
        <v>3033762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11707361</v>
      </c>
      <c r="AM469" s="1">
        <v>0</v>
      </c>
      <c r="AN469" s="1">
        <v>0</v>
      </c>
      <c r="AO469" s="1">
        <v>69290098</v>
      </c>
      <c r="AP469" s="1">
        <v>27470050</v>
      </c>
      <c r="AQ469" s="1">
        <v>41820048</v>
      </c>
      <c r="AR469" s="1">
        <v>13251267</v>
      </c>
      <c r="AS469" s="1">
        <v>1987690</v>
      </c>
      <c r="AT469" s="1">
        <f t="shared" si="48"/>
        <v>84529055</v>
      </c>
    </row>
    <row r="470" spans="1:46" x14ac:dyDescent="0.2">
      <c r="A470" s="1" t="str">
        <f>"00541"</f>
        <v>00541</v>
      </c>
      <c r="B470" s="1" t="str">
        <f>"وحيد"</f>
        <v>وحيد</v>
      </c>
      <c r="C470" s="1" t="str">
        <f>"زارعي"</f>
        <v>زارعي</v>
      </c>
      <c r="D470" s="1" t="str">
        <f t="shared" si="50"/>
        <v>قراردادي بهره بردار</v>
      </c>
      <c r="E470" s="1" t="str">
        <f t="shared" si="51"/>
        <v>پروژه بهره برداري نيروگاه بوشهر</v>
      </c>
      <c r="F470" s="1">
        <v>18543993</v>
      </c>
      <c r="G470" s="1">
        <v>4136525</v>
      </c>
      <c r="H470" s="1">
        <v>0</v>
      </c>
      <c r="I470" s="1">
        <v>13654211</v>
      </c>
      <c r="J470" s="1">
        <v>0</v>
      </c>
      <c r="K470" s="1">
        <v>5500000</v>
      </c>
      <c r="L470" s="1">
        <v>0</v>
      </c>
      <c r="M470" s="1">
        <v>1000000</v>
      </c>
      <c r="N470" s="1">
        <v>3132106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1606000</v>
      </c>
      <c r="U470" s="1">
        <v>0</v>
      </c>
      <c r="V470" s="1">
        <v>15675069</v>
      </c>
      <c r="W470" s="1">
        <v>1900000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2237218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5377868</v>
      </c>
      <c r="AM470" s="1">
        <v>0</v>
      </c>
      <c r="AN470" s="1">
        <v>0</v>
      </c>
      <c r="AO470" s="1">
        <v>72762990</v>
      </c>
      <c r="AP470" s="1">
        <v>10509767</v>
      </c>
      <c r="AQ470" s="1">
        <v>62253223</v>
      </c>
      <c r="AR470" s="1">
        <v>14552598</v>
      </c>
      <c r="AS470" s="1">
        <v>2182890</v>
      </c>
      <c r="AT470" s="1">
        <f t="shared" si="48"/>
        <v>89498478</v>
      </c>
    </row>
    <row r="471" spans="1:46" x14ac:dyDescent="0.2">
      <c r="A471" s="1" t="str">
        <f>"00542"</f>
        <v>00542</v>
      </c>
      <c r="B471" s="1" t="str">
        <f>"سجاد"</f>
        <v>سجاد</v>
      </c>
      <c r="C471" s="1" t="str">
        <f>"سالميان"</f>
        <v>سالميان</v>
      </c>
      <c r="D471" s="1" t="str">
        <f t="shared" si="50"/>
        <v>قراردادي بهره بردار</v>
      </c>
      <c r="E471" s="1" t="str">
        <f t="shared" si="51"/>
        <v>پروژه بهره برداري نيروگاه بوشهر</v>
      </c>
      <c r="F471" s="1">
        <v>18307401</v>
      </c>
      <c r="G471" s="1">
        <v>8073180</v>
      </c>
      <c r="H471" s="1">
        <v>0</v>
      </c>
      <c r="I471" s="1">
        <v>13939655</v>
      </c>
      <c r="J471" s="1">
        <v>0</v>
      </c>
      <c r="K471" s="1">
        <v>5500000</v>
      </c>
      <c r="L471" s="1">
        <v>0</v>
      </c>
      <c r="M471" s="1">
        <v>1000000</v>
      </c>
      <c r="N471" s="1">
        <v>3049298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1606000</v>
      </c>
      <c r="U471" s="1">
        <v>0</v>
      </c>
      <c r="V471" s="1">
        <v>7765757</v>
      </c>
      <c r="W471" s="1">
        <v>1900000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2178070</v>
      </c>
      <c r="AF471" s="1">
        <v>1516881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4502642</v>
      </c>
      <c r="AM471" s="1">
        <v>0</v>
      </c>
      <c r="AN471" s="1">
        <v>0</v>
      </c>
      <c r="AO471" s="1">
        <v>69338884</v>
      </c>
      <c r="AP471" s="1">
        <v>11328313</v>
      </c>
      <c r="AQ471" s="1">
        <v>58010571</v>
      </c>
      <c r="AR471" s="1">
        <v>13564401</v>
      </c>
      <c r="AS471" s="1">
        <v>2034660</v>
      </c>
      <c r="AT471" s="1">
        <f t="shared" si="48"/>
        <v>84937945</v>
      </c>
    </row>
    <row r="472" spans="1:46" x14ac:dyDescent="0.2">
      <c r="A472" s="1" t="str">
        <f>"00545"</f>
        <v>00545</v>
      </c>
      <c r="B472" s="1" t="str">
        <f>"ميثم"</f>
        <v>ميثم</v>
      </c>
      <c r="C472" s="1" t="str">
        <f>"شاپورجاني"</f>
        <v>شاپورجاني</v>
      </c>
      <c r="D472" s="1" t="str">
        <f t="shared" si="50"/>
        <v>قراردادي بهره بردار</v>
      </c>
      <c r="E472" s="1" t="str">
        <f t="shared" si="51"/>
        <v>پروژه بهره برداري نيروگاه بوشهر</v>
      </c>
      <c r="F472" s="1">
        <v>14454019</v>
      </c>
      <c r="G472" s="1">
        <v>5741425</v>
      </c>
      <c r="H472" s="1">
        <v>0</v>
      </c>
      <c r="I472" s="1">
        <v>11422635</v>
      </c>
      <c r="J472" s="1">
        <v>0</v>
      </c>
      <c r="K472" s="1">
        <v>4620000</v>
      </c>
      <c r="L472" s="1">
        <v>0</v>
      </c>
      <c r="M472" s="1">
        <v>1000000</v>
      </c>
      <c r="N472" s="1">
        <v>2777875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1606000</v>
      </c>
      <c r="U472" s="1">
        <v>0</v>
      </c>
      <c r="V472" s="1">
        <v>9509027</v>
      </c>
      <c r="W472" s="1">
        <v>1900000</v>
      </c>
      <c r="X472" s="1">
        <v>2098164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1984196</v>
      </c>
      <c r="AF472" s="1">
        <v>1516881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10704868</v>
      </c>
      <c r="AM472" s="1">
        <v>0</v>
      </c>
      <c r="AN472" s="1">
        <v>0</v>
      </c>
      <c r="AO472" s="1">
        <v>69335090</v>
      </c>
      <c r="AP472" s="1">
        <v>27771186</v>
      </c>
      <c r="AQ472" s="1">
        <v>41563904</v>
      </c>
      <c r="AR472" s="1">
        <v>13563642</v>
      </c>
      <c r="AS472" s="1">
        <v>2034546</v>
      </c>
      <c r="AT472" s="1">
        <f t="shared" si="48"/>
        <v>84933278</v>
      </c>
    </row>
    <row r="473" spans="1:46" x14ac:dyDescent="0.2">
      <c r="A473" s="1" t="str">
        <f>"00546"</f>
        <v>00546</v>
      </c>
      <c r="B473" s="1" t="str">
        <f>"عليرضا"</f>
        <v>عليرضا</v>
      </c>
      <c r="C473" s="1" t="str">
        <f>"شفيعي"</f>
        <v>شفيعي</v>
      </c>
      <c r="D473" s="1" t="str">
        <f t="shared" si="50"/>
        <v>قراردادي بهره بردار</v>
      </c>
      <c r="E473" s="1" t="str">
        <f t="shared" si="51"/>
        <v>پروژه بهره برداري نيروگاه بوشهر</v>
      </c>
      <c r="F473" s="1">
        <v>14692801</v>
      </c>
      <c r="G473" s="1">
        <v>7747611</v>
      </c>
      <c r="H473" s="1">
        <v>0</v>
      </c>
      <c r="I473" s="1">
        <v>11501818</v>
      </c>
      <c r="J473" s="1">
        <v>0</v>
      </c>
      <c r="K473" s="1">
        <v>4620000</v>
      </c>
      <c r="L473" s="1">
        <v>0</v>
      </c>
      <c r="M473" s="1">
        <v>1000000</v>
      </c>
      <c r="N473" s="1">
        <v>2619928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1606000</v>
      </c>
      <c r="U473" s="1">
        <v>0</v>
      </c>
      <c r="V473" s="1">
        <v>6592672</v>
      </c>
      <c r="W473" s="1">
        <v>1900000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1871377</v>
      </c>
      <c r="AF473" s="1">
        <v>3033762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4950140</v>
      </c>
      <c r="AM473" s="1">
        <v>0</v>
      </c>
      <c r="AN473" s="1">
        <v>0</v>
      </c>
      <c r="AO473" s="1">
        <v>62136109</v>
      </c>
      <c r="AP473" s="1">
        <v>29232424</v>
      </c>
      <c r="AQ473" s="1">
        <v>32903685</v>
      </c>
      <c r="AR473" s="1">
        <v>11820469</v>
      </c>
      <c r="AS473" s="1">
        <v>1773070</v>
      </c>
      <c r="AT473" s="1">
        <f t="shared" si="48"/>
        <v>75729648</v>
      </c>
    </row>
    <row r="474" spans="1:46" x14ac:dyDescent="0.2">
      <c r="A474" s="1" t="str">
        <f>"00547"</f>
        <v>00547</v>
      </c>
      <c r="B474" s="1" t="str">
        <f>"حبيب اله"</f>
        <v>حبيب اله</v>
      </c>
      <c r="C474" s="1" t="str">
        <f>"صالحي"</f>
        <v>صالحي</v>
      </c>
      <c r="D474" s="1" t="str">
        <f t="shared" si="50"/>
        <v>قراردادي بهره بردار</v>
      </c>
      <c r="E474" s="1" t="str">
        <f t="shared" si="51"/>
        <v>پروژه بهره برداري نيروگاه بوشهر</v>
      </c>
      <c r="F474" s="1">
        <v>13685095</v>
      </c>
      <c r="G474" s="1">
        <v>3195749</v>
      </c>
      <c r="H474" s="1">
        <v>0</v>
      </c>
      <c r="I474" s="1">
        <v>11573996</v>
      </c>
      <c r="J474" s="1">
        <v>0</v>
      </c>
      <c r="K474" s="1">
        <v>4620000</v>
      </c>
      <c r="L474" s="1">
        <v>0</v>
      </c>
      <c r="M474" s="1">
        <v>1000000</v>
      </c>
      <c r="N474" s="1">
        <v>2508751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1606000</v>
      </c>
      <c r="U474" s="1">
        <v>0</v>
      </c>
      <c r="V474" s="1">
        <v>17297626</v>
      </c>
      <c r="W474" s="1">
        <v>1900000</v>
      </c>
      <c r="X474" s="1">
        <v>1986546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1791965</v>
      </c>
      <c r="AF474" s="1">
        <v>1516881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9752979</v>
      </c>
      <c r="AM474" s="1">
        <v>0</v>
      </c>
      <c r="AN474" s="1">
        <v>0</v>
      </c>
      <c r="AO474" s="1">
        <v>72435588</v>
      </c>
      <c r="AP474" s="1">
        <v>32312230</v>
      </c>
      <c r="AQ474" s="1">
        <v>40123358</v>
      </c>
      <c r="AR474" s="1">
        <v>14183741</v>
      </c>
      <c r="AS474" s="1">
        <v>2127561</v>
      </c>
      <c r="AT474" s="1">
        <f t="shared" si="48"/>
        <v>88746890</v>
      </c>
    </row>
    <row r="475" spans="1:46" x14ac:dyDescent="0.2">
      <c r="A475" s="1" t="str">
        <f>"00548"</f>
        <v>00548</v>
      </c>
      <c r="B475" s="1" t="str">
        <f>"خالد"</f>
        <v>خالد</v>
      </c>
      <c r="C475" s="1" t="str">
        <f>"طاهرپور"</f>
        <v>طاهرپور</v>
      </c>
      <c r="D475" s="1" t="str">
        <f t="shared" si="50"/>
        <v>قراردادي بهره بردار</v>
      </c>
      <c r="E475" s="1" t="str">
        <f t="shared" si="51"/>
        <v>پروژه بهره برداري نيروگاه بوشهر</v>
      </c>
      <c r="F475" s="1">
        <v>19021559</v>
      </c>
      <c r="G475" s="1">
        <v>3436961</v>
      </c>
      <c r="H475" s="1">
        <v>0</v>
      </c>
      <c r="I475" s="1">
        <v>15884015</v>
      </c>
      <c r="J475" s="1">
        <v>0</v>
      </c>
      <c r="K475" s="1">
        <v>5500000</v>
      </c>
      <c r="L475" s="1">
        <v>0</v>
      </c>
      <c r="M475" s="1">
        <v>1000000</v>
      </c>
      <c r="N475" s="1">
        <v>3299254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1387000</v>
      </c>
      <c r="U475" s="1">
        <v>0</v>
      </c>
      <c r="V475" s="1">
        <v>13011069</v>
      </c>
      <c r="W475" s="1">
        <v>1900000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3877480</v>
      </c>
      <c r="AD475" s="1">
        <v>0</v>
      </c>
      <c r="AE475" s="1">
        <v>2356610</v>
      </c>
      <c r="AF475" s="1">
        <v>1516881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12130948</v>
      </c>
      <c r="AM475" s="1">
        <v>0</v>
      </c>
      <c r="AN475" s="1">
        <v>0</v>
      </c>
      <c r="AO475" s="1">
        <v>84321777</v>
      </c>
      <c r="AP475" s="1">
        <v>21948082</v>
      </c>
      <c r="AQ475" s="1">
        <v>62373695</v>
      </c>
      <c r="AR475" s="1">
        <v>16560979</v>
      </c>
      <c r="AS475" s="1">
        <v>2484147</v>
      </c>
      <c r="AT475" s="1">
        <f t="shared" si="48"/>
        <v>103366903</v>
      </c>
    </row>
    <row r="476" spans="1:46" x14ac:dyDescent="0.2">
      <c r="A476" s="1" t="str">
        <f>"00549"</f>
        <v>00549</v>
      </c>
      <c r="B476" s="1" t="str">
        <f>"مسعود"</f>
        <v>مسعود</v>
      </c>
      <c r="C476" s="1" t="str">
        <f>"ظاهري حقيقي"</f>
        <v>ظاهري حقيقي</v>
      </c>
      <c r="D476" s="1" t="str">
        <f t="shared" si="50"/>
        <v>قراردادي بهره بردار</v>
      </c>
      <c r="E476" s="1" t="str">
        <f t="shared" si="51"/>
        <v>پروژه بهره برداري نيروگاه بوشهر</v>
      </c>
      <c r="F476" s="1">
        <v>13547083</v>
      </c>
      <c r="G476" s="1">
        <v>3105283</v>
      </c>
      <c r="H476" s="1">
        <v>0</v>
      </c>
      <c r="I476" s="1">
        <v>10738321</v>
      </c>
      <c r="J476" s="1">
        <v>0</v>
      </c>
      <c r="K476" s="1">
        <v>3465000</v>
      </c>
      <c r="L476" s="1">
        <v>0</v>
      </c>
      <c r="M476" s="1">
        <v>1000000</v>
      </c>
      <c r="N476" s="1">
        <v>2460447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1387000</v>
      </c>
      <c r="U476" s="1">
        <v>0</v>
      </c>
      <c r="V476" s="1">
        <v>16807958</v>
      </c>
      <c r="W476" s="1">
        <v>1900000</v>
      </c>
      <c r="X476" s="1">
        <v>1966512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1757462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9696591</v>
      </c>
      <c r="AM476" s="1">
        <v>0</v>
      </c>
      <c r="AN476" s="1">
        <v>0</v>
      </c>
      <c r="AO476" s="1">
        <v>67831657</v>
      </c>
      <c r="AP476" s="1">
        <v>26713868</v>
      </c>
      <c r="AQ476" s="1">
        <v>41117789</v>
      </c>
      <c r="AR476" s="1">
        <v>13566331</v>
      </c>
      <c r="AS476" s="1">
        <v>2034950</v>
      </c>
      <c r="AT476" s="1">
        <f t="shared" si="48"/>
        <v>83432938</v>
      </c>
    </row>
    <row r="477" spans="1:46" x14ac:dyDescent="0.2">
      <c r="A477" s="1" t="str">
        <f>"00550"</f>
        <v>00550</v>
      </c>
      <c r="B477" s="1" t="str">
        <f>"جواد"</f>
        <v>جواد</v>
      </c>
      <c r="C477" s="1" t="str">
        <f>"عفيف"</f>
        <v>عفيف</v>
      </c>
      <c r="D477" s="1" t="str">
        <f t="shared" si="50"/>
        <v>قراردادي بهره بردار</v>
      </c>
      <c r="E477" s="1" t="str">
        <f t="shared" si="51"/>
        <v>پروژه بهره برداري نيروگاه بوشهر</v>
      </c>
      <c r="F477" s="1">
        <v>14646797</v>
      </c>
      <c r="G477" s="1">
        <v>1737176</v>
      </c>
      <c r="H477" s="1">
        <v>0</v>
      </c>
      <c r="I477" s="1">
        <v>11169161</v>
      </c>
      <c r="J477" s="1">
        <v>0</v>
      </c>
      <c r="K477" s="1">
        <v>3465000</v>
      </c>
      <c r="L477" s="1">
        <v>0</v>
      </c>
      <c r="M477" s="1">
        <v>1000000</v>
      </c>
      <c r="N477" s="1">
        <v>2603826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1387000</v>
      </c>
      <c r="U477" s="1">
        <v>0</v>
      </c>
      <c r="V477" s="1">
        <v>6405597</v>
      </c>
      <c r="W477" s="1">
        <v>1900000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1859876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4345187</v>
      </c>
      <c r="AM477" s="1">
        <v>0</v>
      </c>
      <c r="AN477" s="1">
        <v>0</v>
      </c>
      <c r="AO477" s="1">
        <v>50519620</v>
      </c>
      <c r="AP477" s="1">
        <v>5930662</v>
      </c>
      <c r="AQ477" s="1">
        <v>44588958</v>
      </c>
      <c r="AR477" s="1">
        <v>10103924</v>
      </c>
      <c r="AS477" s="1">
        <v>1515589</v>
      </c>
      <c r="AT477" s="1">
        <f t="shared" si="48"/>
        <v>62139133</v>
      </c>
    </row>
    <row r="478" spans="1:46" x14ac:dyDescent="0.2">
      <c r="A478" s="1" t="str">
        <f>"00551"</f>
        <v>00551</v>
      </c>
      <c r="B478" s="1" t="str">
        <f>"سعيد"</f>
        <v>سعيد</v>
      </c>
      <c r="C478" s="1" t="str">
        <f>"فاتحي فر"</f>
        <v>فاتحي فر</v>
      </c>
      <c r="D478" s="1" t="str">
        <f t="shared" si="50"/>
        <v>قراردادي بهره بردار</v>
      </c>
      <c r="E478" s="1" t="str">
        <f t="shared" si="51"/>
        <v>پروژه بهره برداري نيروگاه بوشهر</v>
      </c>
      <c r="F478" s="1">
        <v>15468297</v>
      </c>
      <c r="G478" s="1">
        <v>4700223</v>
      </c>
      <c r="H478" s="1">
        <v>0</v>
      </c>
      <c r="I478" s="1">
        <v>12593101</v>
      </c>
      <c r="J478" s="1">
        <v>0</v>
      </c>
      <c r="K478" s="1">
        <v>4620000</v>
      </c>
      <c r="L478" s="1">
        <v>0</v>
      </c>
      <c r="M478" s="1">
        <v>1000000</v>
      </c>
      <c r="N478" s="1">
        <v>2891351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1606000</v>
      </c>
      <c r="U478" s="1">
        <v>0</v>
      </c>
      <c r="V478" s="1">
        <v>15448479</v>
      </c>
      <c r="W478" s="1">
        <v>1900000</v>
      </c>
      <c r="X478" s="1">
        <v>2245398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2065251</v>
      </c>
      <c r="AF478" s="1">
        <v>1516881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12087047</v>
      </c>
      <c r="AM478" s="1">
        <v>0</v>
      </c>
      <c r="AN478" s="1">
        <v>0</v>
      </c>
      <c r="AO478" s="1">
        <v>78142028</v>
      </c>
      <c r="AP478" s="1">
        <v>35007150</v>
      </c>
      <c r="AQ478" s="1">
        <v>43134878</v>
      </c>
      <c r="AR478" s="1">
        <v>15325029</v>
      </c>
      <c r="AS478" s="1">
        <v>2298754</v>
      </c>
      <c r="AT478" s="1">
        <f t="shared" si="48"/>
        <v>95765811</v>
      </c>
    </row>
    <row r="479" spans="1:46" x14ac:dyDescent="0.2">
      <c r="A479" s="1" t="str">
        <f>"00552"</f>
        <v>00552</v>
      </c>
      <c r="B479" s="1" t="str">
        <f>"محمد"</f>
        <v>محمد</v>
      </c>
      <c r="C479" s="1" t="str">
        <f>"قاسمي"</f>
        <v>قاسمي</v>
      </c>
      <c r="D479" s="1" t="str">
        <f t="shared" si="50"/>
        <v>قراردادي بهره بردار</v>
      </c>
      <c r="E479" s="1" t="str">
        <f t="shared" si="51"/>
        <v>پروژه بهره برداري نيروگاه بوشهر</v>
      </c>
      <c r="F479" s="1">
        <v>14460591</v>
      </c>
      <c r="G479" s="1">
        <v>3696332</v>
      </c>
      <c r="H479" s="1">
        <v>0</v>
      </c>
      <c r="I479" s="1">
        <v>11608790</v>
      </c>
      <c r="J479" s="1">
        <v>0</v>
      </c>
      <c r="K479" s="1">
        <v>4620000</v>
      </c>
      <c r="L479" s="1">
        <v>0</v>
      </c>
      <c r="M479" s="1">
        <v>1000000</v>
      </c>
      <c r="N479" s="1">
        <v>2780175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1606000</v>
      </c>
      <c r="U479" s="1">
        <v>0</v>
      </c>
      <c r="V479" s="1">
        <v>9708330</v>
      </c>
      <c r="W479" s="1">
        <v>1900000</v>
      </c>
      <c r="X479" s="1">
        <v>2099118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1985839</v>
      </c>
      <c r="AF479" s="1">
        <v>3033762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11838582</v>
      </c>
      <c r="AM479" s="1">
        <v>0</v>
      </c>
      <c r="AN479" s="1">
        <v>0</v>
      </c>
      <c r="AO479" s="1">
        <v>70337519</v>
      </c>
      <c r="AP479" s="1">
        <v>28108691</v>
      </c>
      <c r="AQ479" s="1">
        <v>42228828</v>
      </c>
      <c r="AR479" s="1">
        <v>13460751</v>
      </c>
      <c r="AS479" s="1">
        <v>2019113</v>
      </c>
      <c r="AT479" s="1">
        <f t="shared" si="48"/>
        <v>85817383</v>
      </c>
    </row>
    <row r="480" spans="1:46" x14ac:dyDescent="0.2">
      <c r="A480" s="1" t="str">
        <f>"00553"</f>
        <v>00553</v>
      </c>
      <c r="B480" s="1" t="str">
        <f>"پويا"</f>
        <v>پويا</v>
      </c>
      <c r="C480" s="1" t="str">
        <f>"قباديان"</f>
        <v>قباديان</v>
      </c>
      <c r="D480" s="1" t="str">
        <f t="shared" si="50"/>
        <v>قراردادي بهره بردار</v>
      </c>
      <c r="E480" s="1" t="str">
        <f t="shared" si="51"/>
        <v>پروژه بهره برداري نيروگاه بوشهر</v>
      </c>
      <c r="F480" s="1">
        <v>19223100</v>
      </c>
      <c r="G480" s="1">
        <v>8224545</v>
      </c>
      <c r="H480" s="1">
        <v>0</v>
      </c>
      <c r="I480" s="1">
        <v>16164467</v>
      </c>
      <c r="J480" s="1">
        <v>0</v>
      </c>
      <c r="K480" s="1">
        <v>5500000</v>
      </c>
      <c r="L480" s="1">
        <v>0</v>
      </c>
      <c r="M480" s="1">
        <v>1000000</v>
      </c>
      <c r="N480" s="1">
        <v>3369793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1606000</v>
      </c>
      <c r="U480" s="1">
        <v>0</v>
      </c>
      <c r="V480" s="1">
        <v>14657850</v>
      </c>
      <c r="W480" s="1">
        <v>1900000</v>
      </c>
      <c r="X480" s="1">
        <v>2790450</v>
      </c>
      <c r="Y480" s="1">
        <v>0</v>
      </c>
      <c r="Z480" s="1">
        <v>0</v>
      </c>
      <c r="AA480" s="1">
        <v>0</v>
      </c>
      <c r="AB480" s="1">
        <v>0</v>
      </c>
      <c r="AC480" s="1">
        <v>3877480</v>
      </c>
      <c r="AD480" s="1">
        <v>0</v>
      </c>
      <c r="AE480" s="1">
        <v>2406995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18002680</v>
      </c>
      <c r="AM480" s="1">
        <v>0</v>
      </c>
      <c r="AN480" s="1">
        <v>0</v>
      </c>
      <c r="AO480" s="1">
        <v>98723360</v>
      </c>
      <c r="AP480" s="1">
        <v>34213673</v>
      </c>
      <c r="AQ480" s="1">
        <v>64509687</v>
      </c>
      <c r="AR480" s="1">
        <v>19744672</v>
      </c>
      <c r="AS480" s="1">
        <v>2961701</v>
      </c>
      <c r="AT480" s="1">
        <f t="shared" si="48"/>
        <v>121429733</v>
      </c>
    </row>
    <row r="481" spans="1:46" x14ac:dyDescent="0.2">
      <c r="A481" s="1" t="str">
        <f>"00554"</f>
        <v>00554</v>
      </c>
      <c r="B481" s="1" t="str">
        <f>"امين"</f>
        <v>امين</v>
      </c>
      <c r="C481" s="1" t="str">
        <f>"قجري"</f>
        <v>قجري</v>
      </c>
      <c r="D481" s="1" t="str">
        <f t="shared" si="50"/>
        <v>قراردادي بهره بردار</v>
      </c>
      <c r="E481" s="1" t="str">
        <f t="shared" si="51"/>
        <v>پروژه بهره برداري نيروگاه بوشهر</v>
      </c>
      <c r="F481" s="1">
        <v>14318197</v>
      </c>
      <c r="G481" s="1">
        <v>3235696</v>
      </c>
      <c r="H481" s="1">
        <v>0</v>
      </c>
      <c r="I481" s="1">
        <v>12375259</v>
      </c>
      <c r="J481" s="1">
        <v>0</v>
      </c>
      <c r="K481" s="1">
        <v>4620000</v>
      </c>
      <c r="L481" s="1">
        <v>0</v>
      </c>
      <c r="M481" s="1">
        <v>1000000</v>
      </c>
      <c r="N481" s="1">
        <v>2730337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1606000</v>
      </c>
      <c r="U481" s="1">
        <v>0</v>
      </c>
      <c r="V481" s="1">
        <v>14623039</v>
      </c>
      <c r="W481" s="1">
        <v>1900000</v>
      </c>
      <c r="X481" s="1">
        <v>2078448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1950241</v>
      </c>
      <c r="AF481" s="1">
        <v>1516881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11320971</v>
      </c>
      <c r="AM481" s="1">
        <v>0</v>
      </c>
      <c r="AN481" s="1">
        <v>0</v>
      </c>
      <c r="AO481" s="1">
        <v>73275069</v>
      </c>
      <c r="AP481" s="1">
        <v>28878063</v>
      </c>
      <c r="AQ481" s="1">
        <v>44397006</v>
      </c>
      <c r="AR481" s="1">
        <v>14351638</v>
      </c>
      <c r="AS481" s="1">
        <v>2152746</v>
      </c>
      <c r="AT481" s="1">
        <f t="shared" si="48"/>
        <v>89779453</v>
      </c>
    </row>
    <row r="482" spans="1:46" x14ac:dyDescent="0.2">
      <c r="A482" s="1" t="str">
        <f>"00555"</f>
        <v>00555</v>
      </c>
      <c r="B482" s="1" t="str">
        <f>"علي رضا"</f>
        <v>علي رضا</v>
      </c>
      <c r="C482" s="1" t="str">
        <f>"قناتي"</f>
        <v>قناتي</v>
      </c>
      <c r="D482" s="1" t="str">
        <f t="shared" si="50"/>
        <v>قراردادي بهره بردار</v>
      </c>
      <c r="E482" s="1" t="str">
        <f t="shared" si="51"/>
        <v>پروژه بهره برداري نيروگاه بوشهر</v>
      </c>
      <c r="F482" s="1">
        <v>14346676</v>
      </c>
      <c r="G482" s="1">
        <v>3345407</v>
      </c>
      <c r="H482" s="1">
        <v>0</v>
      </c>
      <c r="I482" s="1">
        <v>11710719</v>
      </c>
      <c r="J482" s="1">
        <v>0</v>
      </c>
      <c r="K482" s="1">
        <v>4620000</v>
      </c>
      <c r="L482" s="1">
        <v>0</v>
      </c>
      <c r="M482" s="1">
        <v>1000000</v>
      </c>
      <c r="N482" s="1">
        <v>2740305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1606000</v>
      </c>
      <c r="U482" s="1">
        <v>0</v>
      </c>
      <c r="V482" s="1">
        <v>17892213</v>
      </c>
      <c r="W482" s="1">
        <v>1900000</v>
      </c>
      <c r="X482" s="1">
        <v>2082582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1957361</v>
      </c>
      <c r="AF482" s="1">
        <v>1516881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10614218</v>
      </c>
      <c r="AM482" s="1">
        <v>0</v>
      </c>
      <c r="AN482" s="1">
        <v>0</v>
      </c>
      <c r="AO482" s="1">
        <v>75332362</v>
      </c>
      <c r="AP482" s="1">
        <v>33279216</v>
      </c>
      <c r="AQ482" s="1">
        <v>42053146</v>
      </c>
      <c r="AR482" s="1">
        <v>14763096</v>
      </c>
      <c r="AS482" s="1">
        <v>2214464</v>
      </c>
      <c r="AT482" s="1">
        <f t="shared" si="48"/>
        <v>92309922</v>
      </c>
    </row>
    <row r="483" spans="1:46" x14ac:dyDescent="0.2">
      <c r="A483" s="1" t="str">
        <f>"00556"</f>
        <v>00556</v>
      </c>
      <c r="B483" s="1" t="str">
        <f>"سعيد"</f>
        <v>سعيد</v>
      </c>
      <c r="C483" s="1" t="str">
        <f>"ماندني"</f>
        <v>ماندني</v>
      </c>
      <c r="D483" s="1" t="str">
        <f t="shared" si="50"/>
        <v>قراردادي بهره بردار</v>
      </c>
      <c r="E483" s="1" t="str">
        <f t="shared" si="51"/>
        <v>پروژه بهره برداري نيروگاه بوشهر</v>
      </c>
      <c r="F483" s="1">
        <v>15553733</v>
      </c>
      <c r="G483" s="1">
        <v>10863439</v>
      </c>
      <c r="H483" s="1">
        <v>0</v>
      </c>
      <c r="I483" s="1">
        <v>13380264</v>
      </c>
      <c r="J483" s="1">
        <v>0</v>
      </c>
      <c r="K483" s="1">
        <v>4620000</v>
      </c>
      <c r="L483" s="1">
        <v>0</v>
      </c>
      <c r="M483" s="1">
        <v>1000000</v>
      </c>
      <c r="N483" s="1">
        <v>2921254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1606000</v>
      </c>
      <c r="U483" s="1">
        <v>0</v>
      </c>
      <c r="V483" s="1">
        <v>14840006</v>
      </c>
      <c r="W483" s="1">
        <v>1900000</v>
      </c>
      <c r="X483" s="1">
        <v>2257800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2086610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12798313</v>
      </c>
      <c r="AM483" s="1">
        <v>0</v>
      </c>
      <c r="AN483" s="1">
        <v>0</v>
      </c>
      <c r="AO483" s="1">
        <v>83827419</v>
      </c>
      <c r="AP483" s="1">
        <v>35955080</v>
      </c>
      <c r="AQ483" s="1">
        <v>47872339</v>
      </c>
      <c r="AR483" s="1">
        <v>16765484</v>
      </c>
      <c r="AS483" s="1">
        <v>2514823</v>
      </c>
      <c r="AT483" s="1">
        <f t="shared" si="48"/>
        <v>103107726</v>
      </c>
    </row>
    <row r="484" spans="1:46" x14ac:dyDescent="0.2">
      <c r="A484" s="1" t="str">
        <f>"00557"</f>
        <v>00557</v>
      </c>
      <c r="B484" s="1" t="str">
        <f>"محمد جواد"</f>
        <v>محمد جواد</v>
      </c>
      <c r="C484" s="1" t="str">
        <f>"مرادي"</f>
        <v>مرادي</v>
      </c>
      <c r="D484" s="1" t="str">
        <f t="shared" si="50"/>
        <v>قراردادي بهره بردار</v>
      </c>
      <c r="E484" s="1" t="str">
        <f t="shared" si="51"/>
        <v>پروژه بهره برداري نيروگاه بوشهر</v>
      </c>
      <c r="F484" s="1">
        <v>19014987</v>
      </c>
      <c r="G484" s="1">
        <v>9931451</v>
      </c>
      <c r="H484" s="1">
        <v>0</v>
      </c>
      <c r="I484" s="1">
        <v>16304991</v>
      </c>
      <c r="J484" s="1">
        <v>0</v>
      </c>
      <c r="K484" s="1">
        <v>0</v>
      </c>
      <c r="L484" s="1">
        <v>0</v>
      </c>
      <c r="M484" s="1">
        <v>1000000</v>
      </c>
      <c r="N484" s="1">
        <v>3296953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1606000</v>
      </c>
      <c r="U484" s="1">
        <v>0</v>
      </c>
      <c r="V484" s="1">
        <v>19591505</v>
      </c>
      <c r="W484" s="1">
        <v>1900000</v>
      </c>
      <c r="X484" s="1">
        <v>2760240</v>
      </c>
      <c r="Y484" s="1">
        <v>0</v>
      </c>
      <c r="Z484" s="1">
        <v>0</v>
      </c>
      <c r="AA484" s="1">
        <v>0</v>
      </c>
      <c r="AB484" s="1">
        <v>0</v>
      </c>
      <c r="AC484" s="1">
        <v>3877480</v>
      </c>
      <c r="AD484" s="1">
        <v>0</v>
      </c>
      <c r="AE484" s="1">
        <v>2354967</v>
      </c>
      <c r="AF484" s="1">
        <v>1516881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18349024</v>
      </c>
      <c r="AM484" s="1">
        <v>0</v>
      </c>
      <c r="AN484" s="1">
        <v>0</v>
      </c>
      <c r="AO484" s="1">
        <v>101504479</v>
      </c>
      <c r="AP484" s="1">
        <v>34079042</v>
      </c>
      <c r="AQ484" s="1">
        <v>67425437</v>
      </c>
      <c r="AR484" s="1">
        <v>19997520</v>
      </c>
      <c r="AS484" s="1">
        <v>2999628</v>
      </c>
      <c r="AT484" s="1">
        <f t="shared" si="48"/>
        <v>124501627</v>
      </c>
    </row>
    <row r="485" spans="1:46" x14ac:dyDescent="0.2">
      <c r="A485" s="1" t="str">
        <f>"00559"</f>
        <v>00559</v>
      </c>
      <c r="B485" s="1" t="str">
        <f>"رضا"</f>
        <v>رضا</v>
      </c>
      <c r="C485" s="1" t="str">
        <f>"مشکور"</f>
        <v>مشکور</v>
      </c>
      <c r="D485" s="1" t="str">
        <f t="shared" si="50"/>
        <v>قراردادي بهره بردار</v>
      </c>
      <c r="E485" s="1" t="str">
        <f t="shared" si="51"/>
        <v>پروژه بهره برداري نيروگاه بوشهر</v>
      </c>
      <c r="F485" s="1">
        <v>13823107</v>
      </c>
      <c r="G485" s="1">
        <v>2788067</v>
      </c>
      <c r="H485" s="1">
        <v>0</v>
      </c>
      <c r="I485" s="1">
        <v>11093693</v>
      </c>
      <c r="J485" s="1">
        <v>0</v>
      </c>
      <c r="K485" s="1">
        <v>4620000</v>
      </c>
      <c r="L485" s="1">
        <v>0</v>
      </c>
      <c r="M485" s="1">
        <v>1000000</v>
      </c>
      <c r="N485" s="1">
        <v>2557056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1606000</v>
      </c>
      <c r="U485" s="1">
        <v>0</v>
      </c>
      <c r="V485" s="1">
        <v>17246820</v>
      </c>
      <c r="W485" s="1">
        <v>1900000</v>
      </c>
      <c r="X485" s="1">
        <v>2006580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1826468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9896994</v>
      </c>
      <c r="AM485" s="1">
        <v>0</v>
      </c>
      <c r="AN485" s="1">
        <v>0</v>
      </c>
      <c r="AO485" s="1">
        <v>70364785</v>
      </c>
      <c r="AP485" s="1">
        <v>28342360</v>
      </c>
      <c r="AQ485" s="1">
        <v>42022425</v>
      </c>
      <c r="AR485" s="1">
        <v>14072957</v>
      </c>
      <c r="AS485" s="1">
        <v>2110944</v>
      </c>
      <c r="AT485" s="1">
        <f t="shared" si="48"/>
        <v>86548686</v>
      </c>
    </row>
    <row r="486" spans="1:46" x14ac:dyDescent="0.2">
      <c r="A486" s="1" t="str">
        <f>"00560"</f>
        <v>00560</v>
      </c>
      <c r="B486" s="1" t="str">
        <f>"وحيد"</f>
        <v>وحيد</v>
      </c>
      <c r="C486" s="1" t="str">
        <f>"منصوري"</f>
        <v>منصوري</v>
      </c>
      <c r="D486" s="1" t="str">
        <f t="shared" si="50"/>
        <v>قراردادي بهره بردار</v>
      </c>
      <c r="E486" s="1" t="str">
        <f t="shared" si="51"/>
        <v>پروژه بهره برداري نيروگاه بوشهر</v>
      </c>
      <c r="F486" s="1">
        <v>13367448</v>
      </c>
      <c r="G486" s="1">
        <v>1328108</v>
      </c>
      <c r="H486" s="1">
        <v>0</v>
      </c>
      <c r="I486" s="1">
        <v>10131668</v>
      </c>
      <c r="J486" s="1">
        <v>0</v>
      </c>
      <c r="K486" s="1">
        <v>3465000</v>
      </c>
      <c r="L486" s="1">
        <v>0</v>
      </c>
      <c r="M486" s="1">
        <v>1000000</v>
      </c>
      <c r="N486" s="1">
        <v>2397575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1606000</v>
      </c>
      <c r="U486" s="1">
        <v>0</v>
      </c>
      <c r="V486" s="1">
        <v>12455201</v>
      </c>
      <c r="W486" s="1">
        <v>1900000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1712554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6988534</v>
      </c>
      <c r="AM486" s="1">
        <v>0</v>
      </c>
      <c r="AN486" s="1">
        <v>0</v>
      </c>
      <c r="AO486" s="1">
        <v>56352088</v>
      </c>
      <c r="AP486" s="1">
        <v>22268279</v>
      </c>
      <c r="AQ486" s="1">
        <v>34083809</v>
      </c>
      <c r="AR486" s="1">
        <v>11270418</v>
      </c>
      <c r="AS486" s="1">
        <v>1690563</v>
      </c>
      <c r="AT486" s="1">
        <f t="shared" si="48"/>
        <v>69313069</v>
      </c>
    </row>
    <row r="487" spans="1:46" x14ac:dyDescent="0.2">
      <c r="A487" s="1" t="str">
        <f>"00561"</f>
        <v>00561</v>
      </c>
      <c r="B487" s="1" t="str">
        <f>"حسن"</f>
        <v>حسن</v>
      </c>
      <c r="C487" s="1" t="str">
        <f>"منصوري"</f>
        <v>منصوري</v>
      </c>
      <c r="D487" s="1" t="str">
        <f t="shared" si="50"/>
        <v>قراردادي بهره بردار</v>
      </c>
      <c r="E487" s="1" t="str">
        <f t="shared" si="51"/>
        <v>پروژه بهره برداري نيروگاه بوشهر</v>
      </c>
      <c r="F487" s="1">
        <v>14767284</v>
      </c>
      <c r="G487" s="1">
        <v>10364589</v>
      </c>
      <c r="H487" s="1">
        <v>0</v>
      </c>
      <c r="I487" s="1">
        <v>12175281</v>
      </c>
      <c r="J487" s="1">
        <v>0</v>
      </c>
      <c r="K487" s="1">
        <v>4620000</v>
      </c>
      <c r="L487" s="1">
        <v>0</v>
      </c>
      <c r="M487" s="1">
        <v>1000000</v>
      </c>
      <c r="N487" s="1">
        <v>2887518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1387000</v>
      </c>
      <c r="U487" s="1">
        <v>0</v>
      </c>
      <c r="V487" s="1">
        <v>18477617</v>
      </c>
      <c r="W487" s="1">
        <v>1900000</v>
      </c>
      <c r="X487" s="1">
        <v>2143638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2062513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10830218</v>
      </c>
      <c r="AM487" s="1">
        <v>0</v>
      </c>
      <c r="AN487" s="1">
        <v>0</v>
      </c>
      <c r="AO487" s="1">
        <v>82615658</v>
      </c>
      <c r="AP487" s="1">
        <v>12252276</v>
      </c>
      <c r="AQ487" s="1">
        <v>70363382</v>
      </c>
      <c r="AR487" s="1">
        <v>16523132</v>
      </c>
      <c r="AS487" s="1">
        <v>2478470</v>
      </c>
      <c r="AT487" s="1">
        <f t="shared" si="48"/>
        <v>101617260</v>
      </c>
    </row>
    <row r="488" spans="1:46" x14ac:dyDescent="0.2">
      <c r="A488" s="1" t="str">
        <f>"00562"</f>
        <v>00562</v>
      </c>
      <c r="B488" s="1" t="str">
        <f>"محمد امين"</f>
        <v>محمد امين</v>
      </c>
      <c r="C488" s="1" t="str">
        <f>"ميرزائي فراشبندي"</f>
        <v>ميرزائي فراشبندي</v>
      </c>
      <c r="D488" s="1" t="str">
        <f t="shared" si="50"/>
        <v>قراردادي بهره بردار</v>
      </c>
      <c r="E488" s="1" t="str">
        <f t="shared" si="51"/>
        <v>پروژه بهره برداري نيروگاه بوشهر</v>
      </c>
      <c r="F488" s="1">
        <v>18817827</v>
      </c>
      <c r="G488" s="1">
        <v>4346992</v>
      </c>
      <c r="H488" s="1">
        <v>0</v>
      </c>
      <c r="I488" s="1">
        <v>15061877</v>
      </c>
      <c r="J488" s="1">
        <v>0</v>
      </c>
      <c r="K488" s="1">
        <v>5500000</v>
      </c>
      <c r="L488" s="1">
        <v>0</v>
      </c>
      <c r="M488" s="1">
        <v>1000000</v>
      </c>
      <c r="N488" s="1">
        <v>3227947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1387000</v>
      </c>
      <c r="U488" s="1">
        <v>0</v>
      </c>
      <c r="V488" s="1">
        <v>8743053</v>
      </c>
      <c r="W488" s="1">
        <v>1900000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3384580</v>
      </c>
      <c r="AD488" s="1">
        <v>0</v>
      </c>
      <c r="AE488" s="1">
        <v>2305677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4461840</v>
      </c>
      <c r="AM488" s="1">
        <v>0</v>
      </c>
      <c r="AN488" s="1">
        <v>0</v>
      </c>
      <c r="AO488" s="1">
        <v>70136793</v>
      </c>
      <c r="AP488" s="1">
        <v>28897215</v>
      </c>
      <c r="AQ488" s="1">
        <v>41239578</v>
      </c>
      <c r="AR488" s="1">
        <v>14027359</v>
      </c>
      <c r="AS488" s="1">
        <v>2104104</v>
      </c>
      <c r="AT488" s="1">
        <f t="shared" si="48"/>
        <v>86268256</v>
      </c>
    </row>
    <row r="489" spans="1:46" x14ac:dyDescent="0.2">
      <c r="A489" s="1" t="str">
        <f>"00563"</f>
        <v>00563</v>
      </c>
      <c r="B489" s="1" t="str">
        <f>"احمدرضا"</f>
        <v>احمدرضا</v>
      </c>
      <c r="C489" s="1" t="str">
        <f>"وطن خواه"</f>
        <v>وطن خواه</v>
      </c>
      <c r="D489" s="1" t="str">
        <f t="shared" si="50"/>
        <v>قراردادي بهره بردار</v>
      </c>
      <c r="E489" s="1" t="str">
        <f t="shared" si="51"/>
        <v>پروژه بهره برداري نيروگاه بوشهر</v>
      </c>
      <c r="F489" s="1">
        <v>14287528</v>
      </c>
      <c r="G489" s="1">
        <v>5596113</v>
      </c>
      <c r="H489" s="1">
        <v>0</v>
      </c>
      <c r="I489" s="1">
        <v>11822537</v>
      </c>
      <c r="J489" s="1">
        <v>0</v>
      </c>
      <c r="K489" s="1">
        <v>4620000</v>
      </c>
      <c r="L489" s="1">
        <v>0</v>
      </c>
      <c r="M489" s="1">
        <v>1000000</v>
      </c>
      <c r="N489" s="1">
        <v>2719603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1387000</v>
      </c>
      <c r="U489" s="1">
        <v>0</v>
      </c>
      <c r="V489" s="1">
        <v>14451679</v>
      </c>
      <c r="W489" s="1">
        <v>1900000</v>
      </c>
      <c r="X489" s="1">
        <v>2073996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1942574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11422443</v>
      </c>
      <c r="AM489" s="1">
        <v>0</v>
      </c>
      <c r="AN489" s="1">
        <v>0</v>
      </c>
      <c r="AO489" s="1">
        <v>73223473</v>
      </c>
      <c r="AP489" s="1">
        <v>23796732</v>
      </c>
      <c r="AQ489" s="1">
        <v>49426741</v>
      </c>
      <c r="AR489" s="1">
        <v>14644695</v>
      </c>
      <c r="AS489" s="1">
        <v>2196704</v>
      </c>
      <c r="AT489" s="1">
        <f t="shared" si="48"/>
        <v>90064872</v>
      </c>
    </row>
    <row r="490" spans="1:46" x14ac:dyDescent="0.2">
      <c r="A490" s="1" t="str">
        <f>"00564"</f>
        <v>00564</v>
      </c>
      <c r="B490" s="1" t="str">
        <f>"سعيد"</f>
        <v>سعيد</v>
      </c>
      <c r="C490" s="1" t="str">
        <f>"هاشمي"</f>
        <v>هاشمي</v>
      </c>
      <c r="D490" s="1" t="str">
        <f t="shared" si="50"/>
        <v>قراردادي بهره بردار</v>
      </c>
      <c r="E490" s="1" t="str">
        <f t="shared" si="51"/>
        <v>پروژه بهره برداري نيروگاه بوشهر</v>
      </c>
      <c r="F490" s="1">
        <v>14099131</v>
      </c>
      <c r="G490" s="1">
        <v>10338155</v>
      </c>
      <c r="H490" s="1">
        <v>0</v>
      </c>
      <c r="I490" s="1">
        <v>10829287</v>
      </c>
      <c r="J490" s="1">
        <v>0</v>
      </c>
      <c r="K490" s="1">
        <v>4620000</v>
      </c>
      <c r="L490" s="1">
        <v>0</v>
      </c>
      <c r="M490" s="1">
        <v>1000000</v>
      </c>
      <c r="N490" s="1">
        <v>2653664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1606000</v>
      </c>
      <c r="U490" s="1">
        <v>0</v>
      </c>
      <c r="V490" s="1">
        <v>17217636</v>
      </c>
      <c r="W490" s="1">
        <v>1900000</v>
      </c>
      <c r="X490" s="1">
        <v>2046648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1895474</v>
      </c>
      <c r="AF490" s="1">
        <v>3033762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9653435</v>
      </c>
      <c r="AM490" s="1">
        <v>0</v>
      </c>
      <c r="AN490" s="1">
        <v>0</v>
      </c>
      <c r="AO490" s="1">
        <v>80893192</v>
      </c>
      <c r="AP490" s="1">
        <v>30139198</v>
      </c>
      <c r="AQ490" s="1">
        <v>50753994</v>
      </c>
      <c r="AR490" s="1">
        <v>15571886</v>
      </c>
      <c r="AS490" s="1">
        <v>2335783</v>
      </c>
      <c r="AT490" s="1">
        <f t="shared" si="48"/>
        <v>98800861</v>
      </c>
    </row>
    <row r="491" spans="1:46" x14ac:dyDescent="0.2">
      <c r="A491" s="1" t="str">
        <f>"00565"</f>
        <v>00565</v>
      </c>
      <c r="B491" s="1" t="str">
        <f>"عباس"</f>
        <v>عباس</v>
      </c>
      <c r="C491" s="1" t="str">
        <f>"يزداني"</f>
        <v>يزداني</v>
      </c>
      <c r="D491" s="1" t="str">
        <f t="shared" si="50"/>
        <v>قراردادي بهره بردار</v>
      </c>
      <c r="E491" s="1" t="str">
        <f t="shared" ref="E491:E518" si="52">"پروژه تعميرات نيروگاه بوشهر"</f>
        <v>پروژه تعميرات نيروگاه بوشهر</v>
      </c>
      <c r="F491" s="1">
        <v>14734424</v>
      </c>
      <c r="G491" s="1">
        <v>3534757</v>
      </c>
      <c r="H491" s="1">
        <v>0</v>
      </c>
      <c r="I491" s="1">
        <v>13240272</v>
      </c>
      <c r="J491" s="1">
        <v>0</v>
      </c>
      <c r="K491" s="1">
        <v>0</v>
      </c>
      <c r="L491" s="1">
        <v>0</v>
      </c>
      <c r="M491" s="1">
        <v>1000000</v>
      </c>
      <c r="N491" s="1">
        <v>2634496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1387000</v>
      </c>
      <c r="U491" s="1">
        <v>0</v>
      </c>
      <c r="V491" s="1">
        <v>19207937</v>
      </c>
      <c r="W491" s="1">
        <v>1900000</v>
      </c>
      <c r="X491" s="1">
        <v>2138868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1881783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10916793</v>
      </c>
      <c r="AM491" s="1">
        <v>0</v>
      </c>
      <c r="AN491" s="1">
        <v>0</v>
      </c>
      <c r="AO491" s="1">
        <v>72576330</v>
      </c>
      <c r="AP491" s="1">
        <v>29737155</v>
      </c>
      <c r="AQ491" s="1">
        <v>42839175</v>
      </c>
      <c r="AR491" s="1">
        <v>14515266</v>
      </c>
      <c r="AS491" s="1">
        <v>2177290</v>
      </c>
      <c r="AT491" s="1">
        <f t="shared" si="48"/>
        <v>89268886</v>
      </c>
    </row>
    <row r="492" spans="1:46" x14ac:dyDescent="0.2">
      <c r="A492" s="1" t="str">
        <f>"00566"</f>
        <v>00566</v>
      </c>
      <c r="B492" s="1" t="str">
        <f>"عابد"</f>
        <v>عابد</v>
      </c>
      <c r="C492" s="1" t="str">
        <f>"خنده جام"</f>
        <v>خنده جام</v>
      </c>
      <c r="D492" s="1" t="str">
        <f t="shared" ref="D492:D517" si="53">"قراردادي کارگري"</f>
        <v>قراردادي کارگري</v>
      </c>
      <c r="E492" s="1" t="str">
        <f t="shared" si="52"/>
        <v>پروژه تعميرات نيروگاه بوشهر</v>
      </c>
      <c r="F492" s="1">
        <v>6709330</v>
      </c>
      <c r="G492" s="1">
        <v>589976</v>
      </c>
      <c r="H492" s="1">
        <v>0</v>
      </c>
      <c r="I492" s="1">
        <v>4696531</v>
      </c>
      <c r="J492" s="1">
        <v>0</v>
      </c>
      <c r="K492" s="1">
        <v>0</v>
      </c>
      <c r="L492" s="1">
        <v>7628143</v>
      </c>
      <c r="M492" s="1">
        <v>1000000</v>
      </c>
      <c r="N492" s="1">
        <v>3531226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5304094</v>
      </c>
      <c r="W492" s="1">
        <v>1900000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1516881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32876181</v>
      </c>
      <c r="AP492" s="1">
        <v>4518556</v>
      </c>
      <c r="AQ492" s="1">
        <v>28357625</v>
      </c>
      <c r="AR492" s="1">
        <v>6271860</v>
      </c>
      <c r="AS492" s="1">
        <v>940779</v>
      </c>
      <c r="AT492" s="1">
        <f t="shared" si="48"/>
        <v>40088820</v>
      </c>
    </row>
    <row r="493" spans="1:46" x14ac:dyDescent="0.2">
      <c r="A493" s="1" t="str">
        <f>"00567"</f>
        <v>00567</v>
      </c>
      <c r="B493" s="1" t="str">
        <f>"مهدي"</f>
        <v>مهدي</v>
      </c>
      <c r="C493" s="1" t="str">
        <f>"شاكري"</f>
        <v>شاكري</v>
      </c>
      <c r="D493" s="1" t="str">
        <f t="shared" si="53"/>
        <v>قراردادي کارگري</v>
      </c>
      <c r="E493" s="1" t="str">
        <f t="shared" si="52"/>
        <v>پروژه تعميرات نيروگاه بوشهر</v>
      </c>
      <c r="F493" s="1">
        <v>8883974</v>
      </c>
      <c r="G493" s="1">
        <v>1363366</v>
      </c>
      <c r="H493" s="1">
        <v>0</v>
      </c>
      <c r="I493" s="1">
        <v>7462538</v>
      </c>
      <c r="J493" s="1">
        <v>0</v>
      </c>
      <c r="K493" s="1">
        <v>0</v>
      </c>
      <c r="L493" s="1">
        <v>7462913</v>
      </c>
      <c r="M493" s="1">
        <v>1000000</v>
      </c>
      <c r="N493" s="1">
        <v>4738120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10094148</v>
      </c>
      <c r="W493" s="1">
        <v>1900000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1516881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44421940</v>
      </c>
      <c r="AP493" s="1">
        <v>5461213</v>
      </c>
      <c r="AQ493" s="1">
        <v>38960727</v>
      </c>
      <c r="AR493" s="1">
        <v>8581012</v>
      </c>
      <c r="AS493" s="1">
        <v>1287152</v>
      </c>
      <c r="AT493" s="1">
        <f t="shared" si="48"/>
        <v>54290104</v>
      </c>
    </row>
    <row r="494" spans="1:46" x14ac:dyDescent="0.2">
      <c r="A494" s="1" t="str">
        <f>"00568"</f>
        <v>00568</v>
      </c>
      <c r="B494" s="1" t="str">
        <f>"علي"</f>
        <v>علي</v>
      </c>
      <c r="C494" s="1" t="str">
        <f>"فرهادي"</f>
        <v>فرهادي</v>
      </c>
      <c r="D494" s="1" t="str">
        <f t="shared" si="53"/>
        <v>قراردادي کارگري</v>
      </c>
      <c r="E494" s="1" t="str">
        <f t="shared" si="52"/>
        <v>پروژه تعميرات نيروگاه بوشهر</v>
      </c>
      <c r="F494" s="1">
        <v>10209313</v>
      </c>
      <c r="G494" s="1">
        <v>0</v>
      </c>
      <c r="H494" s="1">
        <v>0</v>
      </c>
      <c r="I494" s="1">
        <v>7554891</v>
      </c>
      <c r="J494" s="1">
        <v>0</v>
      </c>
      <c r="K494" s="1">
        <v>0</v>
      </c>
      <c r="L494" s="1">
        <v>7672721</v>
      </c>
      <c r="M494" s="1">
        <v>1000000</v>
      </c>
      <c r="N494" s="1">
        <v>5373323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10480143</v>
      </c>
      <c r="W494" s="1">
        <v>1900000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1516881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45707272</v>
      </c>
      <c r="AP494" s="1">
        <v>11112990</v>
      </c>
      <c r="AQ494" s="1">
        <v>34594282</v>
      </c>
      <c r="AR494" s="1">
        <v>8838078</v>
      </c>
      <c r="AS494" s="1">
        <v>1325712</v>
      </c>
      <c r="AT494" s="1">
        <f t="shared" si="48"/>
        <v>55871062</v>
      </c>
    </row>
    <row r="495" spans="1:46" x14ac:dyDescent="0.2">
      <c r="A495" s="1" t="str">
        <f>"00569"</f>
        <v>00569</v>
      </c>
      <c r="B495" s="1" t="str">
        <f>"مجاهد"</f>
        <v>مجاهد</v>
      </c>
      <c r="C495" s="1" t="str">
        <f>"مسيح گل"</f>
        <v>مسيح گل</v>
      </c>
      <c r="D495" s="1" t="str">
        <f t="shared" si="53"/>
        <v>قراردادي کارگري</v>
      </c>
      <c r="E495" s="1" t="str">
        <f t="shared" si="52"/>
        <v>پروژه تعميرات نيروگاه بوشهر</v>
      </c>
      <c r="F495" s="1">
        <v>6767506</v>
      </c>
      <c r="G495" s="1">
        <v>15109961</v>
      </c>
      <c r="H495" s="1">
        <v>0</v>
      </c>
      <c r="I495" s="1">
        <v>4263529</v>
      </c>
      <c r="J495" s="1">
        <v>0</v>
      </c>
      <c r="K495" s="1">
        <v>0</v>
      </c>
      <c r="L495" s="1">
        <v>7672721</v>
      </c>
      <c r="M495" s="1">
        <v>1000000</v>
      </c>
      <c r="N495" s="1">
        <v>3609336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7846026</v>
      </c>
      <c r="W495" s="1">
        <v>1900000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48169079</v>
      </c>
      <c r="AP495" s="1">
        <v>7110776</v>
      </c>
      <c r="AQ495" s="1">
        <v>41058303</v>
      </c>
      <c r="AR495" s="1">
        <v>9633816</v>
      </c>
      <c r="AS495" s="1">
        <v>1445072</v>
      </c>
      <c r="AT495" s="1">
        <f t="shared" si="48"/>
        <v>59247967</v>
      </c>
    </row>
    <row r="496" spans="1:46" x14ac:dyDescent="0.2">
      <c r="A496" s="1" t="str">
        <f>"00570"</f>
        <v>00570</v>
      </c>
      <c r="B496" s="1" t="str">
        <f>"احمد رضا"</f>
        <v>احمد رضا</v>
      </c>
      <c r="C496" s="1" t="str">
        <f>"رستم بروجردي"</f>
        <v>رستم بروجردي</v>
      </c>
      <c r="D496" s="1" t="str">
        <f t="shared" si="53"/>
        <v>قراردادي کارگري</v>
      </c>
      <c r="E496" s="1" t="str">
        <f t="shared" si="52"/>
        <v>پروژه تعميرات نيروگاه بوشهر</v>
      </c>
      <c r="F496" s="1">
        <v>7197844</v>
      </c>
      <c r="G496" s="1">
        <v>2986919</v>
      </c>
      <c r="H496" s="1">
        <v>0</v>
      </c>
      <c r="I496" s="1">
        <v>5326405</v>
      </c>
      <c r="J496" s="1">
        <v>0</v>
      </c>
      <c r="K496" s="1">
        <v>0</v>
      </c>
      <c r="L496" s="1">
        <v>7628143</v>
      </c>
      <c r="M496" s="1">
        <v>1000000</v>
      </c>
      <c r="N496" s="1">
        <v>3788338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8619967</v>
      </c>
      <c r="W496" s="1">
        <v>1900000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38447616</v>
      </c>
      <c r="AP496" s="1">
        <v>4432961</v>
      </c>
      <c r="AQ496" s="1">
        <v>34014655</v>
      </c>
      <c r="AR496" s="1">
        <v>7689523</v>
      </c>
      <c r="AS496" s="1">
        <v>1153428</v>
      </c>
      <c r="AT496" s="1">
        <f t="shared" si="48"/>
        <v>47290567</v>
      </c>
    </row>
    <row r="497" spans="1:46" x14ac:dyDescent="0.2">
      <c r="A497" s="1" t="str">
        <f>"00571"</f>
        <v>00571</v>
      </c>
      <c r="B497" s="1" t="str">
        <f>"هادي"</f>
        <v>هادي</v>
      </c>
      <c r="C497" s="1" t="str">
        <f>"منفرد"</f>
        <v>منفرد</v>
      </c>
      <c r="D497" s="1" t="str">
        <f t="shared" si="53"/>
        <v>قراردادي کارگري</v>
      </c>
      <c r="E497" s="1" t="str">
        <f t="shared" si="52"/>
        <v>پروژه تعميرات نيروگاه بوشهر</v>
      </c>
      <c r="F497" s="1">
        <v>9257264</v>
      </c>
      <c r="G497" s="1">
        <v>0</v>
      </c>
      <c r="H497" s="1">
        <v>0</v>
      </c>
      <c r="I497" s="1">
        <v>8146393</v>
      </c>
      <c r="J497" s="1">
        <v>0</v>
      </c>
      <c r="K497" s="1">
        <v>0</v>
      </c>
      <c r="L497" s="1">
        <v>7628143</v>
      </c>
      <c r="M497" s="1">
        <v>1000000</v>
      </c>
      <c r="N497" s="1">
        <v>4937207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10549016</v>
      </c>
      <c r="W497" s="1">
        <v>1900000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4550643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47968666</v>
      </c>
      <c r="AP497" s="1">
        <v>15238202</v>
      </c>
      <c r="AQ497" s="1">
        <v>32730464</v>
      </c>
      <c r="AR497" s="1">
        <v>8683605</v>
      </c>
      <c r="AS497" s="1">
        <v>1302541</v>
      </c>
      <c r="AT497" s="1">
        <f t="shared" si="48"/>
        <v>57954812</v>
      </c>
    </row>
    <row r="498" spans="1:46" x14ac:dyDescent="0.2">
      <c r="A498" s="1" t="str">
        <f>"00572"</f>
        <v>00572</v>
      </c>
      <c r="B498" s="1" t="str">
        <f>"رمضان"</f>
        <v>رمضان</v>
      </c>
      <c r="C498" s="1" t="str">
        <f>"مجيدي"</f>
        <v>مجيدي</v>
      </c>
      <c r="D498" s="1" t="str">
        <f t="shared" si="53"/>
        <v>قراردادي کارگري</v>
      </c>
      <c r="E498" s="1" t="str">
        <f t="shared" si="52"/>
        <v>پروژه تعميرات نيروگاه بوشهر</v>
      </c>
      <c r="F498" s="1">
        <v>10160576</v>
      </c>
      <c r="G498" s="1">
        <v>2907422</v>
      </c>
      <c r="H498" s="1">
        <v>0</v>
      </c>
      <c r="I498" s="1">
        <v>7315615</v>
      </c>
      <c r="J498" s="1">
        <v>0</v>
      </c>
      <c r="K498" s="1">
        <v>0</v>
      </c>
      <c r="L498" s="1">
        <v>7628143</v>
      </c>
      <c r="M498" s="1">
        <v>1000000</v>
      </c>
      <c r="N498" s="1">
        <v>5383088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10714907</v>
      </c>
      <c r="W498" s="1">
        <v>1900000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4573113</v>
      </c>
      <c r="AE498" s="1">
        <v>0</v>
      </c>
      <c r="AF498" s="1">
        <v>1516881</v>
      </c>
      <c r="AG498" s="1">
        <v>0</v>
      </c>
      <c r="AH498" s="1">
        <v>0</v>
      </c>
      <c r="AI498" s="1">
        <v>0</v>
      </c>
      <c r="AJ498" s="1">
        <v>5582251</v>
      </c>
      <c r="AK498" s="1">
        <v>0</v>
      </c>
      <c r="AL498" s="1">
        <v>0</v>
      </c>
      <c r="AM498" s="1">
        <v>0</v>
      </c>
      <c r="AN498" s="1">
        <v>0</v>
      </c>
      <c r="AO498" s="1">
        <v>58681996</v>
      </c>
      <c r="AP498" s="1">
        <v>6285602</v>
      </c>
      <c r="AQ498" s="1">
        <v>52396394</v>
      </c>
      <c r="AR498" s="1">
        <v>11433023</v>
      </c>
      <c r="AS498" s="1">
        <v>1714953</v>
      </c>
      <c r="AT498" s="1">
        <f t="shared" si="48"/>
        <v>71829972</v>
      </c>
    </row>
    <row r="499" spans="1:46" x14ac:dyDescent="0.2">
      <c r="A499" s="1" t="str">
        <f>"00573"</f>
        <v>00573</v>
      </c>
      <c r="B499" s="1" t="str">
        <f>"غلامحسين"</f>
        <v>غلامحسين</v>
      </c>
      <c r="C499" s="1" t="str">
        <f>"خاقاني"</f>
        <v>خاقاني</v>
      </c>
      <c r="D499" s="1" t="str">
        <f t="shared" si="53"/>
        <v>قراردادي کارگري</v>
      </c>
      <c r="E499" s="1" t="str">
        <f t="shared" si="52"/>
        <v>پروژه تعميرات نيروگاه بوشهر</v>
      </c>
      <c r="F499" s="1">
        <v>6319756</v>
      </c>
      <c r="G499" s="1">
        <v>0</v>
      </c>
      <c r="H499" s="1">
        <v>0</v>
      </c>
      <c r="I499" s="1">
        <v>4739817</v>
      </c>
      <c r="J499" s="1">
        <v>0</v>
      </c>
      <c r="K499" s="1">
        <v>0</v>
      </c>
      <c r="L499" s="1">
        <v>7672721</v>
      </c>
      <c r="M499" s="1">
        <v>1000000</v>
      </c>
      <c r="N499" s="1">
        <v>3326188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7767097</v>
      </c>
      <c r="W499" s="1">
        <v>1900000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3033762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35759341</v>
      </c>
      <c r="AP499" s="1">
        <v>6671378</v>
      </c>
      <c r="AQ499" s="1">
        <v>29087963</v>
      </c>
      <c r="AR499" s="1">
        <v>6545116</v>
      </c>
      <c r="AS499" s="1">
        <v>981767</v>
      </c>
      <c r="AT499" s="1">
        <f t="shared" si="48"/>
        <v>43286224</v>
      </c>
    </row>
    <row r="500" spans="1:46" x14ac:dyDescent="0.2">
      <c r="A500" s="1" t="str">
        <f>"00574"</f>
        <v>00574</v>
      </c>
      <c r="B500" s="1" t="str">
        <f>"بهزاد"</f>
        <v>بهزاد</v>
      </c>
      <c r="C500" s="1" t="str">
        <f>"رضائي"</f>
        <v>رضائي</v>
      </c>
      <c r="D500" s="1" t="str">
        <f t="shared" si="53"/>
        <v>قراردادي کارگري</v>
      </c>
      <c r="E500" s="1" t="str">
        <f t="shared" si="52"/>
        <v>پروژه تعميرات نيروگاه بوشهر</v>
      </c>
      <c r="F500" s="1">
        <v>6666045</v>
      </c>
      <c r="G500" s="1">
        <v>1738448</v>
      </c>
      <c r="H500" s="1">
        <v>0</v>
      </c>
      <c r="I500" s="1">
        <v>4799552</v>
      </c>
      <c r="J500" s="1">
        <v>0</v>
      </c>
      <c r="K500" s="1">
        <v>0</v>
      </c>
      <c r="L500" s="1">
        <v>7629311</v>
      </c>
      <c r="M500" s="1">
        <v>1000000</v>
      </c>
      <c r="N500" s="1">
        <v>3508446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8192006</v>
      </c>
      <c r="W500" s="1">
        <v>1900000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3033762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38467570</v>
      </c>
      <c r="AP500" s="1">
        <v>3614025</v>
      </c>
      <c r="AQ500" s="1">
        <v>34853545</v>
      </c>
      <c r="AR500" s="1">
        <v>7086762</v>
      </c>
      <c r="AS500" s="1">
        <v>1063014</v>
      </c>
      <c r="AT500" s="1">
        <f t="shared" si="48"/>
        <v>46617346</v>
      </c>
    </row>
    <row r="501" spans="1:46" x14ac:dyDescent="0.2">
      <c r="A501" s="1" t="str">
        <f>"00575"</f>
        <v>00575</v>
      </c>
      <c r="B501" s="1" t="str">
        <f>"داريوش"</f>
        <v>داريوش</v>
      </c>
      <c r="C501" s="1" t="str">
        <f>"اميربندي"</f>
        <v>اميربندي</v>
      </c>
      <c r="D501" s="1" t="str">
        <f t="shared" si="53"/>
        <v>قراردادي کارگري</v>
      </c>
      <c r="E501" s="1" t="str">
        <f t="shared" si="52"/>
        <v>پروژه تعميرات نيروگاه بوشهر</v>
      </c>
      <c r="F501" s="1">
        <v>10483837</v>
      </c>
      <c r="G501" s="1">
        <v>6141482</v>
      </c>
      <c r="H501" s="1">
        <v>0</v>
      </c>
      <c r="I501" s="1">
        <v>8806423</v>
      </c>
      <c r="J501" s="1">
        <v>0</v>
      </c>
      <c r="K501" s="1">
        <v>0</v>
      </c>
      <c r="L501" s="1">
        <v>7628143</v>
      </c>
      <c r="M501" s="1">
        <v>1000000</v>
      </c>
      <c r="N501" s="1">
        <v>5591381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11007000</v>
      </c>
      <c r="W501" s="1">
        <v>1900000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4550643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57108909</v>
      </c>
      <c r="AP501" s="1">
        <v>6877941</v>
      </c>
      <c r="AQ501" s="1">
        <v>50230968</v>
      </c>
      <c r="AR501" s="1">
        <v>10511653</v>
      </c>
      <c r="AS501" s="1">
        <v>1576748</v>
      </c>
      <c r="AT501" s="1">
        <f t="shared" si="48"/>
        <v>69197310</v>
      </c>
    </row>
    <row r="502" spans="1:46" x14ac:dyDescent="0.2">
      <c r="A502" s="1" t="str">
        <f>"00576"</f>
        <v>00576</v>
      </c>
      <c r="B502" s="1" t="str">
        <f>"اصغر"</f>
        <v>اصغر</v>
      </c>
      <c r="C502" s="1" t="str">
        <f>"عليپور"</f>
        <v>عليپور</v>
      </c>
      <c r="D502" s="1" t="str">
        <f t="shared" si="53"/>
        <v>قراردادي کارگري</v>
      </c>
      <c r="E502" s="1" t="str">
        <f t="shared" si="52"/>
        <v>پروژه تعميرات نيروگاه بوشهر</v>
      </c>
      <c r="F502" s="1">
        <v>9085545</v>
      </c>
      <c r="G502" s="1">
        <v>2682141</v>
      </c>
      <c r="H502" s="1">
        <v>0</v>
      </c>
      <c r="I502" s="1">
        <v>6541592</v>
      </c>
      <c r="J502" s="1">
        <v>0</v>
      </c>
      <c r="K502" s="1">
        <v>0</v>
      </c>
      <c r="L502" s="1">
        <v>7628143</v>
      </c>
      <c r="M502" s="1">
        <v>1000000</v>
      </c>
      <c r="N502" s="1">
        <v>4813533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9940954</v>
      </c>
      <c r="W502" s="1">
        <v>1900000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4210322</v>
      </c>
      <c r="AE502" s="1">
        <v>0</v>
      </c>
      <c r="AF502" s="1">
        <v>6067524</v>
      </c>
      <c r="AG502" s="1">
        <v>0</v>
      </c>
      <c r="AH502" s="1">
        <v>0</v>
      </c>
      <c r="AI502" s="1">
        <v>0</v>
      </c>
      <c r="AJ502" s="1">
        <v>5149710</v>
      </c>
      <c r="AK502" s="1">
        <v>0</v>
      </c>
      <c r="AL502" s="1">
        <v>0</v>
      </c>
      <c r="AM502" s="1">
        <v>0</v>
      </c>
      <c r="AN502" s="1">
        <v>0</v>
      </c>
      <c r="AO502" s="1">
        <v>59019464</v>
      </c>
      <c r="AP502" s="1">
        <v>6053919</v>
      </c>
      <c r="AQ502" s="1">
        <v>52965545</v>
      </c>
      <c r="AR502" s="1">
        <v>10590388</v>
      </c>
      <c r="AS502" s="1">
        <v>1588558</v>
      </c>
      <c r="AT502" s="1">
        <f t="shared" si="48"/>
        <v>71198410</v>
      </c>
    </row>
    <row r="503" spans="1:46" x14ac:dyDescent="0.2">
      <c r="A503" s="1" t="str">
        <f>"00577"</f>
        <v>00577</v>
      </c>
      <c r="B503" s="1" t="str">
        <f>"عبدالمحمد"</f>
        <v>عبدالمحمد</v>
      </c>
      <c r="C503" s="1" t="str">
        <f>"گرامي"</f>
        <v>گرامي</v>
      </c>
      <c r="D503" s="1" t="str">
        <f t="shared" si="53"/>
        <v>قراردادي کارگري</v>
      </c>
      <c r="E503" s="1" t="str">
        <f t="shared" si="52"/>
        <v>پروژه تعميرات نيروگاه بوشهر</v>
      </c>
      <c r="F503" s="1">
        <v>8569530</v>
      </c>
      <c r="G503" s="1">
        <v>9595854</v>
      </c>
      <c r="H503" s="1">
        <v>0</v>
      </c>
      <c r="I503" s="1">
        <v>6341452</v>
      </c>
      <c r="J503" s="1">
        <v>0</v>
      </c>
      <c r="K503" s="1">
        <v>0</v>
      </c>
      <c r="L503" s="1">
        <v>7628143</v>
      </c>
      <c r="M503" s="1">
        <v>1000000</v>
      </c>
      <c r="N503" s="1">
        <v>4540149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6917466</v>
      </c>
      <c r="W503" s="1">
        <v>1900000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4061891</v>
      </c>
      <c r="AE503" s="1">
        <v>0</v>
      </c>
      <c r="AF503" s="1">
        <v>4550643</v>
      </c>
      <c r="AG503" s="1">
        <v>0</v>
      </c>
      <c r="AH503" s="1">
        <v>0</v>
      </c>
      <c r="AI503" s="1">
        <v>0</v>
      </c>
      <c r="AJ503" s="1">
        <v>6141347</v>
      </c>
      <c r="AK503" s="1">
        <v>0</v>
      </c>
      <c r="AL503" s="1">
        <v>0</v>
      </c>
      <c r="AM503" s="1">
        <v>0</v>
      </c>
      <c r="AN503" s="1">
        <v>0</v>
      </c>
      <c r="AO503" s="1">
        <v>61246475</v>
      </c>
      <c r="AP503" s="1">
        <v>8997966</v>
      </c>
      <c r="AQ503" s="1">
        <v>52248509</v>
      </c>
      <c r="AR503" s="1">
        <v>11339166</v>
      </c>
      <c r="AS503" s="1">
        <v>1700875</v>
      </c>
      <c r="AT503" s="1">
        <f t="shared" si="48"/>
        <v>74286516</v>
      </c>
    </row>
    <row r="504" spans="1:46" x14ac:dyDescent="0.2">
      <c r="A504" s="1" t="str">
        <f>"00578"</f>
        <v>00578</v>
      </c>
      <c r="B504" s="1" t="str">
        <f>"علي اكبر"</f>
        <v>علي اكبر</v>
      </c>
      <c r="C504" s="1" t="str">
        <f>"هلال بحر"</f>
        <v>هلال بحر</v>
      </c>
      <c r="D504" s="1" t="str">
        <f t="shared" si="53"/>
        <v>قراردادي کارگري</v>
      </c>
      <c r="E504" s="1" t="str">
        <f t="shared" si="52"/>
        <v>پروژه تعميرات نيروگاه بوشهر</v>
      </c>
      <c r="F504" s="1">
        <v>10004536</v>
      </c>
      <c r="G504" s="1">
        <v>2646959</v>
      </c>
      <c r="H504" s="1">
        <v>0</v>
      </c>
      <c r="I504" s="1">
        <v>8303764</v>
      </c>
      <c r="J504" s="1">
        <v>0</v>
      </c>
      <c r="K504" s="1">
        <v>0</v>
      </c>
      <c r="L504" s="1">
        <v>7462913</v>
      </c>
      <c r="M504" s="1">
        <v>1000000</v>
      </c>
      <c r="N504" s="1">
        <v>5335753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10572126</v>
      </c>
      <c r="W504" s="1">
        <v>1900000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O504" s="1">
        <v>47226051</v>
      </c>
      <c r="AP504" s="1">
        <v>6263847</v>
      </c>
      <c r="AQ504" s="1">
        <v>40962204</v>
      </c>
      <c r="AR504" s="1">
        <v>9445210</v>
      </c>
      <c r="AS504" s="1">
        <v>1416782</v>
      </c>
      <c r="AT504" s="1">
        <f t="shared" si="48"/>
        <v>58088043</v>
      </c>
    </row>
    <row r="505" spans="1:46" x14ac:dyDescent="0.2">
      <c r="A505" s="1" t="str">
        <f>"00579"</f>
        <v>00579</v>
      </c>
      <c r="B505" s="1" t="str">
        <f>"امير"</f>
        <v>امير</v>
      </c>
      <c r="C505" s="1" t="str">
        <f>"شاه نجات بوشهري"</f>
        <v>شاه نجات بوشهري</v>
      </c>
      <c r="D505" s="1" t="str">
        <f t="shared" si="53"/>
        <v>قراردادي کارگري</v>
      </c>
      <c r="E505" s="1" t="str">
        <f t="shared" si="52"/>
        <v>پروژه تعميرات نيروگاه بوشهر</v>
      </c>
      <c r="F505" s="1">
        <v>9114796</v>
      </c>
      <c r="G505" s="1">
        <v>2676821</v>
      </c>
      <c r="H505" s="1">
        <v>0</v>
      </c>
      <c r="I505" s="1">
        <v>6471505</v>
      </c>
      <c r="J505" s="1">
        <v>0</v>
      </c>
      <c r="K505" s="1">
        <v>0</v>
      </c>
      <c r="L505" s="1">
        <v>7628143</v>
      </c>
      <c r="M505" s="1">
        <v>1000000</v>
      </c>
      <c r="N505" s="1">
        <v>4797260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9922678</v>
      </c>
      <c r="W505" s="1">
        <v>1900000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4201756</v>
      </c>
      <c r="AE505" s="1">
        <v>0</v>
      </c>
      <c r="AF505" s="1">
        <v>1516881</v>
      </c>
      <c r="AG505" s="1">
        <v>0</v>
      </c>
      <c r="AH505" s="1">
        <v>0</v>
      </c>
      <c r="AI505" s="1">
        <v>0</v>
      </c>
      <c r="AJ505" s="1">
        <v>3426331</v>
      </c>
      <c r="AK505" s="1">
        <v>0</v>
      </c>
      <c r="AL505" s="1">
        <v>0</v>
      </c>
      <c r="AM505" s="1">
        <v>0</v>
      </c>
      <c r="AN505" s="1">
        <v>0</v>
      </c>
      <c r="AO505" s="1">
        <v>52656171</v>
      </c>
      <c r="AP505" s="1">
        <v>10130810</v>
      </c>
      <c r="AQ505" s="1">
        <v>42525361</v>
      </c>
      <c r="AR505" s="1">
        <v>10227858</v>
      </c>
      <c r="AS505" s="1">
        <v>1534179</v>
      </c>
      <c r="AT505" s="1">
        <f t="shared" si="48"/>
        <v>64418208</v>
      </c>
    </row>
    <row r="506" spans="1:46" x14ac:dyDescent="0.2">
      <c r="A506" s="1" t="str">
        <f>"00580"</f>
        <v>00580</v>
      </c>
      <c r="B506" s="1" t="str">
        <f>"عبدالرضا"</f>
        <v>عبدالرضا</v>
      </c>
      <c r="C506" s="1" t="str">
        <f>"عطشاني"</f>
        <v>عطشاني</v>
      </c>
      <c r="D506" s="1" t="str">
        <f t="shared" si="53"/>
        <v>قراردادي کارگري</v>
      </c>
      <c r="E506" s="1" t="str">
        <f t="shared" si="52"/>
        <v>پروژه تعميرات نيروگاه بوشهر</v>
      </c>
      <c r="F506" s="1">
        <v>7304065</v>
      </c>
      <c r="G506" s="1">
        <v>0</v>
      </c>
      <c r="H506" s="1">
        <v>0</v>
      </c>
      <c r="I506" s="1">
        <v>6135415</v>
      </c>
      <c r="J506" s="1">
        <v>0</v>
      </c>
      <c r="K506" s="1">
        <v>0</v>
      </c>
      <c r="L506" s="1">
        <v>7672721</v>
      </c>
      <c r="M506" s="1">
        <v>1000000</v>
      </c>
      <c r="N506" s="1">
        <v>3869703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8673358</v>
      </c>
      <c r="W506" s="1">
        <v>1900000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4550643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0</v>
      </c>
      <c r="AO506" s="1">
        <v>41105905</v>
      </c>
      <c r="AP506" s="1">
        <v>14321110</v>
      </c>
      <c r="AQ506" s="1">
        <v>26784795</v>
      </c>
      <c r="AR506" s="1">
        <v>7311052</v>
      </c>
      <c r="AS506" s="1">
        <v>1096658</v>
      </c>
      <c r="AT506" s="1">
        <f t="shared" si="48"/>
        <v>49513615</v>
      </c>
    </row>
    <row r="507" spans="1:46" x14ac:dyDescent="0.2">
      <c r="A507" s="1" t="str">
        <f>"00581"</f>
        <v>00581</v>
      </c>
      <c r="B507" s="1" t="str">
        <f>"رضا"</f>
        <v>رضا</v>
      </c>
      <c r="C507" s="1" t="str">
        <f>"بنشاخته"</f>
        <v>بنشاخته</v>
      </c>
      <c r="D507" s="1" t="str">
        <f t="shared" si="53"/>
        <v>قراردادي کارگري</v>
      </c>
      <c r="E507" s="1" t="str">
        <f t="shared" si="52"/>
        <v>پروژه تعميرات نيروگاه بوشهر</v>
      </c>
      <c r="F507" s="1">
        <v>10099145</v>
      </c>
      <c r="G507" s="1">
        <v>0</v>
      </c>
      <c r="H507" s="1">
        <v>0</v>
      </c>
      <c r="I507" s="1">
        <v>7473367</v>
      </c>
      <c r="J507" s="1">
        <v>0</v>
      </c>
      <c r="K507" s="1">
        <v>0</v>
      </c>
      <c r="L507" s="1">
        <v>7628143</v>
      </c>
      <c r="M507" s="1">
        <v>1000000</v>
      </c>
      <c r="N507" s="1">
        <v>5350540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10399838</v>
      </c>
      <c r="W507" s="1">
        <v>1900000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4550643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48401676</v>
      </c>
      <c r="AP507" s="1">
        <v>4418782</v>
      </c>
      <c r="AQ507" s="1">
        <v>43982894</v>
      </c>
      <c r="AR507" s="1">
        <v>8770207</v>
      </c>
      <c r="AS507" s="1">
        <v>1315531</v>
      </c>
      <c r="AT507" s="1">
        <f t="shared" si="48"/>
        <v>58487414</v>
      </c>
    </row>
    <row r="508" spans="1:46" x14ac:dyDescent="0.2">
      <c r="A508" s="1" t="str">
        <f>"00582"</f>
        <v>00582</v>
      </c>
      <c r="B508" s="1" t="str">
        <f>"مصطفي"</f>
        <v>مصطفي</v>
      </c>
      <c r="C508" s="1" t="str">
        <f>"روانستان"</f>
        <v>روانستان</v>
      </c>
      <c r="D508" s="1" t="str">
        <f t="shared" si="53"/>
        <v>قراردادي کارگري</v>
      </c>
      <c r="E508" s="1" t="str">
        <f t="shared" si="52"/>
        <v>پروژه تعميرات نيروگاه بوشهر</v>
      </c>
      <c r="F508" s="1">
        <v>7061802</v>
      </c>
      <c r="G508" s="1">
        <v>1581668</v>
      </c>
      <c r="H508" s="1">
        <v>0</v>
      </c>
      <c r="I508" s="1">
        <v>5296352</v>
      </c>
      <c r="J508" s="1">
        <v>0</v>
      </c>
      <c r="K508" s="1">
        <v>0</v>
      </c>
      <c r="L508" s="1">
        <v>7659257</v>
      </c>
      <c r="M508" s="1">
        <v>1000000</v>
      </c>
      <c r="N508" s="1">
        <v>3716739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8286553</v>
      </c>
      <c r="W508" s="1">
        <v>1900000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4550643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41053014</v>
      </c>
      <c r="AP508" s="1">
        <v>10404043</v>
      </c>
      <c r="AQ508" s="1">
        <v>30648971</v>
      </c>
      <c r="AR508" s="1">
        <v>7300474</v>
      </c>
      <c r="AS508" s="1">
        <v>1095071</v>
      </c>
      <c r="AT508" s="1">
        <f t="shared" si="48"/>
        <v>49448559</v>
      </c>
    </row>
    <row r="509" spans="1:46" x14ac:dyDescent="0.2">
      <c r="A509" s="1" t="str">
        <f>"00583"</f>
        <v>00583</v>
      </c>
      <c r="B509" s="1" t="str">
        <f>"علي حسين"</f>
        <v>علي حسين</v>
      </c>
      <c r="C509" s="1" t="str">
        <f>"طاهري كلاني"</f>
        <v>طاهري كلاني</v>
      </c>
      <c r="D509" s="1" t="str">
        <f t="shared" si="53"/>
        <v>قراردادي کارگري</v>
      </c>
      <c r="E509" s="1" t="str">
        <f t="shared" si="52"/>
        <v>پروژه تعميرات نيروگاه بوشهر</v>
      </c>
      <c r="F509" s="1">
        <v>11333105</v>
      </c>
      <c r="G509" s="1">
        <v>0</v>
      </c>
      <c r="H509" s="1">
        <v>0</v>
      </c>
      <c r="I509" s="1">
        <v>9293147</v>
      </c>
      <c r="J509" s="1">
        <v>0</v>
      </c>
      <c r="K509" s="1">
        <v>0</v>
      </c>
      <c r="L509" s="1">
        <v>7462913</v>
      </c>
      <c r="M509" s="1">
        <v>1000000</v>
      </c>
      <c r="N509" s="1">
        <v>6044322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7704508</v>
      </c>
      <c r="W509" s="1">
        <v>1900000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1516881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46254876</v>
      </c>
      <c r="AP509" s="1">
        <v>7181157</v>
      </c>
      <c r="AQ509" s="1">
        <v>39073719</v>
      </c>
      <c r="AR509" s="1">
        <v>8947599</v>
      </c>
      <c r="AS509" s="1">
        <v>1342140</v>
      </c>
      <c r="AT509" s="1">
        <f t="shared" si="48"/>
        <v>56544615</v>
      </c>
    </row>
    <row r="510" spans="1:46" x14ac:dyDescent="0.2">
      <c r="A510" s="1" t="str">
        <f>"00584"</f>
        <v>00584</v>
      </c>
      <c r="B510" s="1" t="str">
        <f>"علي"</f>
        <v>علي</v>
      </c>
      <c r="C510" s="1" t="str">
        <f>"علوي راد"</f>
        <v>علوي راد</v>
      </c>
      <c r="D510" s="1" t="str">
        <f t="shared" si="53"/>
        <v>قراردادي کارگري</v>
      </c>
      <c r="E510" s="1" t="str">
        <f t="shared" si="52"/>
        <v>پروژه تعميرات نيروگاه بوشهر</v>
      </c>
      <c r="F510" s="1">
        <v>7445193</v>
      </c>
      <c r="G510" s="1">
        <v>0</v>
      </c>
      <c r="H510" s="1">
        <v>0</v>
      </c>
      <c r="I510" s="1">
        <v>5434990</v>
      </c>
      <c r="J510" s="1">
        <v>0</v>
      </c>
      <c r="K510" s="1">
        <v>0</v>
      </c>
      <c r="L510" s="1">
        <v>7672721</v>
      </c>
      <c r="M510" s="1">
        <v>1000000</v>
      </c>
      <c r="N510" s="1">
        <v>3918522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8515109</v>
      </c>
      <c r="W510" s="1">
        <v>1900000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3033762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38920297</v>
      </c>
      <c r="AP510" s="1">
        <v>2968881</v>
      </c>
      <c r="AQ510" s="1">
        <v>35951416</v>
      </c>
      <c r="AR510" s="1">
        <v>7177307</v>
      </c>
      <c r="AS510" s="1">
        <v>1076596</v>
      </c>
      <c r="AT510" s="1">
        <f t="shared" si="48"/>
        <v>47174200</v>
      </c>
    </row>
    <row r="511" spans="1:46" x14ac:dyDescent="0.2">
      <c r="A511" s="1" t="str">
        <f>"00585"</f>
        <v>00585</v>
      </c>
      <c r="B511" s="1" t="str">
        <f>"سيد حسن"</f>
        <v>سيد حسن</v>
      </c>
      <c r="C511" s="1" t="str">
        <f>"افسرده فرد"</f>
        <v>افسرده فرد</v>
      </c>
      <c r="D511" s="1" t="str">
        <f t="shared" si="53"/>
        <v>قراردادي کارگري</v>
      </c>
      <c r="E511" s="1" t="str">
        <f t="shared" si="52"/>
        <v>پروژه تعميرات نيروگاه بوشهر</v>
      </c>
      <c r="F511" s="1">
        <v>11869901</v>
      </c>
      <c r="G511" s="1">
        <v>1032400</v>
      </c>
      <c r="H511" s="1">
        <v>0</v>
      </c>
      <c r="I511" s="1">
        <v>9970717</v>
      </c>
      <c r="J511" s="1">
        <v>0</v>
      </c>
      <c r="K511" s="1">
        <v>0</v>
      </c>
      <c r="L511" s="1">
        <v>7462913</v>
      </c>
      <c r="M511" s="1">
        <v>1000000</v>
      </c>
      <c r="N511" s="1">
        <v>6330613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13134477</v>
      </c>
      <c r="W511" s="1">
        <v>1900000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4550643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57251664</v>
      </c>
      <c r="AP511" s="1">
        <v>5861330</v>
      </c>
      <c r="AQ511" s="1">
        <v>51390334</v>
      </c>
      <c r="AR511" s="1">
        <v>10540204</v>
      </c>
      <c r="AS511" s="1">
        <v>1581031</v>
      </c>
      <c r="AT511" s="1">
        <f t="shared" si="48"/>
        <v>69372899</v>
      </c>
    </row>
    <row r="512" spans="1:46" x14ac:dyDescent="0.2">
      <c r="A512" s="1" t="str">
        <f>"00586"</f>
        <v>00586</v>
      </c>
      <c r="B512" s="1" t="str">
        <f>"رضا"</f>
        <v>رضا</v>
      </c>
      <c r="C512" s="1" t="str">
        <f>"بازدار"</f>
        <v>بازدار</v>
      </c>
      <c r="D512" s="1" t="str">
        <f t="shared" si="53"/>
        <v>قراردادي کارگري</v>
      </c>
      <c r="E512" s="1" t="str">
        <f t="shared" si="52"/>
        <v>پروژه تعميرات نيروگاه بوشهر</v>
      </c>
      <c r="F512" s="1">
        <v>9478698</v>
      </c>
      <c r="G512" s="1">
        <v>0</v>
      </c>
      <c r="H512" s="1">
        <v>0</v>
      </c>
      <c r="I512" s="1">
        <v>6919450</v>
      </c>
      <c r="J512" s="1">
        <v>0</v>
      </c>
      <c r="K512" s="1">
        <v>0</v>
      </c>
      <c r="L512" s="1">
        <v>7628143</v>
      </c>
      <c r="M512" s="1">
        <v>1000000</v>
      </c>
      <c r="N512" s="1">
        <v>5021828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10254332</v>
      </c>
      <c r="W512" s="1">
        <v>1900000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3033762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45236213</v>
      </c>
      <c r="AP512" s="1">
        <v>3998376</v>
      </c>
      <c r="AQ512" s="1">
        <v>41237837</v>
      </c>
      <c r="AR512" s="1">
        <v>8440490</v>
      </c>
      <c r="AS512" s="1">
        <v>1266074</v>
      </c>
      <c r="AT512" s="1">
        <f t="shared" si="48"/>
        <v>54942777</v>
      </c>
    </row>
    <row r="513" spans="1:46" x14ac:dyDescent="0.2">
      <c r="A513" s="1" t="str">
        <f>"00587"</f>
        <v>00587</v>
      </c>
      <c r="B513" s="1" t="str">
        <f>"محمود"</f>
        <v>محمود</v>
      </c>
      <c r="C513" s="1" t="str">
        <f>"كرم زاده"</f>
        <v>كرم زاده</v>
      </c>
      <c r="D513" s="1" t="str">
        <f t="shared" si="53"/>
        <v>قراردادي کارگري</v>
      </c>
      <c r="E513" s="1" t="str">
        <f t="shared" si="52"/>
        <v>پروژه تعميرات نيروگاه بوشهر</v>
      </c>
      <c r="F513" s="1">
        <v>7921338</v>
      </c>
      <c r="G513" s="1">
        <v>1760402</v>
      </c>
      <c r="H513" s="1">
        <v>0</v>
      </c>
      <c r="I513" s="1">
        <v>6733138</v>
      </c>
      <c r="J513" s="1">
        <v>0</v>
      </c>
      <c r="K513" s="1">
        <v>0</v>
      </c>
      <c r="L513" s="1">
        <v>7672721</v>
      </c>
      <c r="M513" s="1">
        <v>1000000</v>
      </c>
      <c r="N513" s="1">
        <v>4169126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9142827</v>
      </c>
      <c r="W513" s="1">
        <v>1900000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3033762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43333314</v>
      </c>
      <c r="AP513" s="1">
        <v>5038204</v>
      </c>
      <c r="AQ513" s="1">
        <v>38295110</v>
      </c>
      <c r="AR513" s="1">
        <v>8059910</v>
      </c>
      <c r="AS513" s="1">
        <v>1208987</v>
      </c>
      <c r="AT513" s="1">
        <f t="shared" si="48"/>
        <v>52602211</v>
      </c>
    </row>
    <row r="514" spans="1:46" x14ac:dyDescent="0.2">
      <c r="A514" s="1" t="str">
        <f>"00588"</f>
        <v>00588</v>
      </c>
      <c r="B514" s="1" t="str">
        <f>"عليرضا"</f>
        <v>عليرضا</v>
      </c>
      <c r="C514" s="1" t="str">
        <f>"جماله"</f>
        <v>جماله</v>
      </c>
      <c r="D514" s="1" t="str">
        <f t="shared" si="53"/>
        <v>قراردادي کارگري</v>
      </c>
      <c r="E514" s="1" t="str">
        <f t="shared" si="52"/>
        <v>پروژه تعميرات نيروگاه بوشهر</v>
      </c>
      <c r="F514" s="1">
        <v>10759664</v>
      </c>
      <c r="G514" s="1">
        <v>1266736</v>
      </c>
      <c r="H514" s="1">
        <v>0</v>
      </c>
      <c r="I514" s="1">
        <v>7746958</v>
      </c>
      <c r="J514" s="1">
        <v>0</v>
      </c>
      <c r="K514" s="1">
        <v>0</v>
      </c>
      <c r="L514" s="1">
        <v>7628143</v>
      </c>
      <c r="M514" s="1">
        <v>1000000</v>
      </c>
      <c r="N514" s="1">
        <v>5662981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24541654</v>
      </c>
      <c r="W514" s="1">
        <v>1900000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3033762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63539898</v>
      </c>
      <c r="AP514" s="1">
        <v>9312656</v>
      </c>
      <c r="AQ514" s="1">
        <v>54227242</v>
      </c>
      <c r="AR514" s="1">
        <v>12101227</v>
      </c>
      <c r="AS514" s="1">
        <v>1815182</v>
      </c>
      <c r="AT514" s="1">
        <f t="shared" si="48"/>
        <v>77456307</v>
      </c>
    </row>
    <row r="515" spans="1:46" x14ac:dyDescent="0.2">
      <c r="A515" s="1" t="str">
        <f>"00589"</f>
        <v>00589</v>
      </c>
      <c r="B515" s="1" t="str">
        <f>"محمد"</f>
        <v>محمد</v>
      </c>
      <c r="C515" s="1" t="str">
        <f>"تمدن آرا"</f>
        <v>تمدن آرا</v>
      </c>
      <c r="D515" s="1" t="str">
        <f t="shared" si="53"/>
        <v>قراردادي کارگري</v>
      </c>
      <c r="E515" s="1" t="str">
        <f t="shared" si="52"/>
        <v>پروژه تعميرات نيروگاه بوشهر</v>
      </c>
      <c r="F515" s="1">
        <v>6579188</v>
      </c>
      <c r="G515" s="1">
        <v>3715629</v>
      </c>
      <c r="H515" s="1">
        <v>0</v>
      </c>
      <c r="I515" s="1">
        <v>5197558</v>
      </c>
      <c r="J515" s="1">
        <v>0</v>
      </c>
      <c r="K515" s="1">
        <v>0</v>
      </c>
      <c r="L515" s="1">
        <v>7672721</v>
      </c>
      <c r="M515" s="1">
        <v>1000000</v>
      </c>
      <c r="N515" s="1">
        <v>3485663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8038857</v>
      </c>
      <c r="W515" s="1">
        <v>1900000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3033762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0</v>
      </c>
      <c r="AO515" s="1">
        <v>40623378</v>
      </c>
      <c r="AP515" s="1">
        <v>10635168</v>
      </c>
      <c r="AQ515" s="1">
        <v>29988210</v>
      </c>
      <c r="AR515" s="1">
        <v>7517923</v>
      </c>
      <c r="AS515" s="1">
        <v>1127688</v>
      </c>
      <c r="AT515" s="1">
        <f t="shared" ref="AT515:AT578" si="54">AO515+AR515+AS515</f>
        <v>49268989</v>
      </c>
    </row>
    <row r="516" spans="1:46" x14ac:dyDescent="0.2">
      <c r="A516" s="1" t="str">
        <f>"00590"</f>
        <v>00590</v>
      </c>
      <c r="B516" s="1" t="str">
        <f>"شكراله"</f>
        <v>شكراله</v>
      </c>
      <c r="C516" s="1" t="str">
        <f>"حقيقي"</f>
        <v>حقيقي</v>
      </c>
      <c r="D516" s="1" t="str">
        <f t="shared" si="53"/>
        <v>قراردادي کارگري</v>
      </c>
      <c r="E516" s="1" t="str">
        <f t="shared" si="52"/>
        <v>پروژه تعميرات نيروگاه بوشهر</v>
      </c>
      <c r="F516" s="1">
        <v>5424989</v>
      </c>
      <c r="G516" s="1">
        <v>1894029</v>
      </c>
      <c r="H516" s="1">
        <v>0</v>
      </c>
      <c r="I516" s="1">
        <v>3797493</v>
      </c>
      <c r="J516" s="1">
        <v>0</v>
      </c>
      <c r="K516" s="1">
        <v>0</v>
      </c>
      <c r="L516" s="1">
        <v>7672721</v>
      </c>
      <c r="M516" s="1">
        <v>1000000</v>
      </c>
      <c r="N516" s="1">
        <v>2712494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7233396</v>
      </c>
      <c r="W516" s="1">
        <v>1900000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2941154</v>
      </c>
      <c r="AE516" s="1">
        <v>0</v>
      </c>
      <c r="AF516" s="1">
        <v>1516881</v>
      </c>
      <c r="AG516" s="1">
        <v>0</v>
      </c>
      <c r="AH516" s="1">
        <v>0</v>
      </c>
      <c r="AI516" s="1">
        <v>0</v>
      </c>
      <c r="AJ516" s="1">
        <v>3636535</v>
      </c>
      <c r="AK516" s="1">
        <v>0</v>
      </c>
      <c r="AL516" s="1">
        <v>0</v>
      </c>
      <c r="AM516" s="1">
        <v>0</v>
      </c>
      <c r="AN516" s="1">
        <v>0</v>
      </c>
      <c r="AO516" s="1">
        <v>39729692</v>
      </c>
      <c r="AP516" s="1">
        <v>3196377</v>
      </c>
      <c r="AQ516" s="1">
        <v>36533315</v>
      </c>
      <c r="AR516" s="1">
        <v>7642562</v>
      </c>
      <c r="AS516" s="1">
        <v>1146384</v>
      </c>
      <c r="AT516" s="1">
        <f t="shared" si="54"/>
        <v>48518638</v>
      </c>
    </row>
    <row r="517" spans="1:46" x14ac:dyDescent="0.2">
      <c r="A517" s="1" t="str">
        <f>"00591"</f>
        <v>00591</v>
      </c>
      <c r="B517" s="1" t="str">
        <f>"سيد مهدي"</f>
        <v>سيد مهدي</v>
      </c>
      <c r="C517" s="1" t="str">
        <f>"موسوي"</f>
        <v>موسوي</v>
      </c>
      <c r="D517" s="1" t="str">
        <f t="shared" si="53"/>
        <v>قراردادي کارگري</v>
      </c>
      <c r="E517" s="1" t="str">
        <f t="shared" si="52"/>
        <v>پروژه تعميرات نيروگاه بوشهر</v>
      </c>
      <c r="F517" s="1">
        <v>6419672</v>
      </c>
      <c r="G517" s="1">
        <v>2050022</v>
      </c>
      <c r="H517" s="1">
        <v>0</v>
      </c>
      <c r="I517" s="1">
        <v>3980196</v>
      </c>
      <c r="J517" s="1">
        <v>0</v>
      </c>
      <c r="K517" s="1">
        <v>0</v>
      </c>
      <c r="L517" s="1">
        <v>7672721</v>
      </c>
      <c r="M517" s="1">
        <v>1000000</v>
      </c>
      <c r="N517" s="1">
        <v>3209835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7769310</v>
      </c>
      <c r="W517" s="1">
        <v>1900000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3192364</v>
      </c>
      <c r="AE517" s="1">
        <v>0</v>
      </c>
      <c r="AF517" s="1">
        <v>4550643</v>
      </c>
      <c r="AG517" s="1">
        <v>0</v>
      </c>
      <c r="AH517" s="1">
        <v>0</v>
      </c>
      <c r="AI517" s="1">
        <v>0</v>
      </c>
      <c r="AJ517" s="1">
        <v>2624028</v>
      </c>
      <c r="AK517" s="1">
        <v>0</v>
      </c>
      <c r="AL517" s="1">
        <v>0</v>
      </c>
      <c r="AM517" s="1">
        <v>0</v>
      </c>
      <c r="AN517" s="1">
        <v>0</v>
      </c>
      <c r="AO517" s="1">
        <v>44368791</v>
      </c>
      <c r="AP517" s="1">
        <v>16947986</v>
      </c>
      <c r="AQ517" s="1">
        <v>27420805</v>
      </c>
      <c r="AR517" s="1">
        <v>7963630</v>
      </c>
      <c r="AS517" s="1">
        <v>1194544</v>
      </c>
      <c r="AT517" s="1">
        <f t="shared" si="54"/>
        <v>53526965</v>
      </c>
    </row>
    <row r="518" spans="1:46" x14ac:dyDescent="0.2">
      <c r="A518" s="1" t="str">
        <f>"00594"</f>
        <v>00594</v>
      </c>
      <c r="B518" s="1" t="str">
        <f>"مهدي"</f>
        <v>مهدي</v>
      </c>
      <c r="C518" s="1" t="str">
        <f>"احمديان مفرد"</f>
        <v>احمديان مفرد</v>
      </c>
      <c r="D518" s="1" t="str">
        <f t="shared" ref="D518:D560" si="55">"قراردادي بهره بردار"</f>
        <v>قراردادي بهره بردار</v>
      </c>
      <c r="E518" s="1" t="str">
        <f t="shared" si="52"/>
        <v>پروژه تعميرات نيروگاه بوشهر</v>
      </c>
      <c r="F518" s="1">
        <v>29641911</v>
      </c>
      <c r="G518" s="1">
        <v>0</v>
      </c>
      <c r="H518" s="1">
        <v>0</v>
      </c>
      <c r="I518" s="1">
        <v>25862732</v>
      </c>
      <c r="J518" s="1">
        <v>0</v>
      </c>
      <c r="K518" s="1">
        <v>5500000</v>
      </c>
      <c r="L518" s="1">
        <v>0</v>
      </c>
      <c r="M518" s="1">
        <v>1000000</v>
      </c>
      <c r="N518" s="1">
        <v>4998335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1387000</v>
      </c>
      <c r="U518" s="1">
        <v>0</v>
      </c>
      <c r="V518" s="1">
        <v>16838996</v>
      </c>
      <c r="W518" s="1">
        <v>1900000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3570239</v>
      </c>
      <c r="AF518" s="1">
        <v>1516881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9139812</v>
      </c>
      <c r="AM518" s="1">
        <v>0</v>
      </c>
      <c r="AN518" s="1">
        <v>0</v>
      </c>
      <c r="AO518" s="1">
        <v>101355906</v>
      </c>
      <c r="AP518" s="1">
        <v>39476119</v>
      </c>
      <c r="AQ518" s="1">
        <v>61879787</v>
      </c>
      <c r="AR518" s="1">
        <v>19967805</v>
      </c>
      <c r="AS518" s="1">
        <v>2995171</v>
      </c>
      <c r="AT518" s="1">
        <f t="shared" si="54"/>
        <v>124318882</v>
      </c>
    </row>
    <row r="519" spans="1:46" x14ac:dyDescent="0.2">
      <c r="A519" s="1" t="str">
        <f>"00595"</f>
        <v>00595</v>
      </c>
      <c r="B519" s="1" t="str">
        <f>"امين"</f>
        <v>امين</v>
      </c>
      <c r="C519" s="1" t="str">
        <f>"ارجمندي"</f>
        <v>ارجمندي</v>
      </c>
      <c r="D519" s="1" t="str">
        <f t="shared" si="55"/>
        <v>قراردادي بهره بردار</v>
      </c>
      <c r="E519" s="1" t="str">
        <f t="shared" ref="E519:E524" si="56">"پروژه بهره برداري نيروگاه بوشهر"</f>
        <v>پروژه بهره برداري نيروگاه بوشهر</v>
      </c>
      <c r="F519" s="1">
        <v>23970275</v>
      </c>
      <c r="G519" s="1">
        <v>20917586</v>
      </c>
      <c r="H519" s="1">
        <v>0</v>
      </c>
      <c r="I519" s="1">
        <v>23696080</v>
      </c>
      <c r="J519" s="1">
        <v>0</v>
      </c>
      <c r="K519" s="1">
        <v>5500000</v>
      </c>
      <c r="L519" s="1">
        <v>0</v>
      </c>
      <c r="M519" s="1">
        <v>1000000</v>
      </c>
      <c r="N519" s="1">
        <v>3717890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1387000</v>
      </c>
      <c r="U519" s="1">
        <v>0</v>
      </c>
      <c r="V519" s="1">
        <v>6124630</v>
      </c>
      <c r="W519" s="1">
        <v>1900000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2957400</v>
      </c>
      <c r="AD519" s="1">
        <v>0</v>
      </c>
      <c r="AE519" s="1">
        <v>2655636</v>
      </c>
      <c r="AF519" s="1">
        <v>1516881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4249017</v>
      </c>
      <c r="AM519" s="1">
        <v>0</v>
      </c>
      <c r="AN519" s="1">
        <v>0</v>
      </c>
      <c r="AO519" s="1">
        <v>99592395</v>
      </c>
      <c r="AP519" s="1">
        <v>39657576</v>
      </c>
      <c r="AQ519" s="1">
        <v>59934819</v>
      </c>
      <c r="AR519" s="1">
        <v>19615103</v>
      </c>
      <c r="AS519" s="1">
        <v>2942265</v>
      </c>
      <c r="AT519" s="1">
        <f t="shared" si="54"/>
        <v>122149763</v>
      </c>
    </row>
    <row r="520" spans="1:46" x14ac:dyDescent="0.2">
      <c r="A520" s="1" t="str">
        <f>"00600"</f>
        <v>00600</v>
      </c>
      <c r="B520" s="1" t="str">
        <f>"اسماعيل"</f>
        <v>اسماعيل</v>
      </c>
      <c r="C520" s="1" t="str">
        <f>"هويداپور"</f>
        <v>هويداپور</v>
      </c>
      <c r="D520" s="1" t="str">
        <f t="shared" si="55"/>
        <v>قراردادي بهره بردار</v>
      </c>
      <c r="E520" s="1" t="str">
        <f t="shared" si="56"/>
        <v>پروژه بهره برداري نيروگاه بوشهر</v>
      </c>
      <c r="F520" s="1">
        <v>21527681</v>
      </c>
      <c r="G520" s="1">
        <v>10711090</v>
      </c>
      <c r="H520" s="1">
        <v>0</v>
      </c>
      <c r="I520" s="1">
        <v>19174678</v>
      </c>
      <c r="J520" s="1">
        <v>0</v>
      </c>
      <c r="K520" s="1">
        <v>5500000</v>
      </c>
      <c r="L520" s="1">
        <v>0</v>
      </c>
      <c r="M520" s="1">
        <v>1000000</v>
      </c>
      <c r="N520" s="1">
        <v>3106803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1387000</v>
      </c>
      <c r="U520" s="1">
        <v>0</v>
      </c>
      <c r="V520" s="1">
        <v>5307393</v>
      </c>
      <c r="W520" s="1">
        <v>1900000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3384580</v>
      </c>
      <c r="AD520" s="1">
        <v>0</v>
      </c>
      <c r="AE520" s="1">
        <v>2219145</v>
      </c>
      <c r="AF520" s="1">
        <v>1516881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3661042</v>
      </c>
      <c r="AM520" s="1">
        <v>0</v>
      </c>
      <c r="AN520" s="1">
        <v>0</v>
      </c>
      <c r="AO520" s="1">
        <v>80396293</v>
      </c>
      <c r="AP520" s="1">
        <v>50108589</v>
      </c>
      <c r="AQ520" s="1">
        <v>30287704</v>
      </c>
      <c r="AR520" s="1">
        <v>15775882</v>
      </c>
      <c r="AS520" s="1">
        <v>2366382</v>
      </c>
      <c r="AT520" s="1">
        <f t="shared" si="54"/>
        <v>98538557</v>
      </c>
    </row>
    <row r="521" spans="1:46" x14ac:dyDescent="0.2">
      <c r="A521" s="1" t="str">
        <f>"00601"</f>
        <v>00601</v>
      </c>
      <c r="B521" s="1" t="str">
        <f>"وحيد"</f>
        <v>وحيد</v>
      </c>
      <c r="C521" s="1" t="str">
        <f>"پاکروان"</f>
        <v>پاکروان</v>
      </c>
      <c r="D521" s="1" t="str">
        <f t="shared" si="55"/>
        <v>قراردادي بهره بردار</v>
      </c>
      <c r="E521" s="1" t="str">
        <f t="shared" si="56"/>
        <v>پروژه بهره برداري نيروگاه بوشهر</v>
      </c>
      <c r="F521" s="1">
        <v>16622779</v>
      </c>
      <c r="G521" s="1">
        <v>4184093</v>
      </c>
      <c r="H521" s="1">
        <v>0</v>
      </c>
      <c r="I521" s="1">
        <v>13322302</v>
      </c>
      <c r="J521" s="1">
        <v>0</v>
      </c>
      <c r="K521" s="1">
        <v>4125000</v>
      </c>
      <c r="L521" s="1">
        <v>0</v>
      </c>
      <c r="M521" s="1">
        <v>1000000</v>
      </c>
      <c r="N521" s="1">
        <v>2632196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1387000</v>
      </c>
      <c r="U521" s="1">
        <v>0</v>
      </c>
      <c r="V521" s="1">
        <v>3850297</v>
      </c>
      <c r="W521" s="1">
        <v>1900000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1880140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4045559</v>
      </c>
      <c r="AM521" s="1">
        <v>0</v>
      </c>
      <c r="AN521" s="1">
        <v>0</v>
      </c>
      <c r="AO521" s="1">
        <v>54949366</v>
      </c>
      <c r="AP521" s="1">
        <v>15812749</v>
      </c>
      <c r="AQ521" s="1">
        <v>39136617</v>
      </c>
      <c r="AR521" s="1">
        <v>10989873</v>
      </c>
      <c r="AS521" s="1">
        <v>1648481</v>
      </c>
      <c r="AT521" s="1">
        <f t="shared" si="54"/>
        <v>67587720</v>
      </c>
    </row>
    <row r="522" spans="1:46" x14ac:dyDescent="0.2">
      <c r="A522" s="1" t="str">
        <f>"00602"</f>
        <v>00602</v>
      </c>
      <c r="B522" s="1" t="str">
        <f>"زينب"</f>
        <v>زينب</v>
      </c>
      <c r="C522" s="1" t="str">
        <f>"صمديان مطلق"</f>
        <v>صمديان مطلق</v>
      </c>
      <c r="D522" s="1" t="str">
        <f t="shared" si="55"/>
        <v>قراردادي بهره بردار</v>
      </c>
      <c r="E522" s="1" t="str">
        <f t="shared" si="56"/>
        <v>پروژه بهره برداري نيروگاه بوشهر</v>
      </c>
      <c r="F522" s="1">
        <v>16467241</v>
      </c>
      <c r="G522" s="1">
        <v>3110102</v>
      </c>
      <c r="H522" s="1">
        <v>0</v>
      </c>
      <c r="I522" s="1">
        <v>15316781</v>
      </c>
      <c r="J522" s="1">
        <v>1100000</v>
      </c>
      <c r="K522" s="1">
        <v>3465000</v>
      </c>
      <c r="L522" s="1">
        <v>0</v>
      </c>
      <c r="M522" s="1">
        <v>1000000</v>
      </c>
      <c r="N522" s="1">
        <v>3164308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1606000</v>
      </c>
      <c r="U522" s="1">
        <v>0</v>
      </c>
      <c r="V522" s="1">
        <v>4451979</v>
      </c>
      <c r="W522" s="1">
        <v>1900000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2808435</v>
      </c>
      <c r="AD522" s="1">
        <v>0</v>
      </c>
      <c r="AE522" s="1">
        <v>2260220</v>
      </c>
      <c r="AF522" s="1">
        <v>3033762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4502806</v>
      </c>
      <c r="AM522" s="1">
        <v>0</v>
      </c>
      <c r="AN522" s="1">
        <v>0</v>
      </c>
      <c r="AO522" s="1">
        <v>64186634</v>
      </c>
      <c r="AP522" s="1">
        <v>11761727</v>
      </c>
      <c r="AQ522" s="1">
        <v>52424907</v>
      </c>
      <c r="AR522" s="1">
        <v>12010574</v>
      </c>
      <c r="AS522" s="1">
        <v>1801586</v>
      </c>
      <c r="AT522" s="1">
        <f t="shared" si="54"/>
        <v>77998794</v>
      </c>
    </row>
    <row r="523" spans="1:46" x14ac:dyDescent="0.2">
      <c r="A523" s="1" t="str">
        <f>"00603"</f>
        <v>00603</v>
      </c>
      <c r="B523" s="1" t="str">
        <f>"اسماعيل"</f>
        <v>اسماعيل</v>
      </c>
      <c r="C523" s="1" t="str">
        <f>"قاسمي خواه"</f>
        <v>قاسمي خواه</v>
      </c>
      <c r="D523" s="1" t="str">
        <f t="shared" si="55"/>
        <v>قراردادي بهره بردار</v>
      </c>
      <c r="E523" s="1" t="str">
        <f t="shared" si="56"/>
        <v>پروژه بهره برداري نيروگاه بوشهر</v>
      </c>
      <c r="F523" s="1">
        <v>20653605</v>
      </c>
      <c r="G523" s="1">
        <v>9075083</v>
      </c>
      <c r="H523" s="1">
        <v>0</v>
      </c>
      <c r="I523" s="1">
        <v>18238207</v>
      </c>
      <c r="J523" s="1">
        <v>0</v>
      </c>
      <c r="K523" s="1">
        <v>5500000</v>
      </c>
      <c r="L523" s="1">
        <v>0</v>
      </c>
      <c r="M523" s="1">
        <v>1000000</v>
      </c>
      <c r="N523" s="1">
        <v>3490937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1387000</v>
      </c>
      <c r="U523" s="1">
        <v>0</v>
      </c>
      <c r="V523" s="1">
        <v>10836951</v>
      </c>
      <c r="W523" s="1">
        <v>1900000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2493526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5528147</v>
      </c>
      <c r="AM523" s="1">
        <v>0</v>
      </c>
      <c r="AN523" s="1">
        <v>0</v>
      </c>
      <c r="AO523" s="1">
        <v>80103456</v>
      </c>
      <c r="AP523" s="1">
        <v>14730121</v>
      </c>
      <c r="AQ523" s="1">
        <v>65373335</v>
      </c>
      <c r="AR523" s="1">
        <v>16020691</v>
      </c>
      <c r="AS523" s="1">
        <v>2403104</v>
      </c>
      <c r="AT523" s="1">
        <f t="shared" si="54"/>
        <v>98527251</v>
      </c>
    </row>
    <row r="524" spans="1:46" x14ac:dyDescent="0.2">
      <c r="A524" s="1" t="str">
        <f>"00604"</f>
        <v>00604</v>
      </c>
      <c r="B524" s="1" t="str">
        <f>"مهدي"</f>
        <v>مهدي</v>
      </c>
      <c r="C524" s="1" t="str">
        <f>"اسدي"</f>
        <v>اسدي</v>
      </c>
      <c r="D524" s="1" t="str">
        <f t="shared" si="55"/>
        <v>قراردادي بهره بردار</v>
      </c>
      <c r="E524" s="1" t="str">
        <f t="shared" si="56"/>
        <v>پروژه بهره برداري نيروگاه بوشهر</v>
      </c>
      <c r="F524" s="1">
        <v>22213360</v>
      </c>
      <c r="G524" s="1">
        <v>1624194</v>
      </c>
      <c r="H524" s="1">
        <v>0</v>
      </c>
      <c r="I524" s="1">
        <v>20667527</v>
      </c>
      <c r="J524" s="1">
        <v>0</v>
      </c>
      <c r="K524" s="1">
        <v>5500000</v>
      </c>
      <c r="L524" s="1">
        <v>0</v>
      </c>
      <c r="M524" s="1">
        <v>1000000</v>
      </c>
      <c r="N524" s="1">
        <v>3102970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1387000</v>
      </c>
      <c r="U524" s="1">
        <v>0</v>
      </c>
      <c r="V524" s="1">
        <v>5231170</v>
      </c>
      <c r="W524" s="1">
        <v>1900000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2216407</v>
      </c>
      <c r="AF524" s="1">
        <v>1516881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4111443</v>
      </c>
      <c r="AM524" s="1">
        <v>0</v>
      </c>
      <c r="AN524" s="1">
        <v>0</v>
      </c>
      <c r="AO524" s="1">
        <v>70470952</v>
      </c>
      <c r="AP524" s="1">
        <v>25352508</v>
      </c>
      <c r="AQ524" s="1">
        <v>45118444</v>
      </c>
      <c r="AR524" s="1">
        <v>13790814</v>
      </c>
      <c r="AS524" s="1">
        <v>2068622</v>
      </c>
      <c r="AT524" s="1">
        <f t="shared" si="54"/>
        <v>86330388</v>
      </c>
    </row>
    <row r="525" spans="1:46" x14ac:dyDescent="0.2">
      <c r="A525" s="1" t="str">
        <f>"00606"</f>
        <v>00606</v>
      </c>
      <c r="B525" s="1" t="str">
        <f>"محمدابراهيم"</f>
        <v>محمدابراهيم</v>
      </c>
      <c r="C525" s="1" t="str">
        <f>"اسمعيل پور"</f>
        <v>اسمعيل پور</v>
      </c>
      <c r="D525" s="1" t="str">
        <f t="shared" si="55"/>
        <v>قراردادي بهره بردار</v>
      </c>
      <c r="E525" s="1" t="str">
        <f>"پروژه تعميرات نيروگاه بوشهر"</f>
        <v>پروژه تعميرات نيروگاه بوشهر</v>
      </c>
      <c r="F525" s="1">
        <v>13582133</v>
      </c>
      <c r="G525" s="1">
        <v>0</v>
      </c>
      <c r="H525" s="1">
        <v>0</v>
      </c>
      <c r="I525" s="1">
        <v>12442987</v>
      </c>
      <c r="J525" s="1">
        <v>0</v>
      </c>
      <c r="K525" s="1">
        <v>4620000</v>
      </c>
      <c r="L525" s="1">
        <v>0</v>
      </c>
      <c r="M525" s="1">
        <v>1000000</v>
      </c>
      <c r="N525" s="1">
        <v>2472715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1387000</v>
      </c>
      <c r="U525" s="1">
        <v>0</v>
      </c>
      <c r="V525" s="1">
        <v>14131213</v>
      </c>
      <c r="W525" s="1">
        <v>1900000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1766225</v>
      </c>
      <c r="AF525" s="1">
        <v>1516881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8451592</v>
      </c>
      <c r="AM525" s="1">
        <v>0</v>
      </c>
      <c r="AN525" s="1">
        <v>0</v>
      </c>
      <c r="AO525" s="1">
        <v>63270746</v>
      </c>
      <c r="AP525" s="1">
        <v>11040002</v>
      </c>
      <c r="AQ525" s="1">
        <v>52230744</v>
      </c>
      <c r="AR525" s="1">
        <v>12350773</v>
      </c>
      <c r="AS525" s="1">
        <v>1852616</v>
      </c>
      <c r="AT525" s="1">
        <f t="shared" si="54"/>
        <v>77474135</v>
      </c>
    </row>
    <row r="526" spans="1:46" x14ac:dyDescent="0.2">
      <c r="A526" s="1" t="str">
        <f>"00607"</f>
        <v>00607</v>
      </c>
      <c r="B526" s="1" t="str">
        <f>"امين"</f>
        <v>امين</v>
      </c>
      <c r="C526" s="1" t="str">
        <f>"افخمي نسب"</f>
        <v>افخمي نسب</v>
      </c>
      <c r="D526" s="1" t="str">
        <f t="shared" si="55"/>
        <v>قراردادي بهره بردار</v>
      </c>
      <c r="E526" s="1" t="str">
        <f t="shared" ref="E526:E545" si="57">"پروژه بهره برداري نيروگاه بوشهر"</f>
        <v>پروژه بهره برداري نيروگاه بوشهر</v>
      </c>
      <c r="F526" s="1">
        <v>13862539</v>
      </c>
      <c r="G526" s="1">
        <v>3229006</v>
      </c>
      <c r="H526" s="1">
        <v>0</v>
      </c>
      <c r="I526" s="1">
        <v>11413776</v>
      </c>
      <c r="J526" s="1">
        <v>0</v>
      </c>
      <c r="K526" s="1">
        <v>4620000</v>
      </c>
      <c r="L526" s="1">
        <v>0</v>
      </c>
      <c r="M526" s="1">
        <v>1000000</v>
      </c>
      <c r="N526" s="1">
        <v>2570857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1606000</v>
      </c>
      <c r="U526" s="1">
        <v>0</v>
      </c>
      <c r="V526" s="1">
        <v>17199861</v>
      </c>
      <c r="W526" s="1">
        <v>1900000</v>
      </c>
      <c r="X526" s="1">
        <v>2012304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1836326</v>
      </c>
      <c r="AF526" s="1">
        <v>1516881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10316178</v>
      </c>
      <c r="AM526" s="1">
        <v>0</v>
      </c>
      <c r="AN526" s="1">
        <v>0</v>
      </c>
      <c r="AO526" s="1">
        <v>73083728</v>
      </c>
      <c r="AP526" s="1">
        <v>28949511</v>
      </c>
      <c r="AQ526" s="1">
        <v>44134217</v>
      </c>
      <c r="AR526" s="1">
        <v>14313369</v>
      </c>
      <c r="AS526" s="1">
        <v>2147005</v>
      </c>
      <c r="AT526" s="1">
        <f t="shared" si="54"/>
        <v>89544102</v>
      </c>
    </row>
    <row r="527" spans="1:46" x14ac:dyDescent="0.2">
      <c r="A527" s="1" t="str">
        <f>"00608"</f>
        <v>00608</v>
      </c>
      <c r="B527" s="1" t="str">
        <f>"مجتبي"</f>
        <v>مجتبي</v>
      </c>
      <c r="C527" s="1" t="str">
        <f>"بازدار"</f>
        <v>بازدار</v>
      </c>
      <c r="D527" s="1" t="str">
        <f t="shared" si="55"/>
        <v>قراردادي بهره بردار</v>
      </c>
      <c r="E527" s="1" t="str">
        <f t="shared" si="57"/>
        <v>پروژه بهره برداري نيروگاه بوشهر</v>
      </c>
      <c r="F527" s="1">
        <v>18445413</v>
      </c>
      <c r="G527" s="1">
        <v>1901755</v>
      </c>
      <c r="H527" s="1">
        <v>0</v>
      </c>
      <c r="I527" s="1">
        <v>15313181</v>
      </c>
      <c r="J527" s="1">
        <v>0</v>
      </c>
      <c r="K527" s="1">
        <v>5500000</v>
      </c>
      <c r="L527" s="1">
        <v>0</v>
      </c>
      <c r="M527" s="1">
        <v>1000000</v>
      </c>
      <c r="N527" s="1">
        <v>3097603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1387000</v>
      </c>
      <c r="U527" s="1">
        <v>0</v>
      </c>
      <c r="V527" s="1">
        <v>12598848</v>
      </c>
      <c r="W527" s="1">
        <v>1900000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3877480</v>
      </c>
      <c r="AD527" s="1">
        <v>0</v>
      </c>
      <c r="AE527" s="1">
        <v>2212573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11831353</v>
      </c>
      <c r="AM527" s="1">
        <v>0</v>
      </c>
      <c r="AN527" s="1">
        <v>0</v>
      </c>
      <c r="AO527" s="1">
        <v>79065206</v>
      </c>
      <c r="AP527" s="1">
        <v>28544936</v>
      </c>
      <c r="AQ527" s="1">
        <v>50520270</v>
      </c>
      <c r="AR527" s="1">
        <v>15813041</v>
      </c>
      <c r="AS527" s="1">
        <v>2371956</v>
      </c>
      <c r="AT527" s="1">
        <f t="shared" si="54"/>
        <v>97250203</v>
      </c>
    </row>
    <row r="528" spans="1:46" x14ac:dyDescent="0.2">
      <c r="A528" s="1" t="str">
        <f>"00609"</f>
        <v>00609</v>
      </c>
      <c r="B528" s="1" t="str">
        <f>"ناصر"</f>
        <v>ناصر</v>
      </c>
      <c r="C528" s="1" t="str">
        <f>"بحراني"</f>
        <v>بحراني</v>
      </c>
      <c r="D528" s="1" t="str">
        <f t="shared" si="55"/>
        <v>قراردادي بهره بردار</v>
      </c>
      <c r="E528" s="1" t="str">
        <f t="shared" si="57"/>
        <v>پروژه بهره برداري نيروگاه بوشهر</v>
      </c>
      <c r="F528" s="1">
        <v>21142124</v>
      </c>
      <c r="G528" s="1">
        <v>6961857</v>
      </c>
      <c r="H528" s="1">
        <v>0</v>
      </c>
      <c r="I528" s="1">
        <v>17115660</v>
      </c>
      <c r="J528" s="1">
        <v>0</v>
      </c>
      <c r="K528" s="1">
        <v>5500000</v>
      </c>
      <c r="L528" s="1">
        <v>0</v>
      </c>
      <c r="M528" s="1">
        <v>1000000</v>
      </c>
      <c r="N528" s="1">
        <v>3661918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1606000</v>
      </c>
      <c r="U528" s="1">
        <v>0</v>
      </c>
      <c r="V528" s="1">
        <v>15944963</v>
      </c>
      <c r="W528" s="1">
        <v>1900000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2615656</v>
      </c>
      <c r="AF528" s="1">
        <v>1516881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5292651</v>
      </c>
      <c r="AM528" s="1">
        <v>0</v>
      </c>
      <c r="AN528" s="1">
        <v>0</v>
      </c>
      <c r="AO528" s="1">
        <v>84257710</v>
      </c>
      <c r="AP528" s="1">
        <v>16138629</v>
      </c>
      <c r="AQ528" s="1">
        <v>68119081</v>
      </c>
      <c r="AR528" s="1">
        <v>16548166</v>
      </c>
      <c r="AS528" s="1">
        <v>2482225</v>
      </c>
      <c r="AT528" s="1">
        <f t="shared" si="54"/>
        <v>103288101</v>
      </c>
    </row>
    <row r="529" spans="1:46" x14ac:dyDescent="0.2">
      <c r="A529" s="1" t="str">
        <f>"00613"</f>
        <v>00613</v>
      </c>
      <c r="B529" s="1" t="str">
        <f>"سعيد"</f>
        <v>سعيد</v>
      </c>
      <c r="C529" s="1" t="str">
        <f>"جوکار"</f>
        <v>جوکار</v>
      </c>
      <c r="D529" s="1" t="str">
        <f t="shared" si="55"/>
        <v>قراردادي بهره بردار</v>
      </c>
      <c r="E529" s="1" t="str">
        <f t="shared" si="57"/>
        <v>پروژه بهره برداري نيروگاه بوشهر</v>
      </c>
      <c r="F529" s="1">
        <v>14362011</v>
      </c>
      <c r="G529" s="1">
        <v>6487133</v>
      </c>
      <c r="H529" s="1">
        <v>0</v>
      </c>
      <c r="I529" s="1">
        <v>12340222</v>
      </c>
      <c r="J529" s="1">
        <v>0</v>
      </c>
      <c r="K529" s="1">
        <v>0</v>
      </c>
      <c r="L529" s="1">
        <v>0</v>
      </c>
      <c r="M529" s="1">
        <v>1000000</v>
      </c>
      <c r="N529" s="1">
        <v>2745672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1387000</v>
      </c>
      <c r="U529" s="1">
        <v>0</v>
      </c>
      <c r="V529" s="1">
        <v>14658608</v>
      </c>
      <c r="W529" s="1">
        <v>1900000</v>
      </c>
      <c r="X529" s="1">
        <v>2084808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1961194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11389758</v>
      </c>
      <c r="AM529" s="1">
        <v>0</v>
      </c>
      <c r="AN529" s="1">
        <v>0</v>
      </c>
      <c r="AO529" s="1">
        <v>70316406</v>
      </c>
      <c r="AP529" s="1">
        <v>25218760</v>
      </c>
      <c r="AQ529" s="1">
        <v>45097646</v>
      </c>
      <c r="AR529" s="1">
        <v>14063281</v>
      </c>
      <c r="AS529" s="1">
        <v>2109492</v>
      </c>
      <c r="AT529" s="1">
        <f t="shared" si="54"/>
        <v>86489179</v>
      </c>
    </row>
    <row r="530" spans="1:46" x14ac:dyDescent="0.2">
      <c r="A530" s="1" t="str">
        <f>"00614"</f>
        <v>00614</v>
      </c>
      <c r="B530" s="1" t="str">
        <f>"مجتبي"</f>
        <v>مجتبي</v>
      </c>
      <c r="C530" s="1" t="str">
        <f>"حسني"</f>
        <v>حسني</v>
      </c>
      <c r="D530" s="1" t="str">
        <f t="shared" si="55"/>
        <v>قراردادي بهره بردار</v>
      </c>
      <c r="E530" s="1" t="str">
        <f t="shared" si="57"/>
        <v>پروژه بهره برداري نيروگاه بوشهر</v>
      </c>
      <c r="F530" s="1">
        <v>14427731</v>
      </c>
      <c r="G530" s="1">
        <v>692659</v>
      </c>
      <c r="H530" s="1">
        <v>0</v>
      </c>
      <c r="I530" s="1">
        <v>11375483</v>
      </c>
      <c r="J530" s="1">
        <v>0</v>
      </c>
      <c r="K530" s="1">
        <v>3465000</v>
      </c>
      <c r="L530" s="1">
        <v>0</v>
      </c>
      <c r="M530" s="1">
        <v>1000000</v>
      </c>
      <c r="N530" s="1">
        <v>2768674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1387000</v>
      </c>
      <c r="U530" s="1">
        <v>0</v>
      </c>
      <c r="V530" s="1">
        <v>11898148</v>
      </c>
      <c r="W530" s="1">
        <v>1900000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1977624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6632200</v>
      </c>
      <c r="AM530" s="1">
        <v>0</v>
      </c>
      <c r="AN530" s="1">
        <v>0</v>
      </c>
      <c r="AO530" s="1">
        <v>57524519</v>
      </c>
      <c r="AP530" s="1">
        <v>7327629</v>
      </c>
      <c r="AQ530" s="1">
        <v>50196890</v>
      </c>
      <c r="AR530" s="1">
        <v>11504904</v>
      </c>
      <c r="AS530" s="1">
        <v>1725736</v>
      </c>
      <c r="AT530" s="1">
        <f t="shared" si="54"/>
        <v>70755159</v>
      </c>
    </row>
    <row r="531" spans="1:46" x14ac:dyDescent="0.2">
      <c r="A531" s="1" t="str">
        <f>"00616"</f>
        <v>00616</v>
      </c>
      <c r="B531" s="1" t="str">
        <f>"حامد"</f>
        <v>حامد</v>
      </c>
      <c r="C531" s="1" t="str">
        <f>"حسين زاده"</f>
        <v>حسين زاده</v>
      </c>
      <c r="D531" s="1" t="str">
        <f t="shared" si="55"/>
        <v>قراردادي بهره بردار</v>
      </c>
      <c r="E531" s="1" t="str">
        <f t="shared" si="57"/>
        <v>پروژه بهره برداري نيروگاه بوشهر</v>
      </c>
      <c r="F531" s="1">
        <v>19569225</v>
      </c>
      <c r="G531" s="1">
        <v>3559938</v>
      </c>
      <c r="H531" s="1">
        <v>0</v>
      </c>
      <c r="I531" s="1">
        <v>16609495</v>
      </c>
      <c r="J531" s="1">
        <v>0</v>
      </c>
      <c r="K531" s="1">
        <v>5500000</v>
      </c>
      <c r="L531" s="1">
        <v>0</v>
      </c>
      <c r="M531" s="1">
        <v>1000000</v>
      </c>
      <c r="N531" s="1">
        <v>3490937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1606000</v>
      </c>
      <c r="U531" s="1">
        <v>0</v>
      </c>
      <c r="V531" s="1">
        <v>14923014</v>
      </c>
      <c r="W531" s="1">
        <v>1900000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2493526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5975569</v>
      </c>
      <c r="AM531" s="1">
        <v>0</v>
      </c>
      <c r="AN531" s="1">
        <v>0</v>
      </c>
      <c r="AO531" s="1">
        <v>76627704</v>
      </c>
      <c r="AP531" s="1">
        <v>28119724</v>
      </c>
      <c r="AQ531" s="1">
        <v>48507980</v>
      </c>
      <c r="AR531" s="1">
        <v>15325541</v>
      </c>
      <c r="AS531" s="1">
        <v>2298831</v>
      </c>
      <c r="AT531" s="1">
        <f t="shared" si="54"/>
        <v>94252076</v>
      </c>
    </row>
    <row r="532" spans="1:46" x14ac:dyDescent="0.2">
      <c r="A532" s="1" t="str">
        <f>"00617"</f>
        <v>00617</v>
      </c>
      <c r="B532" s="1" t="str">
        <f>"صادق"</f>
        <v>صادق</v>
      </c>
      <c r="C532" s="1" t="str">
        <f>"دارابي"</f>
        <v>دارابي</v>
      </c>
      <c r="D532" s="1" t="str">
        <f t="shared" si="55"/>
        <v>قراردادي بهره بردار</v>
      </c>
      <c r="E532" s="1" t="str">
        <f t="shared" si="57"/>
        <v>پروژه بهره برداري نيروگاه بوشهر</v>
      </c>
      <c r="F532" s="1">
        <v>14611747</v>
      </c>
      <c r="G532" s="1">
        <v>7282843</v>
      </c>
      <c r="H532" s="1">
        <v>0</v>
      </c>
      <c r="I532" s="1">
        <v>11737180</v>
      </c>
      <c r="J532" s="1">
        <v>0</v>
      </c>
      <c r="K532" s="1">
        <v>4620000</v>
      </c>
      <c r="L532" s="1">
        <v>0</v>
      </c>
      <c r="M532" s="1">
        <v>1000000</v>
      </c>
      <c r="N532" s="1">
        <v>2833080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1606000</v>
      </c>
      <c r="U532" s="1">
        <v>0</v>
      </c>
      <c r="V532" s="1">
        <v>13798911</v>
      </c>
      <c r="W532" s="1">
        <v>1900000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2023628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6599602</v>
      </c>
      <c r="AM532" s="1">
        <v>0</v>
      </c>
      <c r="AN532" s="1">
        <v>0</v>
      </c>
      <c r="AO532" s="1">
        <v>68012991</v>
      </c>
      <c r="AP532" s="1">
        <v>22919523</v>
      </c>
      <c r="AQ532" s="1">
        <v>45093468</v>
      </c>
      <c r="AR532" s="1">
        <v>13602598</v>
      </c>
      <c r="AS532" s="1">
        <v>2040390</v>
      </c>
      <c r="AT532" s="1">
        <f t="shared" si="54"/>
        <v>83655979</v>
      </c>
    </row>
    <row r="533" spans="1:46" x14ac:dyDescent="0.2">
      <c r="A533" s="1" t="str">
        <f>"00618"</f>
        <v>00618</v>
      </c>
      <c r="B533" s="1" t="str">
        <f>"صادق"</f>
        <v>صادق</v>
      </c>
      <c r="C533" s="1" t="str">
        <f>"داودي"</f>
        <v>داودي</v>
      </c>
      <c r="D533" s="1" t="str">
        <f t="shared" si="55"/>
        <v>قراردادي بهره بردار</v>
      </c>
      <c r="E533" s="1" t="str">
        <f t="shared" si="57"/>
        <v>پروژه بهره برداري نيروگاه بوشهر</v>
      </c>
      <c r="F533" s="1">
        <v>18517705</v>
      </c>
      <c r="G533" s="1">
        <v>9562259</v>
      </c>
      <c r="H533" s="1">
        <v>0</v>
      </c>
      <c r="I533" s="1">
        <v>15347472</v>
      </c>
      <c r="J533" s="1">
        <v>0</v>
      </c>
      <c r="K533" s="1">
        <v>5500000</v>
      </c>
      <c r="L533" s="1">
        <v>0</v>
      </c>
      <c r="M533" s="1">
        <v>1000000</v>
      </c>
      <c r="N533" s="1">
        <v>3122905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1387000</v>
      </c>
      <c r="U533" s="1">
        <v>0</v>
      </c>
      <c r="V533" s="1">
        <v>18863210</v>
      </c>
      <c r="W533" s="1">
        <v>1900000</v>
      </c>
      <c r="X533" s="1">
        <v>2688054</v>
      </c>
      <c r="Y533" s="1">
        <v>0</v>
      </c>
      <c r="Z533" s="1">
        <v>0</v>
      </c>
      <c r="AA533" s="1">
        <v>0</v>
      </c>
      <c r="AB533" s="1">
        <v>0</v>
      </c>
      <c r="AC533" s="1">
        <v>3877480</v>
      </c>
      <c r="AD533" s="1">
        <v>0</v>
      </c>
      <c r="AE533" s="1">
        <v>2230646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17752856</v>
      </c>
      <c r="AM533" s="1">
        <v>0</v>
      </c>
      <c r="AN533" s="1">
        <v>0</v>
      </c>
      <c r="AO533" s="1">
        <v>101749587</v>
      </c>
      <c r="AP533" s="1">
        <v>33059496</v>
      </c>
      <c r="AQ533" s="1">
        <v>68690091</v>
      </c>
      <c r="AR533" s="1">
        <v>20349917</v>
      </c>
      <c r="AS533" s="1">
        <v>3052488</v>
      </c>
      <c r="AT533" s="1">
        <f t="shared" si="54"/>
        <v>125151992</v>
      </c>
    </row>
    <row r="534" spans="1:46" x14ac:dyDescent="0.2">
      <c r="A534" s="1" t="str">
        <f>"00619"</f>
        <v>00619</v>
      </c>
      <c r="B534" s="1" t="str">
        <f>"وحيد"</f>
        <v>وحيد</v>
      </c>
      <c r="C534" s="1" t="str">
        <f>"دردي"</f>
        <v>دردي</v>
      </c>
      <c r="D534" s="1" t="str">
        <f t="shared" si="55"/>
        <v>قراردادي بهره بردار</v>
      </c>
      <c r="E534" s="1" t="str">
        <f t="shared" si="57"/>
        <v>پروژه بهره برداري نيروگاه بوشهر</v>
      </c>
      <c r="F534" s="1">
        <v>14335723</v>
      </c>
      <c r="G534" s="1">
        <v>2786777</v>
      </c>
      <c r="H534" s="1">
        <v>0</v>
      </c>
      <c r="I534" s="1">
        <v>11571736</v>
      </c>
      <c r="J534" s="1">
        <v>0</v>
      </c>
      <c r="K534" s="1">
        <v>3465000</v>
      </c>
      <c r="L534" s="1">
        <v>0</v>
      </c>
      <c r="M534" s="1">
        <v>1000000</v>
      </c>
      <c r="N534" s="1">
        <v>2736471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1387000</v>
      </c>
      <c r="U534" s="1">
        <v>0</v>
      </c>
      <c r="V534" s="1">
        <v>14393421</v>
      </c>
      <c r="W534" s="1">
        <v>1900000</v>
      </c>
      <c r="X534" s="1">
        <v>2080992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1954622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11426036</v>
      </c>
      <c r="AM534" s="1">
        <v>0</v>
      </c>
      <c r="AN534" s="1">
        <v>0</v>
      </c>
      <c r="AO534" s="1">
        <v>69037778</v>
      </c>
      <c r="AP534" s="1">
        <v>30113468</v>
      </c>
      <c r="AQ534" s="1">
        <v>38924310</v>
      </c>
      <c r="AR534" s="1">
        <v>13807556</v>
      </c>
      <c r="AS534" s="1">
        <v>2071133</v>
      </c>
      <c r="AT534" s="1">
        <f t="shared" si="54"/>
        <v>84916467</v>
      </c>
    </row>
    <row r="535" spans="1:46" x14ac:dyDescent="0.2">
      <c r="A535" s="1" t="str">
        <f>"00620"</f>
        <v>00620</v>
      </c>
      <c r="B535" s="1" t="str">
        <f>"سروش"</f>
        <v>سروش</v>
      </c>
      <c r="C535" s="1" t="str">
        <f>"دهقان"</f>
        <v>دهقان</v>
      </c>
      <c r="D535" s="1" t="str">
        <f t="shared" si="55"/>
        <v>قراردادي بهره بردار</v>
      </c>
      <c r="E535" s="1" t="str">
        <f t="shared" si="57"/>
        <v>پروژه بهره برداري نيروگاه بوشهر</v>
      </c>
      <c r="F535" s="1">
        <v>14250287</v>
      </c>
      <c r="G535" s="1">
        <v>4757432</v>
      </c>
      <c r="H535" s="1">
        <v>0</v>
      </c>
      <c r="I535" s="1">
        <v>11689626</v>
      </c>
      <c r="J535" s="1">
        <v>0</v>
      </c>
      <c r="K535" s="1">
        <v>4620000</v>
      </c>
      <c r="L535" s="1">
        <v>0</v>
      </c>
      <c r="M535" s="1">
        <v>1000000</v>
      </c>
      <c r="N535" s="1">
        <v>2706569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1606000</v>
      </c>
      <c r="U535" s="1">
        <v>0</v>
      </c>
      <c r="V535" s="1">
        <v>14255389</v>
      </c>
      <c r="W535" s="1">
        <v>1900000</v>
      </c>
      <c r="X535" s="1">
        <v>2068590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1933263</v>
      </c>
      <c r="AF535" s="1">
        <v>3033762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11347872</v>
      </c>
      <c r="AM535" s="1">
        <v>0</v>
      </c>
      <c r="AN535" s="1">
        <v>0</v>
      </c>
      <c r="AO535" s="1">
        <v>75168790</v>
      </c>
      <c r="AP535" s="1">
        <v>27690794</v>
      </c>
      <c r="AQ535" s="1">
        <v>47477996</v>
      </c>
      <c r="AR535" s="1">
        <v>14427006</v>
      </c>
      <c r="AS535" s="1">
        <v>2164051</v>
      </c>
      <c r="AT535" s="1">
        <f t="shared" si="54"/>
        <v>91759847</v>
      </c>
    </row>
    <row r="536" spans="1:46" x14ac:dyDescent="0.2">
      <c r="A536" s="1" t="str">
        <f>"00621"</f>
        <v>00621</v>
      </c>
      <c r="B536" s="1" t="str">
        <f>"سيده فاطمه"</f>
        <v>سيده فاطمه</v>
      </c>
      <c r="C536" s="1" t="str">
        <f>"رباني زاده"</f>
        <v>رباني زاده</v>
      </c>
      <c r="D536" s="1" t="str">
        <f t="shared" si="55"/>
        <v>قراردادي بهره بردار</v>
      </c>
      <c r="E536" s="1" t="str">
        <f t="shared" si="57"/>
        <v>پروژه بهره برداري نيروگاه بوشهر</v>
      </c>
      <c r="F536" s="1">
        <v>13560227</v>
      </c>
      <c r="G536" s="1">
        <v>0</v>
      </c>
      <c r="H536" s="1">
        <v>0</v>
      </c>
      <c r="I536" s="1">
        <v>9116635</v>
      </c>
      <c r="J536" s="1">
        <v>1100000</v>
      </c>
      <c r="K536" s="1">
        <v>3465000</v>
      </c>
      <c r="L536" s="1">
        <v>0</v>
      </c>
      <c r="M536" s="1">
        <v>1000000</v>
      </c>
      <c r="N536" s="1">
        <v>2465048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1387000</v>
      </c>
      <c r="U536" s="1">
        <v>0</v>
      </c>
      <c r="V536" s="1">
        <v>3121965</v>
      </c>
      <c r="W536" s="1">
        <v>1900000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1760748</v>
      </c>
      <c r="AF536" s="1">
        <v>1516881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4316983</v>
      </c>
      <c r="AM536" s="1">
        <v>0</v>
      </c>
      <c r="AN536" s="1">
        <v>0</v>
      </c>
      <c r="AO536" s="1">
        <v>44710487</v>
      </c>
      <c r="AP536" s="1">
        <v>4190246</v>
      </c>
      <c r="AQ536" s="1">
        <v>40520241</v>
      </c>
      <c r="AR536" s="1">
        <v>8418721</v>
      </c>
      <c r="AS536" s="1">
        <v>1262808</v>
      </c>
      <c r="AT536" s="1">
        <f t="shared" si="54"/>
        <v>54392016</v>
      </c>
    </row>
    <row r="537" spans="1:46" x14ac:dyDescent="0.2">
      <c r="A537" s="1" t="str">
        <f>"00622"</f>
        <v>00622</v>
      </c>
      <c r="B537" s="1" t="str">
        <f>"حسين"</f>
        <v>حسين</v>
      </c>
      <c r="C537" s="1" t="str">
        <f>"رشيدي بد"</f>
        <v>رشيدي بد</v>
      </c>
      <c r="D537" s="1" t="str">
        <f t="shared" si="55"/>
        <v>قراردادي بهره بردار</v>
      </c>
      <c r="E537" s="1" t="str">
        <f t="shared" si="57"/>
        <v>پروژه بهره برداري نيروگاه بوشهر</v>
      </c>
      <c r="F537" s="1">
        <v>13926068</v>
      </c>
      <c r="G537" s="1">
        <v>3529230</v>
      </c>
      <c r="H537" s="1">
        <v>0</v>
      </c>
      <c r="I537" s="1">
        <v>10981663</v>
      </c>
      <c r="J537" s="1">
        <v>0</v>
      </c>
      <c r="K537" s="1">
        <v>3465000</v>
      </c>
      <c r="L537" s="1">
        <v>0</v>
      </c>
      <c r="M537" s="1">
        <v>1000000</v>
      </c>
      <c r="N537" s="1">
        <v>2593092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1606000</v>
      </c>
      <c r="U537" s="1">
        <v>0</v>
      </c>
      <c r="V537" s="1">
        <v>16778090</v>
      </c>
      <c r="W537" s="1">
        <v>1900000</v>
      </c>
      <c r="X537" s="1">
        <v>2021526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1852209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9440240</v>
      </c>
      <c r="AM537" s="1">
        <v>0</v>
      </c>
      <c r="AN537" s="1">
        <v>0</v>
      </c>
      <c r="AO537" s="1">
        <v>69093118</v>
      </c>
      <c r="AP537" s="1">
        <v>26891586</v>
      </c>
      <c r="AQ537" s="1">
        <v>42201532</v>
      </c>
      <c r="AR537" s="1">
        <v>13818624</v>
      </c>
      <c r="AS537" s="1">
        <v>2072794</v>
      </c>
      <c r="AT537" s="1">
        <f t="shared" si="54"/>
        <v>84984536</v>
      </c>
    </row>
    <row r="538" spans="1:46" x14ac:dyDescent="0.2">
      <c r="A538" s="1" t="str">
        <f>"00623"</f>
        <v>00623</v>
      </c>
      <c r="B538" s="1" t="str">
        <f>"فضل اله"</f>
        <v>فضل اله</v>
      </c>
      <c r="C538" s="1" t="str">
        <f>"رضواني نيا"</f>
        <v>رضواني نيا</v>
      </c>
      <c r="D538" s="1" t="str">
        <f t="shared" si="55"/>
        <v>قراردادي بهره بردار</v>
      </c>
      <c r="E538" s="1" t="str">
        <f t="shared" si="57"/>
        <v>پروژه بهره برداري نيروگاه بوشهر</v>
      </c>
      <c r="F538" s="1">
        <v>15299616</v>
      </c>
      <c r="G538" s="1">
        <v>4229149</v>
      </c>
      <c r="H538" s="1">
        <v>0</v>
      </c>
      <c r="I538" s="1">
        <v>12701478</v>
      </c>
      <c r="J538" s="1">
        <v>0</v>
      </c>
      <c r="K538" s="1">
        <v>0</v>
      </c>
      <c r="L538" s="1">
        <v>0</v>
      </c>
      <c r="M538" s="1">
        <v>1000000</v>
      </c>
      <c r="N538" s="1">
        <v>2832313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1606000</v>
      </c>
      <c r="U538" s="1">
        <v>0</v>
      </c>
      <c r="V538" s="1">
        <v>15290189</v>
      </c>
      <c r="W538" s="1">
        <v>1900000</v>
      </c>
      <c r="X538" s="1">
        <v>2114574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2023081</v>
      </c>
      <c r="AF538" s="1">
        <v>1516881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11786400</v>
      </c>
      <c r="AM538" s="1">
        <v>0</v>
      </c>
      <c r="AN538" s="1">
        <v>0</v>
      </c>
      <c r="AO538" s="1">
        <v>72299681</v>
      </c>
      <c r="AP538" s="1">
        <v>10338685</v>
      </c>
      <c r="AQ538" s="1">
        <v>61960996</v>
      </c>
      <c r="AR538" s="1">
        <v>14156560</v>
      </c>
      <c r="AS538" s="1">
        <v>2123484</v>
      </c>
      <c r="AT538" s="1">
        <f t="shared" si="54"/>
        <v>88579725</v>
      </c>
    </row>
    <row r="539" spans="1:46" x14ac:dyDescent="0.2">
      <c r="A539" s="1" t="str">
        <f>"00624"</f>
        <v>00624</v>
      </c>
      <c r="B539" s="1" t="str">
        <f>"مينا"</f>
        <v>مينا</v>
      </c>
      <c r="C539" s="1" t="str">
        <f>"زائري"</f>
        <v>زائري</v>
      </c>
      <c r="D539" s="1" t="str">
        <f t="shared" si="55"/>
        <v>قراردادي بهره بردار</v>
      </c>
      <c r="E539" s="1" t="str">
        <f t="shared" si="57"/>
        <v>پروژه بهره برداري نيروگاه بوشهر</v>
      </c>
      <c r="F539" s="1">
        <v>20222044</v>
      </c>
      <c r="G539" s="1">
        <v>0</v>
      </c>
      <c r="H539" s="1">
        <v>0</v>
      </c>
      <c r="I539" s="1">
        <v>15411268</v>
      </c>
      <c r="J539" s="1">
        <v>0</v>
      </c>
      <c r="K539" s="1">
        <v>4125000</v>
      </c>
      <c r="L539" s="1">
        <v>0</v>
      </c>
      <c r="M539" s="1">
        <v>1000000</v>
      </c>
      <c r="N539" s="1">
        <v>3339890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1387000</v>
      </c>
      <c r="U539" s="1">
        <v>0</v>
      </c>
      <c r="V539" s="1">
        <v>9618254</v>
      </c>
      <c r="W539" s="1">
        <v>1900000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2385636</v>
      </c>
      <c r="AF539" s="1">
        <v>3033762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4994194</v>
      </c>
      <c r="AM539" s="1">
        <v>0</v>
      </c>
      <c r="AN539" s="1">
        <v>0</v>
      </c>
      <c r="AO539" s="1">
        <v>67417048</v>
      </c>
      <c r="AP539" s="1">
        <v>30535049</v>
      </c>
      <c r="AQ539" s="1">
        <v>36881999</v>
      </c>
      <c r="AR539" s="1">
        <v>12876657</v>
      </c>
      <c r="AS539" s="1">
        <v>1931499</v>
      </c>
      <c r="AT539" s="1">
        <f t="shared" si="54"/>
        <v>82225204</v>
      </c>
    </row>
    <row r="540" spans="1:46" x14ac:dyDescent="0.2">
      <c r="A540" s="1" t="str">
        <f>"00625"</f>
        <v>00625</v>
      </c>
      <c r="B540" s="1" t="str">
        <f>"رضا"</f>
        <v>رضا</v>
      </c>
      <c r="C540" s="1" t="str">
        <f>"زنده بودي"</f>
        <v>زنده بودي</v>
      </c>
      <c r="D540" s="1" t="str">
        <f t="shared" si="55"/>
        <v>قراردادي بهره بردار</v>
      </c>
      <c r="E540" s="1" t="str">
        <f t="shared" si="57"/>
        <v>پروژه بهره برداري نيروگاه بوشهر</v>
      </c>
      <c r="F540" s="1">
        <v>20813524</v>
      </c>
      <c r="G540" s="1">
        <v>4630929</v>
      </c>
      <c r="H540" s="1">
        <v>0</v>
      </c>
      <c r="I540" s="1">
        <v>17780550</v>
      </c>
      <c r="J540" s="1">
        <v>0</v>
      </c>
      <c r="K540" s="1">
        <v>5500000</v>
      </c>
      <c r="L540" s="1">
        <v>0</v>
      </c>
      <c r="M540" s="1">
        <v>1000000</v>
      </c>
      <c r="N540" s="1">
        <v>3546908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1387000</v>
      </c>
      <c r="U540" s="1">
        <v>0</v>
      </c>
      <c r="V540" s="1">
        <v>13020162</v>
      </c>
      <c r="W540" s="1">
        <v>1900000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2957400</v>
      </c>
      <c r="AD540" s="1">
        <v>0</v>
      </c>
      <c r="AE540" s="1">
        <v>2533506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4974828</v>
      </c>
      <c r="AM540" s="1">
        <v>0</v>
      </c>
      <c r="AN540" s="1">
        <v>0</v>
      </c>
      <c r="AO540" s="1">
        <v>80044807</v>
      </c>
      <c r="AP540" s="1">
        <v>27052528</v>
      </c>
      <c r="AQ540" s="1">
        <v>52992279</v>
      </c>
      <c r="AR540" s="1">
        <v>16008961</v>
      </c>
      <c r="AS540" s="1">
        <v>2401344</v>
      </c>
      <c r="AT540" s="1">
        <f t="shared" si="54"/>
        <v>98455112</v>
      </c>
    </row>
    <row r="541" spans="1:46" x14ac:dyDescent="0.2">
      <c r="A541" s="1" t="str">
        <f>"00626"</f>
        <v>00626</v>
      </c>
      <c r="B541" s="1" t="str">
        <f>"عباد الله"</f>
        <v>عباد الله</v>
      </c>
      <c r="C541" s="1" t="str">
        <f>"سلطاني"</f>
        <v>سلطاني</v>
      </c>
      <c r="D541" s="1" t="str">
        <f t="shared" si="55"/>
        <v>قراردادي بهره بردار</v>
      </c>
      <c r="E541" s="1" t="str">
        <f t="shared" si="57"/>
        <v>پروژه بهره برداري نيروگاه بوشهر</v>
      </c>
      <c r="F541" s="1">
        <v>14372964</v>
      </c>
      <c r="G541" s="1">
        <v>6784266</v>
      </c>
      <c r="H541" s="1">
        <v>0</v>
      </c>
      <c r="I541" s="1">
        <v>11481301</v>
      </c>
      <c r="J541" s="1">
        <v>0</v>
      </c>
      <c r="K541" s="1">
        <v>0</v>
      </c>
      <c r="L541" s="1">
        <v>0</v>
      </c>
      <c r="M541" s="1">
        <v>1000000</v>
      </c>
      <c r="N541" s="1">
        <v>2749506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1387000</v>
      </c>
      <c r="U541" s="1">
        <v>0</v>
      </c>
      <c r="V541" s="1">
        <v>13530788</v>
      </c>
      <c r="W541" s="1">
        <v>1900000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1963933</v>
      </c>
      <c r="AF541" s="1">
        <v>1516881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6502951</v>
      </c>
      <c r="AM541" s="1">
        <v>0</v>
      </c>
      <c r="AN541" s="1">
        <v>0</v>
      </c>
      <c r="AO541" s="1">
        <v>63189590</v>
      </c>
      <c r="AP541" s="1">
        <v>27119994</v>
      </c>
      <c r="AQ541" s="1">
        <v>36069596</v>
      </c>
      <c r="AR541" s="1">
        <v>12334542</v>
      </c>
      <c r="AS541" s="1">
        <v>1850181</v>
      </c>
      <c r="AT541" s="1">
        <f t="shared" si="54"/>
        <v>77374313</v>
      </c>
    </row>
    <row r="542" spans="1:46" x14ac:dyDescent="0.2">
      <c r="A542" s="1" t="str">
        <f>"00627"</f>
        <v>00627</v>
      </c>
      <c r="B542" s="1" t="str">
        <f>"مريم"</f>
        <v>مريم</v>
      </c>
      <c r="C542" s="1" t="str">
        <f>"صفاريان"</f>
        <v>صفاريان</v>
      </c>
      <c r="D542" s="1" t="str">
        <f t="shared" si="55"/>
        <v>قراردادي بهره بردار</v>
      </c>
      <c r="E542" s="1" t="str">
        <f t="shared" si="57"/>
        <v>پروژه بهره برداري نيروگاه بوشهر</v>
      </c>
      <c r="F542" s="1">
        <v>23571573</v>
      </c>
      <c r="G542" s="1">
        <v>423583</v>
      </c>
      <c r="H542" s="1">
        <v>0</v>
      </c>
      <c r="I542" s="1">
        <v>16897707</v>
      </c>
      <c r="J542" s="1">
        <v>0</v>
      </c>
      <c r="K542" s="1">
        <v>4125000</v>
      </c>
      <c r="L542" s="1">
        <v>0</v>
      </c>
      <c r="M542" s="1">
        <v>1000000</v>
      </c>
      <c r="N542" s="1">
        <v>3578344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1387000</v>
      </c>
      <c r="U542" s="1">
        <v>0</v>
      </c>
      <c r="V542" s="1">
        <v>8940303</v>
      </c>
      <c r="W542" s="1">
        <v>1900000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2555960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4483857</v>
      </c>
      <c r="AM542" s="1">
        <v>0</v>
      </c>
      <c r="AN542" s="1">
        <v>0</v>
      </c>
      <c r="AO542" s="1">
        <v>68863327</v>
      </c>
      <c r="AP542" s="1">
        <v>23086028</v>
      </c>
      <c r="AQ542" s="1">
        <v>45777299</v>
      </c>
      <c r="AR542" s="1">
        <v>13772665</v>
      </c>
      <c r="AS542" s="1">
        <v>2065900</v>
      </c>
      <c r="AT542" s="1">
        <f t="shared" si="54"/>
        <v>84701892</v>
      </c>
    </row>
    <row r="543" spans="1:46" x14ac:dyDescent="0.2">
      <c r="A543" s="1" t="str">
        <f>"00628"</f>
        <v>00628</v>
      </c>
      <c r="B543" s="1" t="str">
        <f>"رضا"</f>
        <v>رضا</v>
      </c>
      <c r="C543" s="1" t="str">
        <f>"صفري"</f>
        <v>صفري</v>
      </c>
      <c r="D543" s="1" t="str">
        <f t="shared" si="55"/>
        <v>قراردادي بهره بردار</v>
      </c>
      <c r="E543" s="1" t="str">
        <f t="shared" si="57"/>
        <v>پروژه بهره برداري نيروگاه بوشهر</v>
      </c>
      <c r="F543" s="1">
        <v>16381805</v>
      </c>
      <c r="G543" s="1">
        <v>0</v>
      </c>
      <c r="H543" s="1">
        <v>0</v>
      </c>
      <c r="I543" s="1">
        <v>12167069</v>
      </c>
      <c r="J543" s="1">
        <v>0</v>
      </c>
      <c r="K543" s="1">
        <v>4620000</v>
      </c>
      <c r="L543" s="1">
        <v>0</v>
      </c>
      <c r="M543" s="1">
        <v>1000000</v>
      </c>
      <c r="N543" s="1">
        <v>3211079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1387000</v>
      </c>
      <c r="U543" s="1">
        <v>0</v>
      </c>
      <c r="V543" s="1">
        <v>8929464</v>
      </c>
      <c r="W543" s="1">
        <v>1900000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2293628</v>
      </c>
      <c r="AF543" s="1">
        <v>3033762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4770177</v>
      </c>
      <c r="AM543" s="1">
        <v>0</v>
      </c>
      <c r="AN543" s="1">
        <v>0</v>
      </c>
      <c r="AO543" s="1">
        <v>59693984</v>
      </c>
      <c r="AP543" s="1">
        <v>22625038</v>
      </c>
      <c r="AQ543" s="1">
        <v>37068946</v>
      </c>
      <c r="AR543" s="1">
        <v>11332044</v>
      </c>
      <c r="AS543" s="1">
        <v>1699807</v>
      </c>
      <c r="AT543" s="1">
        <f t="shared" si="54"/>
        <v>72725835</v>
      </c>
    </row>
    <row r="544" spans="1:46" x14ac:dyDescent="0.2">
      <c r="A544" s="1" t="str">
        <f>"00629"</f>
        <v>00629</v>
      </c>
      <c r="B544" s="1" t="str">
        <f>"علي اکبر"</f>
        <v>علي اکبر</v>
      </c>
      <c r="C544" s="1" t="str">
        <f>"غلامي چنگلوايي"</f>
        <v>غلامي چنگلوايي</v>
      </c>
      <c r="D544" s="1" t="str">
        <f t="shared" si="55"/>
        <v>قراردادي بهره بردار</v>
      </c>
      <c r="E544" s="1" t="str">
        <f t="shared" si="57"/>
        <v>پروژه بهره برداري نيروگاه بوشهر</v>
      </c>
      <c r="F544" s="1">
        <v>18552756</v>
      </c>
      <c r="G544" s="1">
        <v>3194575</v>
      </c>
      <c r="H544" s="1">
        <v>0</v>
      </c>
      <c r="I544" s="1">
        <v>13728695</v>
      </c>
      <c r="J544" s="1">
        <v>0</v>
      </c>
      <c r="K544" s="1">
        <v>4125000</v>
      </c>
      <c r="L544" s="1">
        <v>0</v>
      </c>
      <c r="M544" s="1">
        <v>1000000</v>
      </c>
      <c r="N544" s="1">
        <v>3135173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1387000</v>
      </c>
      <c r="U544" s="1">
        <v>0</v>
      </c>
      <c r="V544" s="1">
        <v>13718692</v>
      </c>
      <c r="W544" s="1">
        <v>1900000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2239409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5214882</v>
      </c>
      <c r="AM544" s="1">
        <v>0</v>
      </c>
      <c r="AN544" s="1">
        <v>0</v>
      </c>
      <c r="AO544" s="1">
        <v>68196182</v>
      </c>
      <c r="AP544" s="1">
        <v>26773286</v>
      </c>
      <c r="AQ544" s="1">
        <v>41422896</v>
      </c>
      <c r="AR544" s="1">
        <v>13639236</v>
      </c>
      <c r="AS544" s="1">
        <v>2045885</v>
      </c>
      <c r="AT544" s="1">
        <f t="shared" si="54"/>
        <v>83881303</v>
      </c>
    </row>
    <row r="545" spans="1:46" x14ac:dyDescent="0.2">
      <c r="A545" s="1" t="str">
        <f>"00630"</f>
        <v>00630</v>
      </c>
      <c r="B545" s="1" t="str">
        <f>"عباس"</f>
        <v>عباس</v>
      </c>
      <c r="C545" s="1" t="str">
        <f>"قادري"</f>
        <v>قادري</v>
      </c>
      <c r="D545" s="1" t="str">
        <f t="shared" si="55"/>
        <v>قراردادي بهره بردار</v>
      </c>
      <c r="E545" s="1" t="str">
        <f t="shared" si="57"/>
        <v>پروژه بهره برداري نيروگاه بوشهر</v>
      </c>
      <c r="F545" s="1">
        <v>23683297</v>
      </c>
      <c r="G545" s="1">
        <v>0</v>
      </c>
      <c r="H545" s="1">
        <v>0</v>
      </c>
      <c r="I545" s="1">
        <v>18186659</v>
      </c>
      <c r="J545" s="1">
        <v>0</v>
      </c>
      <c r="K545" s="1">
        <v>5500000</v>
      </c>
      <c r="L545" s="1">
        <v>0</v>
      </c>
      <c r="M545" s="1">
        <v>1000000</v>
      </c>
      <c r="N545" s="1">
        <v>3617448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1387000</v>
      </c>
      <c r="U545" s="1">
        <v>0</v>
      </c>
      <c r="V545" s="1">
        <v>15766508</v>
      </c>
      <c r="W545" s="1">
        <v>1900000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2583891</v>
      </c>
      <c r="AF545" s="1">
        <v>1516881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5374494</v>
      </c>
      <c r="AM545" s="1">
        <v>0</v>
      </c>
      <c r="AN545" s="1">
        <v>0</v>
      </c>
      <c r="AO545" s="1">
        <v>80516178</v>
      </c>
      <c r="AP545" s="1">
        <v>40899688</v>
      </c>
      <c r="AQ545" s="1">
        <v>39616490</v>
      </c>
      <c r="AR545" s="1">
        <v>15799859</v>
      </c>
      <c r="AS545" s="1">
        <v>2369979</v>
      </c>
      <c r="AT545" s="1">
        <f t="shared" si="54"/>
        <v>98686016</v>
      </c>
    </row>
    <row r="546" spans="1:46" x14ac:dyDescent="0.2">
      <c r="A546" s="1" t="str">
        <f>"00631"</f>
        <v>00631</v>
      </c>
      <c r="B546" s="1" t="str">
        <f>"احمد"</f>
        <v>احمد</v>
      </c>
      <c r="C546" s="1" t="str">
        <f>"كشت ريز"</f>
        <v>كشت ريز</v>
      </c>
      <c r="D546" s="1" t="str">
        <f t="shared" si="55"/>
        <v>قراردادي بهره بردار</v>
      </c>
      <c r="E546" s="1" t="str">
        <f>"پروژه تعميرات نيروگاه بوشهر"</f>
        <v>پروژه تعميرات نيروگاه بوشهر</v>
      </c>
      <c r="F546" s="1">
        <v>16896612</v>
      </c>
      <c r="G546" s="1">
        <v>7015142</v>
      </c>
      <c r="H546" s="1">
        <v>0</v>
      </c>
      <c r="I546" s="1">
        <v>16810854</v>
      </c>
      <c r="J546" s="1">
        <v>0</v>
      </c>
      <c r="K546" s="1">
        <v>4620000</v>
      </c>
      <c r="L546" s="1">
        <v>0</v>
      </c>
      <c r="M546" s="1">
        <v>1000000</v>
      </c>
      <c r="N546" s="1">
        <v>3391262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1387000</v>
      </c>
      <c r="U546" s="1">
        <v>0</v>
      </c>
      <c r="V546" s="1">
        <v>11695834</v>
      </c>
      <c r="W546" s="1">
        <v>1900000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2422330</v>
      </c>
      <c r="AF546" s="1">
        <v>3033762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7262279</v>
      </c>
      <c r="AM546" s="1">
        <v>0</v>
      </c>
      <c r="AN546" s="1">
        <v>0</v>
      </c>
      <c r="AO546" s="1">
        <v>77435075</v>
      </c>
      <c r="AP546" s="1">
        <v>9108090</v>
      </c>
      <c r="AQ546" s="1">
        <v>68326985</v>
      </c>
      <c r="AR546" s="1">
        <v>14880263</v>
      </c>
      <c r="AS546" s="1">
        <v>2232039</v>
      </c>
      <c r="AT546" s="1">
        <f t="shared" si="54"/>
        <v>94547377</v>
      </c>
    </row>
    <row r="547" spans="1:46" x14ac:dyDescent="0.2">
      <c r="A547" s="1" t="str">
        <f>"00632"</f>
        <v>00632</v>
      </c>
      <c r="B547" s="1" t="str">
        <f>"احمدرضا"</f>
        <v>احمدرضا</v>
      </c>
      <c r="C547" s="1" t="str">
        <f>"گل بهار حقيقي"</f>
        <v>گل بهار حقيقي</v>
      </c>
      <c r="D547" s="1" t="str">
        <f t="shared" si="55"/>
        <v>قراردادي بهره بردار</v>
      </c>
      <c r="E547" s="1" t="str">
        <f>"پروژه تعميرات نيروگاه بوشهر"</f>
        <v>پروژه تعميرات نيروگاه بوشهر</v>
      </c>
      <c r="F547" s="1">
        <v>23781877</v>
      </c>
      <c r="G547" s="1">
        <v>2602680</v>
      </c>
      <c r="H547" s="1">
        <v>0</v>
      </c>
      <c r="I547" s="1">
        <v>21781711</v>
      </c>
      <c r="J547" s="1">
        <v>0</v>
      </c>
      <c r="K547" s="1">
        <v>5500000</v>
      </c>
      <c r="L547" s="1">
        <v>0</v>
      </c>
      <c r="M547" s="1">
        <v>1000000</v>
      </c>
      <c r="N547" s="1">
        <v>3651951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1606000</v>
      </c>
      <c r="U547" s="1">
        <v>0</v>
      </c>
      <c r="V547" s="1">
        <v>15682832</v>
      </c>
      <c r="W547" s="1">
        <v>1900000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2608536</v>
      </c>
      <c r="AF547" s="1">
        <v>1516881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6260487</v>
      </c>
      <c r="AM547" s="1">
        <v>0</v>
      </c>
      <c r="AN547" s="1">
        <v>0</v>
      </c>
      <c r="AO547" s="1">
        <v>87892955</v>
      </c>
      <c r="AP547" s="1">
        <v>33073760</v>
      </c>
      <c r="AQ547" s="1">
        <v>54819195</v>
      </c>
      <c r="AR547" s="1">
        <v>17275215</v>
      </c>
      <c r="AS547" s="1">
        <v>2591282</v>
      </c>
      <c r="AT547" s="1">
        <f t="shared" si="54"/>
        <v>107759452</v>
      </c>
    </row>
    <row r="548" spans="1:46" x14ac:dyDescent="0.2">
      <c r="A548" s="1" t="str">
        <f>"00634"</f>
        <v>00634</v>
      </c>
      <c r="B548" s="1" t="str">
        <f>"امير"</f>
        <v>امير</v>
      </c>
      <c r="C548" s="1" t="str">
        <f>"ماهوتي"</f>
        <v>ماهوتي</v>
      </c>
      <c r="D548" s="1" t="str">
        <f t="shared" si="55"/>
        <v>قراردادي بهره بردار</v>
      </c>
      <c r="E548" s="1" t="str">
        <f>"پروژه بهره برداري نيروگاه بوشهر"</f>
        <v>پروژه بهره برداري نيروگاه بوشهر</v>
      </c>
      <c r="F548" s="1">
        <v>14096940</v>
      </c>
      <c r="G548" s="1">
        <v>5201249</v>
      </c>
      <c r="H548" s="1">
        <v>0</v>
      </c>
      <c r="I548" s="1">
        <v>10886248</v>
      </c>
      <c r="J548" s="1">
        <v>0</v>
      </c>
      <c r="K548" s="1">
        <v>4620000</v>
      </c>
      <c r="L548" s="1">
        <v>0</v>
      </c>
      <c r="M548" s="1">
        <v>1000000</v>
      </c>
      <c r="N548" s="1">
        <v>2652897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1387000</v>
      </c>
      <c r="U548" s="1">
        <v>0</v>
      </c>
      <c r="V548" s="1">
        <v>12536501</v>
      </c>
      <c r="W548" s="1">
        <v>1900000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1894927</v>
      </c>
      <c r="AF548" s="1">
        <v>1516881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7071910</v>
      </c>
      <c r="AM548" s="1">
        <v>0</v>
      </c>
      <c r="AN548" s="1">
        <v>0</v>
      </c>
      <c r="AO548" s="1">
        <v>64764553</v>
      </c>
      <c r="AP548" s="1">
        <v>27407082</v>
      </c>
      <c r="AQ548" s="1">
        <v>37357471</v>
      </c>
      <c r="AR548" s="1">
        <v>12649534</v>
      </c>
      <c r="AS548" s="1">
        <v>1897430</v>
      </c>
      <c r="AT548" s="1">
        <f t="shared" si="54"/>
        <v>79311517</v>
      </c>
    </row>
    <row r="549" spans="1:46" x14ac:dyDescent="0.2">
      <c r="A549" s="1" t="str">
        <f>"00635"</f>
        <v>00635</v>
      </c>
      <c r="B549" s="1" t="str">
        <f>"احسان"</f>
        <v>احسان</v>
      </c>
      <c r="C549" s="1" t="str">
        <f>"محبي"</f>
        <v>محبي</v>
      </c>
      <c r="D549" s="1" t="str">
        <f t="shared" si="55"/>
        <v>قراردادي بهره بردار</v>
      </c>
      <c r="E549" s="1" t="str">
        <f>"پروژه بهره برداري نيروگاه بوشهر"</f>
        <v>پروژه بهره برداري نيروگاه بوشهر</v>
      </c>
      <c r="F549" s="1">
        <v>18178152</v>
      </c>
      <c r="G549" s="1">
        <v>6281048</v>
      </c>
      <c r="H549" s="1">
        <v>0</v>
      </c>
      <c r="I549" s="1">
        <v>13275420</v>
      </c>
      <c r="J549" s="1">
        <v>0</v>
      </c>
      <c r="K549" s="1">
        <v>5500000</v>
      </c>
      <c r="L549" s="1">
        <v>0</v>
      </c>
      <c r="M549" s="1">
        <v>1000000</v>
      </c>
      <c r="N549" s="1">
        <v>3004061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1387000</v>
      </c>
      <c r="U549" s="1">
        <v>0</v>
      </c>
      <c r="V549" s="1">
        <v>13486579</v>
      </c>
      <c r="W549" s="1">
        <v>1900000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2145758</v>
      </c>
      <c r="AF549" s="1">
        <v>1516881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5542168</v>
      </c>
      <c r="AM549" s="1">
        <v>0</v>
      </c>
      <c r="AN549" s="1">
        <v>0</v>
      </c>
      <c r="AO549" s="1">
        <v>73217067</v>
      </c>
      <c r="AP549" s="1">
        <v>27996126</v>
      </c>
      <c r="AQ549" s="1">
        <v>45220941</v>
      </c>
      <c r="AR549" s="1">
        <v>14340037</v>
      </c>
      <c r="AS549" s="1">
        <v>2151006</v>
      </c>
      <c r="AT549" s="1">
        <f t="shared" si="54"/>
        <v>89708110</v>
      </c>
    </row>
    <row r="550" spans="1:46" x14ac:dyDescent="0.2">
      <c r="A550" s="1" t="str">
        <f>"00636"</f>
        <v>00636</v>
      </c>
      <c r="B550" s="1" t="str">
        <f>"حميد"</f>
        <v>حميد</v>
      </c>
      <c r="C550" s="1" t="str">
        <f>"محمدي"</f>
        <v>محمدي</v>
      </c>
      <c r="D550" s="1" t="str">
        <f t="shared" si="55"/>
        <v>قراردادي بهره بردار</v>
      </c>
      <c r="E550" s="1" t="str">
        <f>"پروژه بهره برداري نيروگاه بوشهر"</f>
        <v>پروژه بهره برداري نيروگاه بوشهر</v>
      </c>
      <c r="F550" s="1">
        <v>17915272</v>
      </c>
      <c r="G550" s="1">
        <v>5891109</v>
      </c>
      <c r="H550" s="1">
        <v>0</v>
      </c>
      <c r="I550" s="1">
        <v>14429483</v>
      </c>
      <c r="J550" s="1">
        <v>0</v>
      </c>
      <c r="K550" s="1">
        <v>5500000</v>
      </c>
      <c r="L550" s="1">
        <v>0</v>
      </c>
      <c r="M550" s="1">
        <v>1000000</v>
      </c>
      <c r="N550" s="1">
        <v>2912053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1606000</v>
      </c>
      <c r="U550" s="1">
        <v>0</v>
      </c>
      <c r="V550" s="1">
        <v>10435679</v>
      </c>
      <c r="W550" s="1">
        <v>1900000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2080038</v>
      </c>
      <c r="AF550" s="1">
        <v>1516881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4405869</v>
      </c>
      <c r="AM550" s="1">
        <v>0</v>
      </c>
      <c r="AN550" s="1">
        <v>0</v>
      </c>
      <c r="AO550" s="1">
        <v>69592384</v>
      </c>
      <c r="AP550" s="1">
        <v>28285153</v>
      </c>
      <c r="AQ550" s="1">
        <v>41307231</v>
      </c>
      <c r="AR550" s="1">
        <v>13615101</v>
      </c>
      <c r="AS550" s="1">
        <v>2042265</v>
      </c>
      <c r="AT550" s="1">
        <f t="shared" si="54"/>
        <v>85249750</v>
      </c>
    </row>
    <row r="551" spans="1:46" x14ac:dyDescent="0.2">
      <c r="A551" s="1" t="str">
        <f>"00637"</f>
        <v>00637</v>
      </c>
      <c r="B551" s="1" t="str">
        <f>"مصطفي"</f>
        <v>مصطفي</v>
      </c>
      <c r="C551" s="1" t="str">
        <f>"مرادپور"</f>
        <v>مرادپور</v>
      </c>
      <c r="D551" s="1" t="str">
        <f t="shared" si="55"/>
        <v>قراردادي بهره بردار</v>
      </c>
      <c r="E551" s="1" t="str">
        <f>"پروژه تعميرات نيروگاه بوشهر"</f>
        <v>پروژه تعميرات نيروگاه بوشهر</v>
      </c>
      <c r="F551" s="1">
        <v>18931741</v>
      </c>
      <c r="G551" s="1">
        <v>0</v>
      </c>
      <c r="H551" s="1">
        <v>0</v>
      </c>
      <c r="I551" s="1">
        <v>15233028</v>
      </c>
      <c r="J551" s="1">
        <v>0</v>
      </c>
      <c r="K551" s="1">
        <v>5500000</v>
      </c>
      <c r="L551" s="1">
        <v>0</v>
      </c>
      <c r="M551" s="1">
        <v>1000000</v>
      </c>
      <c r="N551" s="1">
        <v>3267817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1387000</v>
      </c>
      <c r="U551" s="1">
        <v>0</v>
      </c>
      <c r="V551" s="1">
        <v>11690245</v>
      </c>
      <c r="W551" s="1">
        <v>1900000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2334155</v>
      </c>
      <c r="AF551" s="1">
        <v>0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5195735</v>
      </c>
      <c r="AM551" s="1">
        <v>0</v>
      </c>
      <c r="AN551" s="1">
        <v>0</v>
      </c>
      <c r="AO551" s="1">
        <v>66439721</v>
      </c>
      <c r="AP551" s="1">
        <v>12026876</v>
      </c>
      <c r="AQ551" s="1">
        <v>54412845</v>
      </c>
      <c r="AR551" s="1">
        <v>13287944</v>
      </c>
      <c r="AS551" s="1">
        <v>1993192</v>
      </c>
      <c r="AT551" s="1">
        <f t="shared" si="54"/>
        <v>81720857</v>
      </c>
    </row>
    <row r="552" spans="1:46" x14ac:dyDescent="0.2">
      <c r="A552" s="1" t="str">
        <f>"00638"</f>
        <v>00638</v>
      </c>
      <c r="B552" s="1" t="str">
        <f>"عبدالرسول"</f>
        <v>عبدالرسول</v>
      </c>
      <c r="C552" s="1" t="str">
        <f>"مهدي پور"</f>
        <v>مهدي پور</v>
      </c>
      <c r="D552" s="1" t="str">
        <f t="shared" si="55"/>
        <v>قراردادي بهره بردار</v>
      </c>
      <c r="E552" s="1" t="str">
        <f>"پروژه تعميرات نيروگاه بوشهر"</f>
        <v>پروژه تعميرات نيروگاه بوشهر</v>
      </c>
      <c r="F552" s="1">
        <v>18300829</v>
      </c>
      <c r="G552" s="1">
        <v>0</v>
      </c>
      <c r="H552" s="1">
        <v>0</v>
      </c>
      <c r="I552" s="1">
        <v>9446382</v>
      </c>
      <c r="J552" s="1">
        <v>0</v>
      </c>
      <c r="K552" s="1">
        <v>5500000</v>
      </c>
      <c r="L552" s="1">
        <v>0</v>
      </c>
      <c r="M552" s="1">
        <v>1000000</v>
      </c>
      <c r="N552" s="1">
        <v>3219513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1387000</v>
      </c>
      <c r="U552" s="1">
        <v>0</v>
      </c>
      <c r="V552" s="1">
        <v>3770182</v>
      </c>
      <c r="W552" s="1">
        <v>1900000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2299652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4435443</v>
      </c>
      <c r="AM552" s="1">
        <v>0</v>
      </c>
      <c r="AN552" s="1">
        <v>0</v>
      </c>
      <c r="AO552" s="1">
        <v>51259001</v>
      </c>
      <c r="AP552" s="1">
        <v>6100469</v>
      </c>
      <c r="AQ552" s="1">
        <v>45158532</v>
      </c>
      <c r="AR552" s="1">
        <v>10251800</v>
      </c>
      <c r="AS552" s="1">
        <v>1537770</v>
      </c>
      <c r="AT552" s="1">
        <f t="shared" si="54"/>
        <v>63048571</v>
      </c>
    </row>
    <row r="553" spans="1:46" x14ac:dyDescent="0.2">
      <c r="A553" s="1" t="str">
        <f>"00639"</f>
        <v>00639</v>
      </c>
      <c r="B553" s="1" t="str">
        <f>"امين"</f>
        <v>امين</v>
      </c>
      <c r="C553" s="1" t="str">
        <f>"ناصرپور"</f>
        <v>ناصرپور</v>
      </c>
      <c r="D553" s="1" t="str">
        <f t="shared" si="55"/>
        <v>قراردادي بهره بردار</v>
      </c>
      <c r="E553" s="1" t="str">
        <f t="shared" ref="E553:E560" si="58">"پروژه بهره برداري نيروگاه بوشهر"</f>
        <v>پروژه بهره برداري نيروگاه بوشهر</v>
      </c>
      <c r="F553" s="1">
        <v>14353248</v>
      </c>
      <c r="G553" s="1">
        <v>7173043</v>
      </c>
      <c r="H553" s="1">
        <v>0</v>
      </c>
      <c r="I553" s="1">
        <v>11704007</v>
      </c>
      <c r="J553" s="1">
        <v>0</v>
      </c>
      <c r="K553" s="1">
        <v>4620000</v>
      </c>
      <c r="L553" s="1">
        <v>0</v>
      </c>
      <c r="M553" s="1">
        <v>1000000</v>
      </c>
      <c r="N553" s="1">
        <v>2742605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1606000</v>
      </c>
      <c r="U553" s="1">
        <v>0</v>
      </c>
      <c r="V553" s="1">
        <v>13590871</v>
      </c>
      <c r="W553" s="1">
        <v>1900000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1959004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6476399</v>
      </c>
      <c r="AM553" s="1">
        <v>0</v>
      </c>
      <c r="AN553" s="1">
        <v>0</v>
      </c>
      <c r="AO553" s="1">
        <v>67125177</v>
      </c>
      <c r="AP553" s="1">
        <v>22774810</v>
      </c>
      <c r="AQ553" s="1">
        <v>44350367</v>
      </c>
      <c r="AR553" s="1">
        <v>13425035</v>
      </c>
      <c r="AS553" s="1">
        <v>2013755</v>
      </c>
      <c r="AT553" s="1">
        <f t="shared" si="54"/>
        <v>82563967</v>
      </c>
    </row>
    <row r="554" spans="1:46" x14ac:dyDescent="0.2">
      <c r="A554" s="1" t="str">
        <f>"00640"</f>
        <v>00640</v>
      </c>
      <c r="B554" s="1" t="str">
        <f>"فرزاد"</f>
        <v>فرزاد</v>
      </c>
      <c r="C554" s="1" t="str">
        <f>"نجمي جعفرلو"</f>
        <v>نجمي جعفرلو</v>
      </c>
      <c r="D554" s="1" t="str">
        <f t="shared" si="55"/>
        <v>قراردادي بهره بردار</v>
      </c>
      <c r="E554" s="1" t="str">
        <f t="shared" si="58"/>
        <v>پروژه بهره برداري نيروگاه بوشهر</v>
      </c>
      <c r="F554" s="1">
        <v>13884445</v>
      </c>
      <c r="G554" s="1">
        <v>3122725</v>
      </c>
      <c r="H554" s="1">
        <v>0</v>
      </c>
      <c r="I554" s="1">
        <v>10908048</v>
      </c>
      <c r="J554" s="1">
        <v>0</v>
      </c>
      <c r="K554" s="1">
        <v>4620000</v>
      </c>
      <c r="L554" s="1">
        <v>0</v>
      </c>
      <c r="M554" s="1">
        <v>1000000</v>
      </c>
      <c r="N554" s="1">
        <v>2578524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1387000</v>
      </c>
      <c r="U554" s="1">
        <v>0</v>
      </c>
      <c r="V554" s="1">
        <v>16701247</v>
      </c>
      <c r="W554" s="1">
        <v>1900000</v>
      </c>
      <c r="X554" s="1">
        <v>2015484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1841803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9402779</v>
      </c>
      <c r="AM554" s="1">
        <v>0</v>
      </c>
      <c r="AN554" s="1">
        <v>0</v>
      </c>
      <c r="AO554" s="1">
        <v>69362055</v>
      </c>
      <c r="AP554" s="1">
        <v>32783553</v>
      </c>
      <c r="AQ554" s="1">
        <v>36578502</v>
      </c>
      <c r="AR554" s="1">
        <v>13872411</v>
      </c>
      <c r="AS554" s="1">
        <v>2080862</v>
      </c>
      <c r="AT554" s="1">
        <f t="shared" si="54"/>
        <v>85315328</v>
      </c>
    </row>
    <row r="555" spans="1:46" x14ac:dyDescent="0.2">
      <c r="A555" s="1" t="str">
        <f>"00641"</f>
        <v>00641</v>
      </c>
      <c r="B555" s="1" t="str">
        <f>"سيدمحمد"</f>
        <v>سيدمحمد</v>
      </c>
      <c r="C555" s="1" t="str">
        <f>"نصيري سلوشي"</f>
        <v>نصيري سلوشي</v>
      </c>
      <c r="D555" s="1" t="str">
        <f t="shared" si="55"/>
        <v>قراردادي بهره بردار</v>
      </c>
      <c r="E555" s="1" t="str">
        <f t="shared" si="58"/>
        <v>پروژه بهره برداري نيروگاه بوشهر</v>
      </c>
      <c r="F555" s="1">
        <v>18487036</v>
      </c>
      <c r="G555" s="1">
        <v>2147856</v>
      </c>
      <c r="H555" s="1">
        <v>0</v>
      </c>
      <c r="I555" s="1">
        <v>12868107</v>
      </c>
      <c r="J555" s="1">
        <v>0</v>
      </c>
      <c r="K555" s="1">
        <v>5500000</v>
      </c>
      <c r="L555" s="1">
        <v>0</v>
      </c>
      <c r="M555" s="1">
        <v>1000000</v>
      </c>
      <c r="N555" s="1">
        <v>3112171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1387000</v>
      </c>
      <c r="U555" s="1">
        <v>0</v>
      </c>
      <c r="V555" s="1">
        <v>9317812</v>
      </c>
      <c r="W555" s="1">
        <v>1900000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2222979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4722201</v>
      </c>
      <c r="AM555" s="1">
        <v>0</v>
      </c>
      <c r="AN555" s="1">
        <v>0</v>
      </c>
      <c r="AO555" s="1">
        <v>62665162</v>
      </c>
      <c r="AP555" s="1">
        <v>15643686</v>
      </c>
      <c r="AQ555" s="1">
        <v>47021476</v>
      </c>
      <c r="AR555" s="1">
        <v>12533032</v>
      </c>
      <c r="AS555" s="1">
        <v>1879955</v>
      </c>
      <c r="AT555" s="1">
        <f t="shared" si="54"/>
        <v>77078149</v>
      </c>
    </row>
    <row r="556" spans="1:46" x14ac:dyDescent="0.2">
      <c r="A556" s="1" t="str">
        <f>"00642"</f>
        <v>00642</v>
      </c>
      <c r="B556" s="1" t="str">
        <f>"رضا"</f>
        <v>رضا</v>
      </c>
      <c r="C556" s="1" t="str">
        <f>"همتي"</f>
        <v>همتي</v>
      </c>
      <c r="D556" s="1" t="str">
        <f t="shared" si="55"/>
        <v>قراردادي بهره بردار</v>
      </c>
      <c r="E556" s="1" t="str">
        <f t="shared" si="58"/>
        <v>پروژه بهره برداري نيروگاه بوشهر</v>
      </c>
      <c r="F556" s="1">
        <v>14000551</v>
      </c>
      <c r="G556" s="1">
        <v>3187516</v>
      </c>
      <c r="H556" s="1">
        <v>0</v>
      </c>
      <c r="I556" s="1">
        <v>10610639</v>
      </c>
      <c r="J556" s="1">
        <v>0</v>
      </c>
      <c r="K556" s="1">
        <v>4620000</v>
      </c>
      <c r="L556" s="1">
        <v>0</v>
      </c>
      <c r="M556" s="1">
        <v>1000000</v>
      </c>
      <c r="N556" s="1">
        <v>2619161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1606000</v>
      </c>
      <c r="U556" s="1">
        <v>0</v>
      </c>
      <c r="V556" s="1">
        <v>17253060</v>
      </c>
      <c r="W556" s="1">
        <v>1900000</v>
      </c>
      <c r="X556" s="1">
        <v>2032338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1870829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10110321</v>
      </c>
      <c r="AM556" s="1">
        <v>0</v>
      </c>
      <c r="AN556" s="1">
        <v>0</v>
      </c>
      <c r="AO556" s="1">
        <v>70810415</v>
      </c>
      <c r="AP556" s="1">
        <v>8391498</v>
      </c>
      <c r="AQ556" s="1">
        <v>62418917</v>
      </c>
      <c r="AR556" s="1">
        <v>14162083</v>
      </c>
      <c r="AS556" s="1">
        <v>2124312</v>
      </c>
      <c r="AT556" s="1">
        <f t="shared" si="54"/>
        <v>87096810</v>
      </c>
    </row>
    <row r="557" spans="1:46" x14ac:dyDescent="0.2">
      <c r="A557" s="1" t="str">
        <f>"00643"</f>
        <v>00643</v>
      </c>
      <c r="B557" s="1" t="str">
        <f>"طيبه"</f>
        <v>طيبه</v>
      </c>
      <c r="C557" s="1" t="str">
        <f>"هنري فر"</f>
        <v>هنري فر</v>
      </c>
      <c r="D557" s="1" t="str">
        <f t="shared" si="55"/>
        <v>قراردادي بهره بردار</v>
      </c>
      <c r="E557" s="1" t="str">
        <f t="shared" si="58"/>
        <v>پروژه بهره برداري نيروگاه بوشهر</v>
      </c>
      <c r="F557" s="1">
        <v>14703755</v>
      </c>
      <c r="G557" s="1">
        <v>0</v>
      </c>
      <c r="H557" s="1">
        <v>0</v>
      </c>
      <c r="I557" s="1">
        <v>11795458</v>
      </c>
      <c r="J557" s="1">
        <v>0</v>
      </c>
      <c r="K557" s="1">
        <v>3465000</v>
      </c>
      <c r="L557" s="1">
        <v>0</v>
      </c>
      <c r="M557" s="1">
        <v>1000000</v>
      </c>
      <c r="N557" s="1">
        <v>2623761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1387000</v>
      </c>
      <c r="U557" s="1">
        <v>0</v>
      </c>
      <c r="V557" s="1">
        <v>3601788</v>
      </c>
      <c r="W557" s="1">
        <v>1900000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1874115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5020789</v>
      </c>
      <c r="AM557" s="1">
        <v>0</v>
      </c>
      <c r="AN557" s="1">
        <v>0</v>
      </c>
      <c r="AO557" s="1">
        <v>47371666</v>
      </c>
      <c r="AP557" s="1">
        <v>25939715</v>
      </c>
      <c r="AQ557" s="1">
        <v>21431951</v>
      </c>
      <c r="AR557" s="1">
        <v>9474333</v>
      </c>
      <c r="AS557" s="1">
        <v>1421150</v>
      </c>
      <c r="AT557" s="1">
        <f t="shared" si="54"/>
        <v>58267149</v>
      </c>
    </row>
    <row r="558" spans="1:46" x14ac:dyDescent="0.2">
      <c r="A558" s="1" t="str">
        <f>"00644"</f>
        <v>00644</v>
      </c>
      <c r="B558" s="1" t="str">
        <f>"امير"</f>
        <v>امير</v>
      </c>
      <c r="C558" s="1" t="str">
        <f>"ابراهيمي کلهرودي"</f>
        <v>ابراهيمي کلهرودي</v>
      </c>
      <c r="D558" s="1" t="str">
        <f t="shared" si="55"/>
        <v>قراردادي بهره بردار</v>
      </c>
      <c r="E558" s="1" t="str">
        <f t="shared" si="58"/>
        <v>پروژه بهره برداري نيروگاه بوشهر</v>
      </c>
      <c r="F558" s="1">
        <v>28110635</v>
      </c>
      <c r="G558" s="1">
        <v>10463018</v>
      </c>
      <c r="H558" s="1">
        <v>0</v>
      </c>
      <c r="I558" s="1">
        <v>23971666</v>
      </c>
      <c r="J558" s="1">
        <v>0</v>
      </c>
      <c r="K558" s="1">
        <v>0</v>
      </c>
      <c r="L558" s="1">
        <v>0</v>
      </c>
      <c r="M558" s="1">
        <v>1000000</v>
      </c>
      <c r="N558" s="1">
        <v>4462388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1606000</v>
      </c>
      <c r="U558" s="1">
        <v>0</v>
      </c>
      <c r="V558" s="1">
        <v>24780544</v>
      </c>
      <c r="W558" s="1">
        <v>1900000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3187420</v>
      </c>
      <c r="AF558" s="1">
        <v>1516881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8159795</v>
      </c>
      <c r="AM558" s="1">
        <v>0</v>
      </c>
      <c r="AN558" s="1">
        <v>0</v>
      </c>
      <c r="AO558" s="1">
        <v>109158347</v>
      </c>
      <c r="AP558" s="1">
        <v>46083443</v>
      </c>
      <c r="AQ558" s="1">
        <v>63074904</v>
      </c>
      <c r="AR558" s="1">
        <v>21528293</v>
      </c>
      <c r="AS558" s="1">
        <v>3229244</v>
      </c>
      <c r="AT558" s="1">
        <f t="shared" si="54"/>
        <v>133915884</v>
      </c>
    </row>
    <row r="559" spans="1:46" x14ac:dyDescent="0.2">
      <c r="A559" s="1" t="str">
        <f>"00645"</f>
        <v>00645</v>
      </c>
      <c r="B559" s="1" t="str">
        <f>"جليل"</f>
        <v>جليل</v>
      </c>
      <c r="C559" s="1" t="str">
        <f>"محرزي"</f>
        <v>محرزي</v>
      </c>
      <c r="D559" s="1" t="str">
        <f t="shared" si="55"/>
        <v>قراردادي بهره بردار</v>
      </c>
      <c r="E559" s="1" t="str">
        <f t="shared" si="58"/>
        <v>پروژه بهره برداري نيروگاه بوشهر</v>
      </c>
      <c r="F559" s="1">
        <v>14491260</v>
      </c>
      <c r="G559" s="1">
        <v>1651699</v>
      </c>
      <c r="H559" s="1">
        <v>0</v>
      </c>
      <c r="I559" s="1">
        <v>11505457</v>
      </c>
      <c r="J559" s="1">
        <v>0</v>
      </c>
      <c r="K559" s="1">
        <v>4620000</v>
      </c>
      <c r="L559" s="1">
        <v>0</v>
      </c>
      <c r="M559" s="1">
        <v>1000000</v>
      </c>
      <c r="N559" s="1">
        <v>2817745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1387000</v>
      </c>
      <c r="U559" s="1">
        <v>0</v>
      </c>
      <c r="V559" s="1">
        <v>3546505</v>
      </c>
      <c r="W559" s="1">
        <v>1900000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2012675</v>
      </c>
      <c r="AF559" s="1">
        <v>4550643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4637915</v>
      </c>
      <c r="AM559" s="1">
        <v>0</v>
      </c>
      <c r="AN559" s="1">
        <v>0</v>
      </c>
      <c r="AO559" s="1">
        <v>54120899</v>
      </c>
      <c r="AP559" s="1">
        <v>5212316</v>
      </c>
      <c r="AQ559" s="1">
        <v>48908583</v>
      </c>
      <c r="AR559" s="1">
        <v>9914051</v>
      </c>
      <c r="AS559" s="1">
        <v>1487108</v>
      </c>
      <c r="AT559" s="1">
        <f t="shared" si="54"/>
        <v>65522058</v>
      </c>
    </row>
    <row r="560" spans="1:46" x14ac:dyDescent="0.2">
      <c r="A560" s="1" t="str">
        <f>"00646"</f>
        <v>00646</v>
      </c>
      <c r="B560" s="1" t="str">
        <f>"نعيم"</f>
        <v>نعيم</v>
      </c>
      <c r="C560" s="1" t="str">
        <f>"غنچه"</f>
        <v>غنچه</v>
      </c>
      <c r="D560" s="1" t="str">
        <f t="shared" si="55"/>
        <v>قراردادي بهره بردار</v>
      </c>
      <c r="E560" s="1" t="str">
        <f t="shared" si="58"/>
        <v>پروژه بهره برداري نيروگاه بوشهر</v>
      </c>
      <c r="F560" s="1">
        <v>14230571</v>
      </c>
      <c r="G560" s="1">
        <v>6895681</v>
      </c>
      <c r="H560" s="1">
        <v>0</v>
      </c>
      <c r="I560" s="1">
        <v>11927774</v>
      </c>
      <c r="J560" s="1">
        <v>0</v>
      </c>
      <c r="K560" s="1">
        <v>0</v>
      </c>
      <c r="L560" s="1">
        <v>0</v>
      </c>
      <c r="M560" s="1">
        <v>1000000</v>
      </c>
      <c r="N560" s="1">
        <v>2699668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1606000</v>
      </c>
      <c r="U560" s="1">
        <v>0</v>
      </c>
      <c r="V560" s="1">
        <v>8305979</v>
      </c>
      <c r="W560" s="1">
        <v>1900000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1928334</v>
      </c>
      <c r="AF560" s="1">
        <v>1516881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5326606</v>
      </c>
      <c r="AM560" s="1">
        <v>0</v>
      </c>
      <c r="AN560" s="1">
        <v>0</v>
      </c>
      <c r="AO560" s="1">
        <v>57337494</v>
      </c>
      <c r="AP560" s="1">
        <v>20490326</v>
      </c>
      <c r="AQ560" s="1">
        <v>36847168</v>
      </c>
      <c r="AR560" s="1">
        <v>11164123</v>
      </c>
      <c r="AS560" s="1">
        <v>1674618</v>
      </c>
      <c r="AT560" s="1">
        <f t="shared" si="54"/>
        <v>70176235</v>
      </c>
    </row>
    <row r="561" spans="1:46" x14ac:dyDescent="0.2">
      <c r="A561" s="1" t="str">
        <f>"00648"</f>
        <v>00648</v>
      </c>
      <c r="B561" s="1" t="str">
        <f>"مسعود"</f>
        <v>مسعود</v>
      </c>
      <c r="C561" s="1" t="str">
        <f>"سليماني"</f>
        <v>سليماني</v>
      </c>
      <c r="D561" s="1" t="str">
        <f>"قراردادي کارگري"</f>
        <v>قراردادي کارگري</v>
      </c>
      <c r="E561" s="1" t="str">
        <f>"پروژه تعميرات نيروگاه بوشهر"</f>
        <v>پروژه تعميرات نيروگاه بوشهر</v>
      </c>
      <c r="F561" s="1">
        <v>11997391</v>
      </c>
      <c r="G561" s="1">
        <v>28944013</v>
      </c>
      <c r="H561" s="1">
        <v>0</v>
      </c>
      <c r="I561" s="1">
        <v>11157574</v>
      </c>
      <c r="J561" s="1">
        <v>0</v>
      </c>
      <c r="K561" s="1">
        <v>0</v>
      </c>
      <c r="L561" s="1">
        <v>7462913</v>
      </c>
      <c r="M561" s="1">
        <v>1000000</v>
      </c>
      <c r="N561" s="1">
        <v>6398609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4001316</v>
      </c>
      <c r="W561" s="1">
        <v>1900000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3033762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75895578</v>
      </c>
      <c r="AP561" s="1">
        <v>8995852</v>
      </c>
      <c r="AQ561" s="1">
        <v>66899726</v>
      </c>
      <c r="AR561" s="1">
        <v>14572363</v>
      </c>
      <c r="AS561" s="1">
        <v>2185854</v>
      </c>
      <c r="AT561" s="1">
        <f t="shared" si="54"/>
        <v>92653795</v>
      </c>
    </row>
    <row r="562" spans="1:46" x14ac:dyDescent="0.2">
      <c r="A562" s="1" t="str">
        <f>"00649"</f>
        <v>00649</v>
      </c>
      <c r="B562" s="1" t="str">
        <f>"فريبا"</f>
        <v>فريبا</v>
      </c>
      <c r="C562" s="1" t="str">
        <f>"صيانت"</f>
        <v>صيانت</v>
      </c>
      <c r="D562" s="1" t="str">
        <f>"قراردادي بهره بردار"</f>
        <v>قراردادي بهره بردار</v>
      </c>
      <c r="E562" s="1" t="str">
        <f>"پروژه بهره برداري نيروگاه بوشهر"</f>
        <v>پروژه بهره برداري نيروگاه بوشهر</v>
      </c>
      <c r="F562" s="1">
        <v>19113567</v>
      </c>
      <c r="G562" s="1">
        <v>3727106</v>
      </c>
      <c r="H562" s="1">
        <v>0</v>
      </c>
      <c r="I562" s="1">
        <v>18104833</v>
      </c>
      <c r="J562" s="1">
        <v>0</v>
      </c>
      <c r="K562" s="1">
        <v>3465000</v>
      </c>
      <c r="L562" s="1">
        <v>0</v>
      </c>
      <c r="M562" s="1">
        <v>1000000</v>
      </c>
      <c r="N562" s="1">
        <v>3630482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1606000</v>
      </c>
      <c r="U562" s="1">
        <v>0</v>
      </c>
      <c r="V562" s="1">
        <v>4801675</v>
      </c>
      <c r="W562" s="1">
        <v>1900000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2593202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4574660</v>
      </c>
      <c r="AM562" s="1">
        <v>0</v>
      </c>
      <c r="AN562" s="1">
        <v>0</v>
      </c>
      <c r="AO562" s="1">
        <v>64516525</v>
      </c>
      <c r="AP562" s="1">
        <v>9665594</v>
      </c>
      <c r="AQ562" s="1">
        <v>54850931</v>
      </c>
      <c r="AR562" s="1">
        <v>12903305</v>
      </c>
      <c r="AS562" s="1">
        <v>1935496</v>
      </c>
      <c r="AT562" s="1">
        <f t="shared" si="54"/>
        <v>79355326</v>
      </c>
    </row>
    <row r="563" spans="1:46" x14ac:dyDescent="0.2">
      <c r="A563" s="1" t="str">
        <f>"00650"</f>
        <v>00650</v>
      </c>
      <c r="B563" s="1" t="str">
        <f>"ليلا"</f>
        <v>ليلا</v>
      </c>
      <c r="C563" s="1" t="str">
        <f>"قاسمي فر"</f>
        <v>قاسمي فر</v>
      </c>
      <c r="D563" s="1" t="str">
        <f>"قراردادي بهره بردار"</f>
        <v>قراردادي بهره بردار</v>
      </c>
      <c r="E563" s="1" t="str">
        <f>"پروژه بهره برداري نيروگاه بوشهر"</f>
        <v>پروژه بهره برداري نيروگاه بوشهر</v>
      </c>
      <c r="F563" s="1">
        <v>14787000</v>
      </c>
      <c r="G563" s="1">
        <v>1496160</v>
      </c>
      <c r="H563" s="1">
        <v>0</v>
      </c>
      <c r="I563" s="1">
        <v>14098739</v>
      </c>
      <c r="J563" s="1">
        <v>0</v>
      </c>
      <c r="K563" s="1">
        <v>0</v>
      </c>
      <c r="L563" s="1">
        <v>0</v>
      </c>
      <c r="M563" s="1">
        <v>1000000</v>
      </c>
      <c r="N563" s="1">
        <v>2921254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1606000</v>
      </c>
      <c r="U563" s="1">
        <v>0</v>
      </c>
      <c r="V563" s="1">
        <v>3855041</v>
      </c>
      <c r="W563" s="1">
        <v>1900000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2086610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4656810</v>
      </c>
      <c r="AM563" s="1">
        <v>0</v>
      </c>
      <c r="AN563" s="1">
        <v>0</v>
      </c>
      <c r="AO563" s="1">
        <v>48407614</v>
      </c>
      <c r="AP563" s="1">
        <v>18077846</v>
      </c>
      <c r="AQ563" s="1">
        <v>30329768</v>
      </c>
      <c r="AR563" s="1">
        <v>9681523</v>
      </c>
      <c r="AS563" s="1">
        <v>1452228</v>
      </c>
      <c r="AT563" s="1">
        <f t="shared" si="54"/>
        <v>59541365</v>
      </c>
    </row>
    <row r="564" spans="1:46" x14ac:dyDescent="0.2">
      <c r="A564" s="1" t="str">
        <f>"00651"</f>
        <v>00651</v>
      </c>
      <c r="B564" s="1" t="str">
        <f>"عبدالرسول"</f>
        <v>عبدالرسول</v>
      </c>
      <c r="C564" s="1" t="str">
        <f>"حاجياني"</f>
        <v>حاجياني</v>
      </c>
      <c r="D564" s="1" t="str">
        <f t="shared" ref="D564:D569" si="59">"قراردادي کارگري"</f>
        <v>قراردادي کارگري</v>
      </c>
      <c r="E564" s="1" t="str">
        <f t="shared" ref="E564:E569" si="60">"پروژه تعميرات نيروگاه بوشهر"</f>
        <v>پروژه تعميرات نيروگاه بوشهر</v>
      </c>
      <c r="F564" s="1">
        <v>7064487</v>
      </c>
      <c r="G564" s="1">
        <v>7872394</v>
      </c>
      <c r="H564" s="1">
        <v>0</v>
      </c>
      <c r="I564" s="1">
        <v>5086430</v>
      </c>
      <c r="J564" s="1">
        <v>0</v>
      </c>
      <c r="K564" s="1">
        <v>0</v>
      </c>
      <c r="L564" s="1">
        <v>7628143</v>
      </c>
      <c r="M564" s="1">
        <v>1000000</v>
      </c>
      <c r="N564" s="1">
        <v>3742776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8353328</v>
      </c>
      <c r="W564" s="1">
        <v>1900000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1516881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44164439</v>
      </c>
      <c r="AP564" s="1">
        <v>12091431</v>
      </c>
      <c r="AQ564" s="1">
        <v>32073008</v>
      </c>
      <c r="AR564" s="1">
        <v>8529512</v>
      </c>
      <c r="AS564" s="1">
        <v>1279427</v>
      </c>
      <c r="AT564" s="1">
        <f t="shared" si="54"/>
        <v>53973378</v>
      </c>
    </row>
    <row r="565" spans="1:46" x14ac:dyDescent="0.2">
      <c r="A565" s="1" t="str">
        <f>"00652"</f>
        <v>00652</v>
      </c>
      <c r="B565" s="1" t="str">
        <f>"حسين"</f>
        <v>حسين</v>
      </c>
      <c r="C565" s="1" t="str">
        <f>"انصاري"</f>
        <v>انصاري</v>
      </c>
      <c r="D565" s="1" t="str">
        <f t="shared" si="59"/>
        <v>قراردادي کارگري</v>
      </c>
      <c r="E565" s="1" t="str">
        <f t="shared" si="60"/>
        <v>پروژه تعميرات نيروگاه بوشهر</v>
      </c>
      <c r="F565" s="1">
        <v>9632275</v>
      </c>
      <c r="G565" s="1">
        <v>11258626</v>
      </c>
      <c r="H565" s="1">
        <v>0</v>
      </c>
      <c r="I565" s="1">
        <v>7127884</v>
      </c>
      <c r="J565" s="1">
        <v>0</v>
      </c>
      <c r="K565" s="1">
        <v>0</v>
      </c>
      <c r="L565" s="1">
        <v>7628143</v>
      </c>
      <c r="M565" s="1">
        <v>1000000</v>
      </c>
      <c r="N565" s="1">
        <v>5103192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10396211</v>
      </c>
      <c r="W565" s="1">
        <v>1900000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3033762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57080093</v>
      </c>
      <c r="AP565" s="1">
        <v>11252214</v>
      </c>
      <c r="AQ565" s="1">
        <v>45827879</v>
      </c>
      <c r="AR565" s="1">
        <v>10809266</v>
      </c>
      <c r="AS565" s="1">
        <v>1621390</v>
      </c>
      <c r="AT565" s="1">
        <f t="shared" si="54"/>
        <v>69510749</v>
      </c>
    </row>
    <row r="566" spans="1:46" x14ac:dyDescent="0.2">
      <c r="A566" s="1" t="str">
        <f>"00653"</f>
        <v>00653</v>
      </c>
      <c r="B566" s="1" t="str">
        <f>"حسين"</f>
        <v>حسين</v>
      </c>
      <c r="C566" s="1" t="str">
        <f>"حسن احمدي"</f>
        <v>حسن احمدي</v>
      </c>
      <c r="D566" s="1" t="str">
        <f t="shared" si="59"/>
        <v>قراردادي کارگري</v>
      </c>
      <c r="E566" s="1" t="str">
        <f t="shared" si="60"/>
        <v>پروژه تعميرات نيروگاه بوشهر</v>
      </c>
      <c r="F566" s="1">
        <v>8799426</v>
      </c>
      <c r="G566" s="1">
        <v>10510088</v>
      </c>
      <c r="H566" s="1">
        <v>0</v>
      </c>
      <c r="I566" s="1">
        <v>6423581</v>
      </c>
      <c r="J566" s="1">
        <v>0</v>
      </c>
      <c r="K566" s="1">
        <v>0</v>
      </c>
      <c r="L566" s="1">
        <v>7628143</v>
      </c>
      <c r="M566" s="1">
        <v>1000000</v>
      </c>
      <c r="N566" s="1">
        <v>4631278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9753310</v>
      </c>
      <c r="W566" s="1">
        <v>1900000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4550643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55196469</v>
      </c>
      <c r="AP566" s="1">
        <v>7193000</v>
      </c>
      <c r="AQ566" s="1">
        <v>48003469</v>
      </c>
      <c r="AR566" s="1">
        <v>10129165</v>
      </c>
      <c r="AS566" s="1">
        <v>1519375</v>
      </c>
      <c r="AT566" s="1">
        <f t="shared" si="54"/>
        <v>66845009</v>
      </c>
    </row>
    <row r="567" spans="1:46" x14ac:dyDescent="0.2">
      <c r="A567" s="1" t="str">
        <f>"00654"</f>
        <v>00654</v>
      </c>
      <c r="B567" s="1" t="str">
        <f>"محمدرضا"</f>
        <v>محمدرضا</v>
      </c>
      <c r="C567" s="1" t="str">
        <f>"تاجي اشکفتکي"</f>
        <v>تاجي اشکفتکي</v>
      </c>
      <c r="D567" s="1" t="str">
        <f t="shared" si="59"/>
        <v>قراردادي کارگري</v>
      </c>
      <c r="E567" s="1" t="str">
        <f t="shared" si="60"/>
        <v>پروژه تعميرات نيروگاه بوشهر</v>
      </c>
      <c r="F567" s="1">
        <v>7664552</v>
      </c>
      <c r="G567" s="1">
        <v>767381</v>
      </c>
      <c r="H567" s="1">
        <v>0</v>
      </c>
      <c r="I567" s="1">
        <v>4598731</v>
      </c>
      <c r="J567" s="1">
        <v>0</v>
      </c>
      <c r="K567" s="1">
        <v>0</v>
      </c>
      <c r="L567" s="1">
        <v>6016887</v>
      </c>
      <c r="M567" s="1">
        <v>1000000</v>
      </c>
      <c r="N567" s="1">
        <v>4087761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4819273</v>
      </c>
      <c r="W567" s="1">
        <v>1900000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4550643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35405228</v>
      </c>
      <c r="AP567" s="1">
        <v>3650362</v>
      </c>
      <c r="AQ567" s="1">
        <v>31754866</v>
      </c>
      <c r="AR567" s="1">
        <v>6170917</v>
      </c>
      <c r="AS567" s="1">
        <v>925638</v>
      </c>
      <c r="AT567" s="1">
        <f t="shared" si="54"/>
        <v>42501783</v>
      </c>
    </row>
    <row r="568" spans="1:46" x14ac:dyDescent="0.2">
      <c r="A568" s="1" t="str">
        <f>"00655"</f>
        <v>00655</v>
      </c>
      <c r="B568" s="1" t="str">
        <f>"عادل"</f>
        <v>عادل</v>
      </c>
      <c r="C568" s="1" t="str">
        <f>"رهامي"</f>
        <v>رهامي</v>
      </c>
      <c r="D568" s="1" t="str">
        <f t="shared" si="59"/>
        <v>قراردادي کارگري</v>
      </c>
      <c r="E568" s="1" t="str">
        <f t="shared" si="60"/>
        <v>پروژه تعميرات نيروگاه بوشهر</v>
      </c>
      <c r="F568" s="1">
        <v>9504370</v>
      </c>
      <c r="G568" s="1">
        <v>0</v>
      </c>
      <c r="H568" s="1">
        <v>0</v>
      </c>
      <c r="I568" s="1">
        <v>7698539</v>
      </c>
      <c r="J568" s="1">
        <v>0</v>
      </c>
      <c r="K568" s="1">
        <v>0</v>
      </c>
      <c r="L568" s="1">
        <v>7628143</v>
      </c>
      <c r="M568" s="1">
        <v>1000000</v>
      </c>
      <c r="N568" s="1">
        <v>5002298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10505606</v>
      </c>
      <c r="W568" s="1">
        <v>1900000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1516881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44755837</v>
      </c>
      <c r="AP568" s="1">
        <v>4015638</v>
      </c>
      <c r="AQ568" s="1">
        <v>40740199</v>
      </c>
      <c r="AR568" s="1">
        <v>8647791</v>
      </c>
      <c r="AS568" s="1">
        <v>1297169</v>
      </c>
      <c r="AT568" s="1">
        <f t="shared" si="54"/>
        <v>54700797</v>
      </c>
    </row>
    <row r="569" spans="1:46" x14ac:dyDescent="0.2">
      <c r="A569" s="1" t="str">
        <f>"00656"</f>
        <v>00656</v>
      </c>
      <c r="B569" s="1" t="str">
        <f>"صادق"</f>
        <v>صادق</v>
      </c>
      <c r="C569" s="1" t="str">
        <f>"زارعي"</f>
        <v>زارعي</v>
      </c>
      <c r="D569" s="1" t="str">
        <f t="shared" si="59"/>
        <v>قراردادي کارگري</v>
      </c>
      <c r="E569" s="1" t="str">
        <f t="shared" si="60"/>
        <v>پروژه تعميرات نيروگاه بوشهر</v>
      </c>
      <c r="F569" s="1">
        <v>7117455</v>
      </c>
      <c r="G569" s="1">
        <v>2254142</v>
      </c>
      <c r="H569" s="1">
        <v>0</v>
      </c>
      <c r="I569" s="1">
        <v>4982219</v>
      </c>
      <c r="J569" s="1">
        <v>0</v>
      </c>
      <c r="K569" s="1">
        <v>0</v>
      </c>
      <c r="L569" s="1">
        <v>7628143</v>
      </c>
      <c r="M569" s="1">
        <v>1000000</v>
      </c>
      <c r="N569" s="1">
        <v>3746030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8470564</v>
      </c>
      <c r="W569" s="1">
        <v>1900000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3521077</v>
      </c>
      <c r="AE569" s="1">
        <v>0</v>
      </c>
      <c r="AF569" s="1">
        <v>1516881</v>
      </c>
      <c r="AG569" s="1">
        <v>0</v>
      </c>
      <c r="AH569" s="1">
        <v>0</v>
      </c>
      <c r="AI569" s="1">
        <v>0</v>
      </c>
      <c r="AJ569" s="1">
        <v>4327952</v>
      </c>
      <c r="AK569" s="1">
        <v>0</v>
      </c>
      <c r="AL569" s="1">
        <v>0</v>
      </c>
      <c r="AM569" s="1">
        <v>0</v>
      </c>
      <c r="AN569" s="1">
        <v>0</v>
      </c>
      <c r="AO569" s="1">
        <v>46464463</v>
      </c>
      <c r="AP569" s="1">
        <v>4294144</v>
      </c>
      <c r="AQ569" s="1">
        <v>42170319</v>
      </c>
      <c r="AR569" s="1">
        <v>8989516</v>
      </c>
      <c r="AS569" s="1">
        <v>1348427</v>
      </c>
      <c r="AT569" s="1">
        <f t="shared" si="54"/>
        <v>56802406</v>
      </c>
    </row>
    <row r="570" spans="1:46" x14ac:dyDescent="0.2">
      <c r="A570" s="1" t="str">
        <f>"00657"</f>
        <v>00657</v>
      </c>
      <c r="B570" s="1" t="str">
        <f>"اسماعيل"</f>
        <v>اسماعيل</v>
      </c>
      <c r="C570" s="1" t="str">
        <f>"شهرياري"</f>
        <v>شهرياري</v>
      </c>
      <c r="D570" s="1" t="str">
        <f>"قراردادي بهره بردار"</f>
        <v>قراردادي بهره بردار</v>
      </c>
      <c r="E570" s="1" t="str">
        <f>"پروژه بهره برداري نيروگاه بوشهر"</f>
        <v>پروژه بهره برداري نيروگاه بوشهر</v>
      </c>
      <c r="F570" s="1">
        <v>18412553</v>
      </c>
      <c r="G570" s="1">
        <v>4075946</v>
      </c>
      <c r="H570" s="1">
        <v>0</v>
      </c>
      <c r="I570" s="1">
        <v>13973783</v>
      </c>
      <c r="J570" s="1">
        <v>0</v>
      </c>
      <c r="K570" s="1">
        <v>5500000</v>
      </c>
      <c r="L570" s="1">
        <v>0</v>
      </c>
      <c r="M570" s="1">
        <v>1000000</v>
      </c>
      <c r="N570" s="1">
        <v>3086102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1387000</v>
      </c>
      <c r="U570" s="1">
        <v>0</v>
      </c>
      <c r="V570" s="1">
        <v>9819109</v>
      </c>
      <c r="W570" s="1">
        <v>1900000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2204358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5014984</v>
      </c>
      <c r="AM570" s="1">
        <v>0</v>
      </c>
      <c r="AN570" s="1">
        <v>0</v>
      </c>
      <c r="AO570" s="1">
        <v>66373835</v>
      </c>
      <c r="AP570" s="1">
        <v>22337040</v>
      </c>
      <c r="AQ570" s="1">
        <v>44036795</v>
      </c>
      <c r="AR570" s="1">
        <v>13274767</v>
      </c>
      <c r="AS570" s="1">
        <v>1991215</v>
      </c>
      <c r="AT570" s="1">
        <f t="shared" si="54"/>
        <v>81639817</v>
      </c>
    </row>
    <row r="571" spans="1:46" x14ac:dyDescent="0.2">
      <c r="A571" s="1" t="str">
        <f>"00658"</f>
        <v>00658</v>
      </c>
      <c r="B571" s="1" t="str">
        <f>"محمدرضا"</f>
        <v>محمدرضا</v>
      </c>
      <c r="C571" s="1" t="str">
        <f>"افشارنژاد"</f>
        <v>افشارنژاد</v>
      </c>
      <c r="D571" s="1" t="str">
        <f>"قراردادي کارگري"</f>
        <v>قراردادي کارگري</v>
      </c>
      <c r="E571" s="1" t="str">
        <f>"پروژه تعميرات نيروگاه بوشهر"</f>
        <v>پروژه تعميرات نيروگاه بوشهر</v>
      </c>
      <c r="F571" s="1">
        <v>11131808</v>
      </c>
      <c r="G571" s="1">
        <v>6987853</v>
      </c>
      <c r="H571" s="1">
        <v>0</v>
      </c>
      <c r="I571" s="1">
        <v>10463899</v>
      </c>
      <c r="J571" s="1">
        <v>0</v>
      </c>
      <c r="K571" s="1">
        <v>0</v>
      </c>
      <c r="L571" s="1">
        <v>7462913</v>
      </c>
      <c r="M571" s="1">
        <v>1000000</v>
      </c>
      <c r="N571" s="1">
        <v>6679085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3873437</v>
      </c>
      <c r="W571" s="1">
        <v>1900000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3033762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52532757</v>
      </c>
      <c r="AP571" s="1">
        <v>5187713</v>
      </c>
      <c r="AQ571" s="1">
        <v>47345044</v>
      </c>
      <c r="AR571" s="1">
        <v>9899799</v>
      </c>
      <c r="AS571" s="1">
        <v>1484970</v>
      </c>
      <c r="AT571" s="1">
        <f t="shared" si="54"/>
        <v>63917526</v>
      </c>
    </row>
    <row r="572" spans="1:46" x14ac:dyDescent="0.2">
      <c r="A572" s="1" t="str">
        <f>"00659"</f>
        <v>00659</v>
      </c>
      <c r="B572" s="1" t="str">
        <f>"فاضل"</f>
        <v>فاضل</v>
      </c>
      <c r="C572" s="1" t="str">
        <f>"فرخ زاد"</f>
        <v>فرخ زاد</v>
      </c>
      <c r="D572" s="1" t="str">
        <f>"قراردادي کارگري"</f>
        <v>قراردادي کارگري</v>
      </c>
      <c r="E572" s="1" t="str">
        <f>"پروژه تعميرات نيروگاه بوشهر"</f>
        <v>پروژه تعميرات نيروگاه بوشهر</v>
      </c>
      <c r="F572" s="1">
        <v>10652019</v>
      </c>
      <c r="G572" s="1">
        <v>4292033</v>
      </c>
      <c r="H572" s="1">
        <v>0</v>
      </c>
      <c r="I572" s="1">
        <v>7669453</v>
      </c>
      <c r="J572" s="1">
        <v>0</v>
      </c>
      <c r="K572" s="1">
        <v>0</v>
      </c>
      <c r="L572" s="1">
        <v>7628143</v>
      </c>
      <c r="M572" s="1">
        <v>1000000</v>
      </c>
      <c r="N572" s="1">
        <v>5643455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8142777</v>
      </c>
      <c r="W572" s="1">
        <v>1900000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813647</v>
      </c>
      <c r="AD572" s="1">
        <v>0</v>
      </c>
      <c r="AE572" s="1">
        <v>0</v>
      </c>
      <c r="AF572" s="1">
        <v>3033762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50775289</v>
      </c>
      <c r="AP572" s="1">
        <v>8020179</v>
      </c>
      <c r="AQ572" s="1">
        <v>42755110</v>
      </c>
      <c r="AR572" s="1">
        <v>9548305</v>
      </c>
      <c r="AS572" s="1">
        <v>1432246</v>
      </c>
      <c r="AT572" s="1">
        <f t="shared" si="54"/>
        <v>61755840</v>
      </c>
    </row>
    <row r="573" spans="1:46" x14ac:dyDescent="0.2">
      <c r="A573" s="1" t="str">
        <f>"00660"</f>
        <v>00660</v>
      </c>
      <c r="B573" s="1" t="str">
        <f>"عبدالرسول"</f>
        <v>عبدالرسول</v>
      </c>
      <c r="C573" s="1" t="str">
        <f>"محمدي"</f>
        <v>محمدي</v>
      </c>
      <c r="D573" s="1" t="str">
        <f>"قراردادي بهره بردار"</f>
        <v>قراردادي بهره بردار</v>
      </c>
      <c r="E573" s="1" t="str">
        <f>"پروژه بهره برداري نيروگاه بوشهر"</f>
        <v>پروژه بهره برداري نيروگاه بوشهر</v>
      </c>
      <c r="F573" s="1">
        <v>12480228</v>
      </c>
      <c r="G573" s="1">
        <v>0</v>
      </c>
      <c r="H573" s="1">
        <v>0</v>
      </c>
      <c r="I573" s="1">
        <v>8745832</v>
      </c>
      <c r="J573" s="1">
        <v>0</v>
      </c>
      <c r="K573" s="1">
        <v>0</v>
      </c>
      <c r="L573" s="1">
        <v>0</v>
      </c>
      <c r="M573" s="1">
        <v>1000000</v>
      </c>
      <c r="N573" s="1">
        <v>2113884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1387000</v>
      </c>
      <c r="U573" s="1">
        <v>0</v>
      </c>
      <c r="V573" s="1">
        <v>5432407</v>
      </c>
      <c r="W573" s="1">
        <v>1900000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1509917</v>
      </c>
      <c r="AF573" s="1">
        <v>0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4514504</v>
      </c>
      <c r="AM573" s="1">
        <v>0</v>
      </c>
      <c r="AN573" s="1">
        <v>0</v>
      </c>
      <c r="AO573" s="1">
        <v>39083772</v>
      </c>
      <c r="AP573" s="1">
        <v>20626519</v>
      </c>
      <c r="AQ573" s="1">
        <v>18457253</v>
      </c>
      <c r="AR573" s="1">
        <v>7816754</v>
      </c>
      <c r="AS573" s="1">
        <v>1172513</v>
      </c>
      <c r="AT573" s="1">
        <f t="shared" si="54"/>
        <v>48073039</v>
      </c>
    </row>
    <row r="574" spans="1:46" x14ac:dyDescent="0.2">
      <c r="A574" s="1" t="str">
        <f>"00661"</f>
        <v>00661</v>
      </c>
      <c r="B574" s="1" t="str">
        <f>"جواد"</f>
        <v>جواد</v>
      </c>
      <c r="C574" s="1" t="str">
        <f>"حسين زاده"</f>
        <v>حسين زاده</v>
      </c>
      <c r="D574" s="1" t="str">
        <f>"قراردادي بهره بردار"</f>
        <v>قراردادي بهره بردار</v>
      </c>
      <c r="E574" s="1" t="str">
        <f>"پروژه بهره برداري نيروگاه بوشهر"</f>
        <v>پروژه بهره برداري نيروگاه بوشهر</v>
      </c>
      <c r="F574" s="1">
        <v>20850765</v>
      </c>
      <c r="G574" s="1">
        <v>0</v>
      </c>
      <c r="H574" s="1">
        <v>0</v>
      </c>
      <c r="I574" s="1">
        <v>16922262</v>
      </c>
      <c r="J574" s="1">
        <v>0</v>
      </c>
      <c r="K574" s="1">
        <v>5500000</v>
      </c>
      <c r="L574" s="1">
        <v>0</v>
      </c>
      <c r="M574" s="1">
        <v>1000000</v>
      </c>
      <c r="N574" s="1">
        <v>3559943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1387000</v>
      </c>
      <c r="U574" s="1">
        <v>0</v>
      </c>
      <c r="V574" s="1">
        <v>8994083</v>
      </c>
      <c r="W574" s="1">
        <v>1900000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2542816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4740877</v>
      </c>
      <c r="AM574" s="1">
        <v>0</v>
      </c>
      <c r="AN574" s="1">
        <v>0</v>
      </c>
      <c r="AO574" s="1">
        <v>67397746</v>
      </c>
      <c r="AP574" s="1">
        <v>30691412</v>
      </c>
      <c r="AQ574" s="1">
        <v>36706334</v>
      </c>
      <c r="AR574" s="1">
        <v>13479549</v>
      </c>
      <c r="AS574" s="1">
        <v>2021932</v>
      </c>
      <c r="AT574" s="1">
        <f t="shared" si="54"/>
        <v>82899227</v>
      </c>
    </row>
    <row r="575" spans="1:46" x14ac:dyDescent="0.2">
      <c r="A575" s="1" t="str">
        <f>"00662"</f>
        <v>00662</v>
      </c>
      <c r="B575" s="1" t="str">
        <f>"نجف"</f>
        <v>نجف</v>
      </c>
      <c r="C575" s="1" t="str">
        <f>"ابراهيم زاده"</f>
        <v>ابراهيم زاده</v>
      </c>
      <c r="D575" s="1" t="str">
        <f>"قراردادي کارگري"</f>
        <v>قراردادي کارگري</v>
      </c>
      <c r="E575" s="1" t="str">
        <f>"پروژه تعميرات نيروگاه بوشهر"</f>
        <v>پروژه تعميرات نيروگاه بوشهر</v>
      </c>
      <c r="F575" s="1">
        <v>10749340</v>
      </c>
      <c r="G575" s="1">
        <v>2000255</v>
      </c>
      <c r="H575" s="1">
        <v>0</v>
      </c>
      <c r="I575" s="1">
        <v>8706965</v>
      </c>
      <c r="J575" s="1">
        <v>0</v>
      </c>
      <c r="K575" s="1">
        <v>0</v>
      </c>
      <c r="L575" s="1">
        <v>7462913</v>
      </c>
      <c r="M575" s="1">
        <v>1000000</v>
      </c>
      <c r="N575" s="1">
        <v>5732981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7842751</v>
      </c>
      <c r="W575" s="1">
        <v>1900000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1516881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46912086</v>
      </c>
      <c r="AP575" s="1">
        <v>23354916</v>
      </c>
      <c r="AQ575" s="1">
        <v>23557170</v>
      </c>
      <c r="AR575" s="1">
        <v>9079041</v>
      </c>
      <c r="AS575" s="1">
        <v>1361856</v>
      </c>
      <c r="AT575" s="1">
        <f t="shared" si="54"/>
        <v>57352983</v>
      </c>
    </row>
    <row r="576" spans="1:46" x14ac:dyDescent="0.2">
      <c r="A576" s="1" t="str">
        <f>"00663"</f>
        <v>00663</v>
      </c>
      <c r="B576" s="1" t="str">
        <f>"بهرام"</f>
        <v>بهرام</v>
      </c>
      <c r="C576" s="1" t="str">
        <f>"زارعي"</f>
        <v>زارعي</v>
      </c>
      <c r="D576" s="1" t="str">
        <f>"قراردادي بهره بردار"</f>
        <v>قراردادي بهره بردار</v>
      </c>
      <c r="E576" s="1" t="str">
        <f>"پروژه بهره برداري نيروگاه بوشهر"</f>
        <v>پروژه بهره برداري نيروگاه بوشهر</v>
      </c>
      <c r="F576" s="1">
        <v>12644528</v>
      </c>
      <c r="G576" s="1">
        <v>2431279</v>
      </c>
      <c r="H576" s="1">
        <v>0</v>
      </c>
      <c r="I576" s="1">
        <v>13153095</v>
      </c>
      <c r="J576" s="1">
        <v>0</v>
      </c>
      <c r="K576" s="1">
        <v>4620000</v>
      </c>
      <c r="L576" s="1">
        <v>0</v>
      </c>
      <c r="M576" s="1">
        <v>1000000</v>
      </c>
      <c r="N576" s="1">
        <v>2171389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1387000</v>
      </c>
      <c r="U576" s="1">
        <v>0</v>
      </c>
      <c r="V576" s="1">
        <v>8613674</v>
      </c>
      <c r="W576" s="1">
        <v>1900000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1550992</v>
      </c>
      <c r="AF576" s="1">
        <v>4550643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4934696</v>
      </c>
      <c r="AM576" s="1">
        <v>0</v>
      </c>
      <c r="AN576" s="1">
        <v>0</v>
      </c>
      <c r="AO576" s="1">
        <v>58957296</v>
      </c>
      <c r="AP576" s="1">
        <v>22213278</v>
      </c>
      <c r="AQ576" s="1">
        <v>36744018</v>
      </c>
      <c r="AR576" s="1">
        <v>10881331</v>
      </c>
      <c r="AS576" s="1">
        <v>1632200</v>
      </c>
      <c r="AT576" s="1">
        <f t="shared" si="54"/>
        <v>71470827</v>
      </c>
    </row>
    <row r="577" spans="1:46" x14ac:dyDescent="0.2">
      <c r="A577" s="1" t="str">
        <f>"00664"</f>
        <v>00664</v>
      </c>
      <c r="B577" s="1" t="str">
        <f>"حميد رضا"</f>
        <v>حميد رضا</v>
      </c>
      <c r="C577" s="1" t="str">
        <f>"دهقاني"</f>
        <v>دهقاني</v>
      </c>
      <c r="D577" s="1" t="str">
        <f>"قراردادي بهره بردار"</f>
        <v>قراردادي بهره بردار</v>
      </c>
      <c r="E577" s="1" t="str">
        <f>"پروژه بهره برداري نيروگاه بوشهر"</f>
        <v>پروژه بهره برداري نيروگاه بوشهر</v>
      </c>
      <c r="F577" s="1">
        <v>14278765</v>
      </c>
      <c r="G577" s="1">
        <v>2224584</v>
      </c>
      <c r="H577" s="1">
        <v>0</v>
      </c>
      <c r="I577" s="1">
        <v>11873893</v>
      </c>
      <c r="J577" s="1">
        <v>0</v>
      </c>
      <c r="K577" s="1">
        <v>4620000</v>
      </c>
      <c r="L577" s="1">
        <v>0</v>
      </c>
      <c r="M577" s="1">
        <v>1000000</v>
      </c>
      <c r="N577" s="1">
        <v>2716536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1387000</v>
      </c>
      <c r="U577" s="1">
        <v>0</v>
      </c>
      <c r="V577" s="1">
        <v>8421455</v>
      </c>
      <c r="W577" s="1">
        <v>1900000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1940383</v>
      </c>
      <c r="AF577" s="1">
        <v>1516881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5805442</v>
      </c>
      <c r="AM577" s="1">
        <v>0</v>
      </c>
      <c r="AN577" s="1">
        <v>0</v>
      </c>
      <c r="AO577" s="1">
        <v>57684939</v>
      </c>
      <c r="AP577" s="1">
        <v>9686946</v>
      </c>
      <c r="AQ577" s="1">
        <v>47997993</v>
      </c>
      <c r="AR577" s="1">
        <v>11233612</v>
      </c>
      <c r="AS577" s="1">
        <v>1685042</v>
      </c>
      <c r="AT577" s="1">
        <f t="shared" si="54"/>
        <v>70603593</v>
      </c>
    </row>
    <row r="578" spans="1:46" x14ac:dyDescent="0.2">
      <c r="A578" s="1" t="str">
        <f>"00665"</f>
        <v>00665</v>
      </c>
      <c r="B578" s="1" t="str">
        <f>"مجيد"</f>
        <v>مجيد</v>
      </c>
      <c r="C578" s="1" t="str">
        <f>"سميعي قصرالدشتي"</f>
        <v>سميعي قصرالدشتي</v>
      </c>
      <c r="D578" s="1" t="str">
        <f>"قراردادي بهره بردار"</f>
        <v>قراردادي بهره بردار</v>
      </c>
      <c r="E578" s="1" t="str">
        <f>"پروژه بهره برداري نيروگاه بوشهر"</f>
        <v>پروژه بهره برداري نيروگاه بوشهر</v>
      </c>
      <c r="F578" s="1">
        <v>13820916</v>
      </c>
      <c r="G578" s="1">
        <v>2433810</v>
      </c>
      <c r="H578" s="1">
        <v>0</v>
      </c>
      <c r="I578" s="1">
        <v>11518521</v>
      </c>
      <c r="J578" s="1">
        <v>0</v>
      </c>
      <c r="K578" s="1">
        <v>4620000</v>
      </c>
      <c r="L578" s="1">
        <v>0</v>
      </c>
      <c r="M578" s="1">
        <v>1000000</v>
      </c>
      <c r="N578" s="1">
        <v>2556289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1606000</v>
      </c>
      <c r="U578" s="1">
        <v>0</v>
      </c>
      <c r="V578" s="1">
        <v>7482458</v>
      </c>
      <c r="W578" s="1">
        <v>1900000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1825921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5909104</v>
      </c>
      <c r="AM578" s="1">
        <v>0</v>
      </c>
      <c r="AN578" s="1">
        <v>0</v>
      </c>
      <c r="AO578" s="1">
        <v>54673019</v>
      </c>
      <c r="AP578" s="1">
        <v>27241015</v>
      </c>
      <c r="AQ578" s="1">
        <v>27432004</v>
      </c>
      <c r="AR578" s="1">
        <v>10934604</v>
      </c>
      <c r="AS578" s="1">
        <v>1640191</v>
      </c>
      <c r="AT578" s="1">
        <f t="shared" si="54"/>
        <v>67247814</v>
      </c>
    </row>
    <row r="579" spans="1:46" x14ac:dyDescent="0.2">
      <c r="A579" s="1" t="str">
        <f>"00666"</f>
        <v>00666</v>
      </c>
      <c r="B579" s="1" t="str">
        <f>"زهرا"</f>
        <v>زهرا</v>
      </c>
      <c r="C579" s="1" t="str">
        <f>"دانشور"</f>
        <v>دانشور</v>
      </c>
      <c r="D579" s="1" t="str">
        <f>"قراردادي بهره بردار"</f>
        <v>قراردادي بهره بردار</v>
      </c>
      <c r="E579" s="1" t="str">
        <f>"پروژه بهره برداري نيروگاه بوشهر"</f>
        <v>پروژه بهره برداري نيروگاه بوشهر</v>
      </c>
      <c r="F579" s="1">
        <v>15895477</v>
      </c>
      <c r="G579" s="1">
        <v>538592</v>
      </c>
      <c r="H579" s="1">
        <v>0</v>
      </c>
      <c r="I579" s="1">
        <v>10480319</v>
      </c>
      <c r="J579" s="1">
        <v>1100000</v>
      </c>
      <c r="K579" s="1">
        <v>4125000</v>
      </c>
      <c r="L579" s="1">
        <v>0</v>
      </c>
      <c r="M579" s="1">
        <v>1000000</v>
      </c>
      <c r="N579" s="1">
        <v>2377640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1606000</v>
      </c>
      <c r="U579" s="1">
        <v>0</v>
      </c>
      <c r="V579" s="1">
        <v>3469371</v>
      </c>
      <c r="W579" s="1">
        <v>1900000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1698314</v>
      </c>
      <c r="AF579" s="1">
        <v>1516881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4241964</v>
      </c>
      <c r="AM579" s="1">
        <v>0</v>
      </c>
      <c r="AN579" s="1">
        <v>0</v>
      </c>
      <c r="AO579" s="1">
        <v>49949558</v>
      </c>
      <c r="AP579" s="1">
        <v>19445508</v>
      </c>
      <c r="AQ579" s="1">
        <v>30504050</v>
      </c>
      <c r="AR579" s="1">
        <v>9466535</v>
      </c>
      <c r="AS579" s="1">
        <v>1419980</v>
      </c>
      <c r="AT579" s="1">
        <f t="shared" ref="AT579:AT642" si="61">AO579+AR579+AS579</f>
        <v>60836073</v>
      </c>
    </row>
    <row r="580" spans="1:46" x14ac:dyDescent="0.2">
      <c r="A580" s="1" t="str">
        <f>"00667"</f>
        <v>00667</v>
      </c>
      <c r="B580" s="1" t="str">
        <f>"نصرالله"</f>
        <v>نصرالله</v>
      </c>
      <c r="C580" s="1" t="str">
        <f>"شکيبي نسب"</f>
        <v>شکيبي نسب</v>
      </c>
      <c r="D580" s="1" t="str">
        <f>"قراردادي کارگري"</f>
        <v>قراردادي کارگري</v>
      </c>
      <c r="E580" s="1" t="str">
        <f t="shared" ref="E580:E590" si="62">"پروژه تعميرات نيروگاه بوشهر"</f>
        <v>پروژه تعميرات نيروگاه بوشهر</v>
      </c>
      <c r="F580" s="1">
        <v>10633589</v>
      </c>
      <c r="G580" s="1">
        <v>2096986</v>
      </c>
      <c r="H580" s="1">
        <v>0</v>
      </c>
      <c r="I580" s="1">
        <v>7868856</v>
      </c>
      <c r="J580" s="1">
        <v>0</v>
      </c>
      <c r="K580" s="1">
        <v>0</v>
      </c>
      <c r="L580" s="1">
        <v>7628143</v>
      </c>
      <c r="M580" s="1">
        <v>1000000</v>
      </c>
      <c r="N580" s="1">
        <v>5633690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10688990</v>
      </c>
      <c r="W580" s="1">
        <v>1900000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1516881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48967135</v>
      </c>
      <c r="AP580" s="1">
        <v>6702080</v>
      </c>
      <c r="AQ580" s="1">
        <v>42265055</v>
      </c>
      <c r="AR580" s="1">
        <v>9490051</v>
      </c>
      <c r="AS580" s="1">
        <v>1423508</v>
      </c>
      <c r="AT580" s="1">
        <f t="shared" si="61"/>
        <v>59880694</v>
      </c>
    </row>
    <row r="581" spans="1:46" x14ac:dyDescent="0.2">
      <c r="A581" s="1" t="str">
        <f>"00668"</f>
        <v>00668</v>
      </c>
      <c r="B581" s="1" t="str">
        <f>"عبدالکريم"</f>
        <v>عبدالکريم</v>
      </c>
      <c r="C581" s="1" t="str">
        <f>"صادقي پور"</f>
        <v>صادقي پور</v>
      </c>
      <c r="D581" s="1" t="str">
        <f>"قراردادي کارگري"</f>
        <v>قراردادي کارگري</v>
      </c>
      <c r="E581" s="1" t="str">
        <f t="shared" si="62"/>
        <v>پروژه تعميرات نيروگاه بوشهر</v>
      </c>
      <c r="F581" s="1">
        <v>9414060</v>
      </c>
      <c r="G581" s="1">
        <v>0</v>
      </c>
      <c r="H581" s="1">
        <v>0</v>
      </c>
      <c r="I581" s="1">
        <v>7248826</v>
      </c>
      <c r="J581" s="1">
        <v>0</v>
      </c>
      <c r="K581" s="1">
        <v>0</v>
      </c>
      <c r="L581" s="1">
        <v>7462913</v>
      </c>
      <c r="M581" s="1">
        <v>1000000</v>
      </c>
      <c r="N581" s="1">
        <v>5020832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11089438</v>
      </c>
      <c r="W581" s="1">
        <v>1900000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3033762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46169831</v>
      </c>
      <c r="AP581" s="1">
        <v>15596049</v>
      </c>
      <c r="AQ581" s="1">
        <v>30573782</v>
      </c>
      <c r="AR581" s="1">
        <v>8627214</v>
      </c>
      <c r="AS581" s="1">
        <v>1294082</v>
      </c>
      <c r="AT581" s="1">
        <f t="shared" si="61"/>
        <v>56091127</v>
      </c>
    </row>
    <row r="582" spans="1:46" x14ac:dyDescent="0.2">
      <c r="A582" s="1" t="str">
        <f>"00669"</f>
        <v>00669</v>
      </c>
      <c r="B582" s="1" t="str">
        <f>"وحيد"</f>
        <v>وحيد</v>
      </c>
      <c r="C582" s="1" t="str">
        <f>"صالحي"</f>
        <v>صالحي</v>
      </c>
      <c r="D582" s="1" t="str">
        <f>"قراردادي کارگري"</f>
        <v>قراردادي کارگري</v>
      </c>
      <c r="E582" s="1" t="str">
        <f t="shared" si="62"/>
        <v>پروژه تعميرات نيروگاه بوشهر</v>
      </c>
      <c r="F582" s="1">
        <v>6591840</v>
      </c>
      <c r="G582" s="1">
        <v>0</v>
      </c>
      <c r="H582" s="1">
        <v>0</v>
      </c>
      <c r="I582" s="1">
        <v>4943880</v>
      </c>
      <c r="J582" s="1">
        <v>0</v>
      </c>
      <c r="K582" s="1">
        <v>0</v>
      </c>
      <c r="L582" s="1">
        <v>7628143</v>
      </c>
      <c r="M582" s="1">
        <v>1000000</v>
      </c>
      <c r="N582" s="1">
        <v>3469388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8201574</v>
      </c>
      <c r="W582" s="1">
        <v>1900000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3033762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36768587</v>
      </c>
      <c r="AP582" s="1">
        <v>12593753</v>
      </c>
      <c r="AQ582" s="1">
        <v>24174834</v>
      </c>
      <c r="AR582" s="1">
        <v>6746965</v>
      </c>
      <c r="AS582" s="1">
        <v>1012045</v>
      </c>
      <c r="AT582" s="1">
        <f t="shared" si="61"/>
        <v>44527597</v>
      </c>
    </row>
    <row r="583" spans="1:46" x14ac:dyDescent="0.2">
      <c r="A583" s="1" t="str">
        <f>"00670"</f>
        <v>00670</v>
      </c>
      <c r="B583" s="1" t="str">
        <f>"احمد"</f>
        <v>احمد</v>
      </c>
      <c r="C583" s="1" t="str">
        <f>"صفا"</f>
        <v>صفا</v>
      </c>
      <c r="D583" s="1" t="str">
        <f>"قراردادي بهره بردار"</f>
        <v>قراردادي بهره بردار</v>
      </c>
      <c r="E583" s="1" t="str">
        <f t="shared" si="62"/>
        <v>پروژه تعميرات نيروگاه بوشهر</v>
      </c>
      <c r="F583" s="1">
        <v>11858079</v>
      </c>
      <c r="G583" s="1">
        <v>0</v>
      </c>
      <c r="H583" s="1">
        <v>0</v>
      </c>
      <c r="I583" s="1">
        <v>6699043</v>
      </c>
      <c r="J583" s="1">
        <v>0</v>
      </c>
      <c r="K583" s="1">
        <v>4620000</v>
      </c>
      <c r="L583" s="1">
        <v>0</v>
      </c>
      <c r="M583" s="1">
        <v>1000000</v>
      </c>
      <c r="N583" s="1">
        <v>2126152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1387000</v>
      </c>
      <c r="U583" s="1">
        <v>0</v>
      </c>
      <c r="V583" s="1">
        <v>2667212</v>
      </c>
      <c r="W583" s="1">
        <v>1900000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1518680</v>
      </c>
      <c r="AF583" s="1">
        <v>1516881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4470165</v>
      </c>
      <c r="AM583" s="1">
        <v>0</v>
      </c>
      <c r="AN583" s="1">
        <v>0</v>
      </c>
      <c r="AO583" s="1">
        <v>39763212</v>
      </c>
      <c r="AP583" s="1">
        <v>12155143</v>
      </c>
      <c r="AQ583" s="1">
        <v>27608069</v>
      </c>
      <c r="AR583" s="1">
        <v>7649266</v>
      </c>
      <c r="AS583" s="1">
        <v>1147390</v>
      </c>
      <c r="AT583" s="1">
        <f t="shared" si="61"/>
        <v>48559868</v>
      </c>
    </row>
    <row r="584" spans="1:46" x14ac:dyDescent="0.2">
      <c r="A584" s="1" t="str">
        <f>"00671"</f>
        <v>00671</v>
      </c>
      <c r="B584" s="1" t="str">
        <f>"مهدي"</f>
        <v>مهدي</v>
      </c>
      <c r="C584" s="1" t="str">
        <f>"طاهري نيا"</f>
        <v>طاهري نيا</v>
      </c>
      <c r="D584" s="1" t="str">
        <f>"قراردادي کارگري"</f>
        <v>قراردادي کارگري</v>
      </c>
      <c r="E584" s="1" t="str">
        <f t="shared" si="62"/>
        <v>پروژه تعميرات نيروگاه بوشهر</v>
      </c>
      <c r="F584" s="1">
        <v>7890338</v>
      </c>
      <c r="G584" s="1">
        <v>4464083</v>
      </c>
      <c r="H584" s="1">
        <v>0</v>
      </c>
      <c r="I584" s="1">
        <v>5602140</v>
      </c>
      <c r="J584" s="1">
        <v>0</v>
      </c>
      <c r="K584" s="1">
        <v>0</v>
      </c>
      <c r="L584" s="1">
        <v>7628143</v>
      </c>
      <c r="M584" s="1">
        <v>1000000</v>
      </c>
      <c r="N584" s="1">
        <v>4208180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6302417</v>
      </c>
      <c r="W584" s="1">
        <v>1900000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1516881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40512182</v>
      </c>
      <c r="AP584" s="1">
        <v>3323922</v>
      </c>
      <c r="AQ584" s="1">
        <v>37188260</v>
      </c>
      <c r="AR584" s="1">
        <v>7799060</v>
      </c>
      <c r="AS584" s="1">
        <v>1169859</v>
      </c>
      <c r="AT584" s="1">
        <f t="shared" si="61"/>
        <v>49481101</v>
      </c>
    </row>
    <row r="585" spans="1:46" x14ac:dyDescent="0.2">
      <c r="A585" s="1" t="str">
        <f>"00672"</f>
        <v>00672</v>
      </c>
      <c r="B585" s="1" t="str">
        <f>"محسن"</f>
        <v>محسن</v>
      </c>
      <c r="C585" s="1" t="str">
        <f>"عباس پور بحراني"</f>
        <v>عباس پور بحراني</v>
      </c>
      <c r="D585" s="1" t="str">
        <f>"قراردادي بهره بردار"</f>
        <v>قراردادي بهره بردار</v>
      </c>
      <c r="E585" s="1" t="str">
        <f t="shared" si="62"/>
        <v>پروژه تعميرات نيروگاه بوشهر</v>
      </c>
      <c r="F585" s="1">
        <v>14464972</v>
      </c>
      <c r="G585" s="1">
        <v>0</v>
      </c>
      <c r="H585" s="1">
        <v>0</v>
      </c>
      <c r="I585" s="1">
        <v>12639329</v>
      </c>
      <c r="J585" s="1">
        <v>0</v>
      </c>
      <c r="K585" s="1">
        <v>3465000</v>
      </c>
      <c r="L585" s="1">
        <v>0</v>
      </c>
      <c r="M585" s="1">
        <v>1000000</v>
      </c>
      <c r="N585" s="1">
        <v>2781709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1387000</v>
      </c>
      <c r="U585" s="1">
        <v>0</v>
      </c>
      <c r="V585" s="1">
        <v>11843409</v>
      </c>
      <c r="W585" s="1">
        <v>1900000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1986935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8966399</v>
      </c>
      <c r="AM585" s="1">
        <v>0</v>
      </c>
      <c r="AN585" s="1">
        <v>0</v>
      </c>
      <c r="AO585" s="1">
        <v>60434753</v>
      </c>
      <c r="AP585" s="1">
        <v>6528165</v>
      </c>
      <c r="AQ585" s="1">
        <v>53906588</v>
      </c>
      <c r="AR585" s="1">
        <v>12086951</v>
      </c>
      <c r="AS585" s="1">
        <v>1813043</v>
      </c>
      <c r="AT585" s="1">
        <f t="shared" si="61"/>
        <v>74334747</v>
      </c>
    </row>
    <row r="586" spans="1:46" x14ac:dyDescent="0.2">
      <c r="A586" s="1" t="str">
        <f>"00674"</f>
        <v>00674</v>
      </c>
      <c r="B586" s="1" t="str">
        <f>"علي"</f>
        <v>علي</v>
      </c>
      <c r="C586" s="1" t="str">
        <f>"عدالت پور"</f>
        <v>عدالت پور</v>
      </c>
      <c r="D586" s="1" t="str">
        <f>"قراردادي کارگري"</f>
        <v>قراردادي کارگري</v>
      </c>
      <c r="E586" s="1" t="str">
        <f t="shared" si="62"/>
        <v>پروژه تعميرات نيروگاه بوشهر</v>
      </c>
      <c r="F586" s="1">
        <v>6622758</v>
      </c>
      <c r="G586" s="1">
        <v>4364800</v>
      </c>
      <c r="H586" s="1">
        <v>0</v>
      </c>
      <c r="I586" s="1">
        <v>4967069</v>
      </c>
      <c r="J586" s="1">
        <v>0</v>
      </c>
      <c r="K586" s="1">
        <v>0</v>
      </c>
      <c r="L586" s="1">
        <v>7628143</v>
      </c>
      <c r="M586" s="1">
        <v>1000000</v>
      </c>
      <c r="N586" s="1">
        <v>3485663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8224095</v>
      </c>
      <c r="W586" s="1">
        <v>1900000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38192528</v>
      </c>
      <c r="AP586" s="1">
        <v>4841382</v>
      </c>
      <c r="AQ586" s="1">
        <v>33351146</v>
      </c>
      <c r="AR586" s="1">
        <v>7638506</v>
      </c>
      <c r="AS586" s="1">
        <v>1145776</v>
      </c>
      <c r="AT586" s="1">
        <f t="shared" si="61"/>
        <v>46976810</v>
      </c>
    </row>
    <row r="587" spans="1:46" x14ac:dyDescent="0.2">
      <c r="A587" s="1" t="str">
        <f>"00675"</f>
        <v>00675</v>
      </c>
      <c r="B587" s="1" t="str">
        <f>"قاسم"</f>
        <v>قاسم</v>
      </c>
      <c r="C587" s="1" t="str">
        <f>"علوي"</f>
        <v>علوي</v>
      </c>
      <c r="D587" s="1" t="str">
        <f>"قراردادي کارگري"</f>
        <v>قراردادي کارگري</v>
      </c>
      <c r="E587" s="1" t="str">
        <f t="shared" si="62"/>
        <v>پروژه تعميرات نيروگاه بوشهر</v>
      </c>
      <c r="F587" s="1">
        <v>6511452</v>
      </c>
      <c r="G587" s="1">
        <v>0</v>
      </c>
      <c r="H587" s="1">
        <v>0</v>
      </c>
      <c r="I587" s="1">
        <v>4883589</v>
      </c>
      <c r="J587" s="1">
        <v>0</v>
      </c>
      <c r="K587" s="1">
        <v>0</v>
      </c>
      <c r="L587" s="1">
        <v>7628143</v>
      </c>
      <c r="M587" s="1">
        <v>1000000</v>
      </c>
      <c r="N587" s="1">
        <v>3427079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8143018</v>
      </c>
      <c r="W587" s="1">
        <v>1900000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1516881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35010162</v>
      </c>
      <c r="AP587" s="1">
        <v>2427093</v>
      </c>
      <c r="AQ587" s="1">
        <v>32583069</v>
      </c>
      <c r="AR587" s="1">
        <v>6698656</v>
      </c>
      <c r="AS587" s="1">
        <v>1004798</v>
      </c>
      <c r="AT587" s="1">
        <f t="shared" si="61"/>
        <v>42713616</v>
      </c>
    </row>
    <row r="588" spans="1:46" x14ac:dyDescent="0.2">
      <c r="A588" s="1" t="str">
        <f>"00676"</f>
        <v>00676</v>
      </c>
      <c r="B588" s="1" t="str">
        <f>"ياسين"</f>
        <v>ياسين</v>
      </c>
      <c r="C588" s="1" t="str">
        <f>"علوي راد"</f>
        <v>علوي راد</v>
      </c>
      <c r="D588" s="1" t="str">
        <f>"قراردادي کارگري"</f>
        <v>قراردادي کارگري</v>
      </c>
      <c r="E588" s="1" t="str">
        <f t="shared" si="62"/>
        <v>پروژه تعميرات نيروگاه بوشهر</v>
      </c>
      <c r="F588" s="1">
        <v>6431064</v>
      </c>
      <c r="G588" s="1">
        <v>2141756</v>
      </c>
      <c r="H588" s="1">
        <v>0</v>
      </c>
      <c r="I588" s="1">
        <v>4823297</v>
      </c>
      <c r="J588" s="1">
        <v>0</v>
      </c>
      <c r="K588" s="1">
        <v>0</v>
      </c>
      <c r="L588" s="1">
        <v>7628143</v>
      </c>
      <c r="M588" s="1">
        <v>1000000</v>
      </c>
      <c r="N588" s="1">
        <v>3384770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8084461</v>
      </c>
      <c r="W588" s="1">
        <v>1900000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3340091</v>
      </c>
      <c r="AE588" s="1">
        <v>0</v>
      </c>
      <c r="AF588" s="1">
        <v>0</v>
      </c>
      <c r="AG588" s="1">
        <v>0</v>
      </c>
      <c r="AH588" s="1">
        <v>0</v>
      </c>
      <c r="AI588" s="1">
        <v>0</v>
      </c>
      <c r="AJ588" s="1">
        <v>4112171</v>
      </c>
      <c r="AK588" s="1">
        <v>0</v>
      </c>
      <c r="AL588" s="1">
        <v>0</v>
      </c>
      <c r="AM588" s="1">
        <v>0</v>
      </c>
      <c r="AN588" s="1">
        <v>0</v>
      </c>
      <c r="AO588" s="1">
        <v>42845753</v>
      </c>
      <c r="AP588" s="1">
        <v>4502222</v>
      </c>
      <c r="AQ588" s="1">
        <v>38343531</v>
      </c>
      <c r="AR588" s="1">
        <v>8569151</v>
      </c>
      <c r="AS588" s="1">
        <v>1285373</v>
      </c>
      <c r="AT588" s="1">
        <f t="shared" si="61"/>
        <v>52700277</v>
      </c>
    </row>
    <row r="589" spans="1:46" x14ac:dyDescent="0.2">
      <c r="A589" s="1" t="str">
        <f>"00677"</f>
        <v>00677</v>
      </c>
      <c r="B589" s="1" t="str">
        <f>"رضا"</f>
        <v>رضا</v>
      </c>
      <c r="C589" s="1" t="str">
        <f>"ابراهيمي"</f>
        <v>ابراهيمي</v>
      </c>
      <c r="D589" s="1" t="str">
        <f>"قراردادي کارگري"</f>
        <v>قراردادي کارگري</v>
      </c>
      <c r="E589" s="1" t="str">
        <f t="shared" si="62"/>
        <v>پروژه تعميرات نيروگاه بوشهر</v>
      </c>
      <c r="F589" s="1">
        <v>9044521</v>
      </c>
      <c r="G589" s="1">
        <v>0</v>
      </c>
      <c r="H589" s="1">
        <v>0</v>
      </c>
      <c r="I589" s="1">
        <v>7416507</v>
      </c>
      <c r="J589" s="1">
        <v>0</v>
      </c>
      <c r="K589" s="1">
        <v>0</v>
      </c>
      <c r="L589" s="1">
        <v>7462913</v>
      </c>
      <c r="M589" s="1">
        <v>1000000</v>
      </c>
      <c r="N589" s="1">
        <v>4791800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10147970</v>
      </c>
      <c r="W589" s="1">
        <v>1900000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41763711</v>
      </c>
      <c r="AP589" s="1">
        <v>7590347</v>
      </c>
      <c r="AQ589" s="1">
        <v>34173364</v>
      </c>
      <c r="AR589" s="1">
        <v>8352742</v>
      </c>
      <c r="AS589" s="1">
        <v>1252911</v>
      </c>
      <c r="AT589" s="1">
        <f t="shared" si="61"/>
        <v>51369364</v>
      </c>
    </row>
    <row r="590" spans="1:46" x14ac:dyDescent="0.2">
      <c r="A590" s="1" t="str">
        <f>"00680"</f>
        <v>00680</v>
      </c>
      <c r="B590" s="1" t="str">
        <f>"سجاد"</f>
        <v>سجاد</v>
      </c>
      <c r="C590" s="1" t="str">
        <f>"ارمي"</f>
        <v>ارمي</v>
      </c>
      <c r="D590" s="1" t="str">
        <f>"قراردادي کارگري"</f>
        <v>قراردادي کارگري</v>
      </c>
      <c r="E590" s="1" t="str">
        <f t="shared" si="62"/>
        <v>پروژه تعميرات نيروگاه بوشهر</v>
      </c>
      <c r="F590" s="1">
        <v>6882474</v>
      </c>
      <c r="G590" s="1">
        <v>2173360</v>
      </c>
      <c r="H590" s="1">
        <v>0</v>
      </c>
      <c r="I590" s="1">
        <v>4473608</v>
      </c>
      <c r="J590" s="1">
        <v>0</v>
      </c>
      <c r="K590" s="1">
        <v>0</v>
      </c>
      <c r="L590" s="1">
        <v>7628143</v>
      </c>
      <c r="M590" s="1">
        <v>1000000</v>
      </c>
      <c r="N590" s="1">
        <v>3622354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8193040</v>
      </c>
      <c r="W590" s="1">
        <v>1900000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3390987</v>
      </c>
      <c r="AE590" s="1">
        <v>0</v>
      </c>
      <c r="AF590" s="1">
        <v>0</v>
      </c>
      <c r="AG590" s="1">
        <v>0</v>
      </c>
      <c r="AH590" s="1">
        <v>0</v>
      </c>
      <c r="AI590" s="1">
        <v>0</v>
      </c>
      <c r="AJ590" s="1">
        <v>2781901</v>
      </c>
      <c r="AK590" s="1">
        <v>0</v>
      </c>
      <c r="AL590" s="1">
        <v>0</v>
      </c>
      <c r="AM590" s="1">
        <v>0</v>
      </c>
      <c r="AN590" s="1">
        <v>0</v>
      </c>
      <c r="AO590" s="1">
        <v>42045867</v>
      </c>
      <c r="AP590" s="1">
        <v>7248937</v>
      </c>
      <c r="AQ590" s="1">
        <v>34796930</v>
      </c>
      <c r="AR590" s="1">
        <v>8409173</v>
      </c>
      <c r="AS590" s="1">
        <v>1261376</v>
      </c>
      <c r="AT590" s="1">
        <f t="shared" si="61"/>
        <v>51716416</v>
      </c>
    </row>
    <row r="591" spans="1:46" x14ac:dyDescent="0.2">
      <c r="A591" s="1" t="str">
        <f>"00681"</f>
        <v>00681</v>
      </c>
      <c r="B591" s="1" t="str">
        <f>"علي"</f>
        <v>علي</v>
      </c>
      <c r="C591" s="1" t="str">
        <f>"اسمعيلي"</f>
        <v>اسمعيلي</v>
      </c>
      <c r="D591" s="1" t="str">
        <f>"قراردادي بهره بردار"</f>
        <v>قراردادي بهره بردار</v>
      </c>
      <c r="E591" s="1" t="str">
        <f>"پروژه بهره برداري نيروگاه بوشهر"</f>
        <v>پروژه بهره برداري نيروگاه بوشهر</v>
      </c>
      <c r="F591" s="1">
        <v>13899780</v>
      </c>
      <c r="G591" s="1">
        <v>3268266</v>
      </c>
      <c r="H591" s="1">
        <v>0</v>
      </c>
      <c r="I591" s="1">
        <v>10843538</v>
      </c>
      <c r="J591" s="1">
        <v>0</v>
      </c>
      <c r="K591" s="1">
        <v>4620000</v>
      </c>
      <c r="L591" s="1">
        <v>0</v>
      </c>
      <c r="M591" s="1">
        <v>1000000</v>
      </c>
      <c r="N591" s="1">
        <v>2583891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1387000</v>
      </c>
      <c r="U591" s="1">
        <v>0</v>
      </c>
      <c r="V591" s="1">
        <v>4210545</v>
      </c>
      <c r="W591" s="1">
        <v>1900000</v>
      </c>
      <c r="X591" s="1">
        <v>1960959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1845637</v>
      </c>
      <c r="AF591" s="1">
        <v>1516881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12932601</v>
      </c>
      <c r="AM591" s="1">
        <v>0</v>
      </c>
      <c r="AN591" s="1">
        <v>0</v>
      </c>
      <c r="AO591" s="1">
        <v>61969098</v>
      </c>
      <c r="AP591" s="1">
        <v>18093066</v>
      </c>
      <c r="AQ591" s="1">
        <v>43876032</v>
      </c>
      <c r="AR591" s="1">
        <v>12090443</v>
      </c>
      <c r="AS591" s="1">
        <v>1813567</v>
      </c>
      <c r="AT591" s="1">
        <f t="shared" si="61"/>
        <v>75873108</v>
      </c>
    </row>
    <row r="592" spans="1:46" x14ac:dyDescent="0.2">
      <c r="A592" s="1" t="str">
        <f>"00682"</f>
        <v>00682</v>
      </c>
      <c r="B592" s="1" t="str">
        <f>"محمد"</f>
        <v>محمد</v>
      </c>
      <c r="C592" s="1" t="str">
        <f>"افتخار"</f>
        <v>افتخار</v>
      </c>
      <c r="D592" s="1" t="str">
        <f>"قراردادي کارگري"</f>
        <v>قراردادي کارگري</v>
      </c>
      <c r="E592" s="1" t="str">
        <f t="shared" ref="E592:E605" si="63">"پروژه تعميرات نيروگاه بوشهر"</f>
        <v>پروژه تعميرات نيروگاه بوشهر</v>
      </c>
      <c r="F592" s="1">
        <v>7865685</v>
      </c>
      <c r="G592" s="1">
        <v>0</v>
      </c>
      <c r="H592" s="1">
        <v>0</v>
      </c>
      <c r="I592" s="1">
        <v>5348666</v>
      </c>
      <c r="J592" s="1">
        <v>0</v>
      </c>
      <c r="K592" s="1">
        <v>0</v>
      </c>
      <c r="L592" s="1">
        <v>7628143</v>
      </c>
      <c r="M592" s="1">
        <v>1000000</v>
      </c>
      <c r="N592" s="1">
        <v>4139834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8953278</v>
      </c>
      <c r="W592" s="1">
        <v>1900000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3033762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0</v>
      </c>
      <c r="AM592" s="1">
        <v>0</v>
      </c>
      <c r="AN592" s="1">
        <v>0</v>
      </c>
      <c r="AO592" s="1">
        <v>39869368</v>
      </c>
      <c r="AP592" s="1">
        <v>7921818</v>
      </c>
      <c r="AQ592" s="1">
        <v>31947550</v>
      </c>
      <c r="AR592" s="1">
        <v>7367121</v>
      </c>
      <c r="AS592" s="1">
        <v>1105068</v>
      </c>
      <c r="AT592" s="1">
        <f t="shared" si="61"/>
        <v>48341557</v>
      </c>
    </row>
    <row r="593" spans="1:46" x14ac:dyDescent="0.2">
      <c r="A593" s="1" t="str">
        <f>"00684"</f>
        <v>00684</v>
      </c>
      <c r="B593" s="1" t="str">
        <f>"مسعود"</f>
        <v>مسعود</v>
      </c>
      <c r="C593" s="1" t="str">
        <f>"اميني"</f>
        <v>اميني</v>
      </c>
      <c r="D593" s="1" t="str">
        <f>"قراردادي بهره بردار"</f>
        <v>قراردادي بهره بردار</v>
      </c>
      <c r="E593" s="1" t="str">
        <f t="shared" si="63"/>
        <v>پروژه تعميرات نيروگاه بوشهر</v>
      </c>
      <c r="F593" s="1">
        <v>11807693</v>
      </c>
      <c r="G593" s="1">
        <v>3299489</v>
      </c>
      <c r="H593" s="1">
        <v>0</v>
      </c>
      <c r="I593" s="1">
        <v>10626924</v>
      </c>
      <c r="J593" s="1">
        <v>0</v>
      </c>
      <c r="K593" s="1">
        <v>4620000</v>
      </c>
      <c r="L593" s="1">
        <v>0</v>
      </c>
      <c r="M593" s="1">
        <v>1000000</v>
      </c>
      <c r="N593" s="1">
        <v>2108517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1387000</v>
      </c>
      <c r="U593" s="1">
        <v>0</v>
      </c>
      <c r="V593" s="1">
        <v>2833846</v>
      </c>
      <c r="W593" s="1">
        <v>1900000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1506083</v>
      </c>
      <c r="AF593" s="1">
        <v>1516881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2289247</v>
      </c>
      <c r="AM593" s="1">
        <v>0</v>
      </c>
      <c r="AN593" s="1">
        <v>0</v>
      </c>
      <c r="AO593" s="1">
        <v>44895680</v>
      </c>
      <c r="AP593" s="1">
        <v>14939732</v>
      </c>
      <c r="AQ593" s="1">
        <v>29955948</v>
      </c>
      <c r="AR593" s="1">
        <v>8675760</v>
      </c>
      <c r="AS593" s="1">
        <v>1301364</v>
      </c>
      <c r="AT593" s="1">
        <f t="shared" si="61"/>
        <v>54872804</v>
      </c>
    </row>
    <row r="594" spans="1:46" x14ac:dyDescent="0.2">
      <c r="A594" s="1" t="str">
        <f>"00685"</f>
        <v>00685</v>
      </c>
      <c r="B594" s="1" t="str">
        <f>"مهران"</f>
        <v>مهران</v>
      </c>
      <c r="C594" s="1" t="str">
        <f>"اميني"</f>
        <v>اميني</v>
      </c>
      <c r="D594" s="1" t="str">
        <f t="shared" ref="D594:D605" si="64">"قراردادي کارگري"</f>
        <v>قراردادي کارگري</v>
      </c>
      <c r="E594" s="1" t="str">
        <f t="shared" si="63"/>
        <v>پروژه تعميرات نيروگاه بوشهر</v>
      </c>
      <c r="F594" s="1">
        <v>10393712</v>
      </c>
      <c r="G594" s="1">
        <v>0</v>
      </c>
      <c r="H594" s="1">
        <v>0</v>
      </c>
      <c r="I594" s="1">
        <v>8626781</v>
      </c>
      <c r="J594" s="1">
        <v>0</v>
      </c>
      <c r="K594" s="1">
        <v>0</v>
      </c>
      <c r="L594" s="1">
        <v>7462913</v>
      </c>
      <c r="M594" s="1">
        <v>1000000</v>
      </c>
      <c r="N594" s="1">
        <v>5543313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12083068</v>
      </c>
      <c r="W594" s="1">
        <v>1900000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1516881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0</v>
      </c>
      <c r="AO594" s="1">
        <v>48526668</v>
      </c>
      <c r="AP594" s="1">
        <v>4630283</v>
      </c>
      <c r="AQ594" s="1">
        <v>43896385</v>
      </c>
      <c r="AR594" s="1">
        <v>9401957</v>
      </c>
      <c r="AS594" s="1">
        <v>1410294</v>
      </c>
      <c r="AT594" s="1">
        <f t="shared" si="61"/>
        <v>59338919</v>
      </c>
    </row>
    <row r="595" spans="1:46" x14ac:dyDescent="0.2">
      <c r="A595" s="1" t="str">
        <f>"00686"</f>
        <v>00686</v>
      </c>
      <c r="B595" s="1" t="str">
        <f>"مهدي"</f>
        <v>مهدي</v>
      </c>
      <c r="C595" s="1" t="str">
        <f>"باغباني"</f>
        <v>باغباني</v>
      </c>
      <c r="D595" s="1" t="str">
        <f t="shared" si="64"/>
        <v>قراردادي کارگري</v>
      </c>
      <c r="E595" s="1" t="str">
        <f t="shared" si="63"/>
        <v>پروژه تعميرات نيروگاه بوشهر</v>
      </c>
      <c r="F595" s="1">
        <v>8512779</v>
      </c>
      <c r="G595" s="1">
        <v>0</v>
      </c>
      <c r="H595" s="1">
        <v>0</v>
      </c>
      <c r="I595" s="1">
        <v>5873817</v>
      </c>
      <c r="J595" s="1">
        <v>0</v>
      </c>
      <c r="K595" s="1">
        <v>0</v>
      </c>
      <c r="L595" s="1">
        <v>7628143</v>
      </c>
      <c r="M595" s="1">
        <v>1000000</v>
      </c>
      <c r="N595" s="1">
        <v>4540149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10195286</v>
      </c>
      <c r="W595" s="1">
        <v>1900000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3033762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42683936</v>
      </c>
      <c r="AP595" s="1">
        <v>4487583</v>
      </c>
      <c r="AQ595" s="1">
        <v>38196353</v>
      </c>
      <c r="AR595" s="1">
        <v>7930035</v>
      </c>
      <c r="AS595" s="1">
        <v>1189505</v>
      </c>
      <c r="AT595" s="1">
        <f t="shared" si="61"/>
        <v>51803476</v>
      </c>
    </row>
    <row r="596" spans="1:46" x14ac:dyDescent="0.2">
      <c r="A596" s="1" t="str">
        <f>"00687"</f>
        <v>00687</v>
      </c>
      <c r="B596" s="1" t="str">
        <f>"احسان"</f>
        <v>احسان</v>
      </c>
      <c r="C596" s="1" t="str">
        <f>"بختياري فرد"</f>
        <v>بختياري فرد</v>
      </c>
      <c r="D596" s="1" t="str">
        <f t="shared" si="64"/>
        <v>قراردادي کارگري</v>
      </c>
      <c r="E596" s="1" t="str">
        <f t="shared" si="63"/>
        <v>پروژه تعميرات نيروگاه بوشهر</v>
      </c>
      <c r="F596" s="1">
        <v>8772250</v>
      </c>
      <c r="G596" s="1">
        <v>727658</v>
      </c>
      <c r="H596" s="1">
        <v>0</v>
      </c>
      <c r="I596" s="1">
        <v>6316021</v>
      </c>
      <c r="J596" s="1">
        <v>0</v>
      </c>
      <c r="K596" s="1">
        <v>0</v>
      </c>
      <c r="L596" s="1">
        <v>7649483</v>
      </c>
      <c r="M596" s="1">
        <v>1000000</v>
      </c>
      <c r="N596" s="1">
        <v>4647550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6987853</v>
      </c>
      <c r="W596" s="1">
        <v>1900000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3033762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41034577</v>
      </c>
      <c r="AP596" s="1">
        <v>4076095</v>
      </c>
      <c r="AQ596" s="1">
        <v>36958482</v>
      </c>
      <c r="AR596" s="1">
        <v>7600163</v>
      </c>
      <c r="AS596" s="1">
        <v>1140024</v>
      </c>
      <c r="AT596" s="1">
        <f t="shared" si="61"/>
        <v>49774764</v>
      </c>
    </row>
    <row r="597" spans="1:46" x14ac:dyDescent="0.2">
      <c r="A597" s="1" t="str">
        <f>"00688"</f>
        <v>00688</v>
      </c>
      <c r="B597" s="1" t="str">
        <f>"محمد"</f>
        <v>محمد</v>
      </c>
      <c r="C597" s="1" t="str">
        <f>"برگهي"</f>
        <v>برگهي</v>
      </c>
      <c r="D597" s="1" t="str">
        <f t="shared" si="64"/>
        <v>قراردادي کارگري</v>
      </c>
      <c r="E597" s="1" t="str">
        <f t="shared" si="63"/>
        <v>پروژه تعميرات نيروگاه بوشهر</v>
      </c>
      <c r="F597" s="1">
        <v>6393961</v>
      </c>
      <c r="G597" s="1">
        <v>1509783</v>
      </c>
      <c r="H597" s="1">
        <v>0</v>
      </c>
      <c r="I597" s="1">
        <v>4539712</v>
      </c>
      <c r="J597" s="1">
        <v>0</v>
      </c>
      <c r="K597" s="1">
        <v>0</v>
      </c>
      <c r="L597" s="1">
        <v>7657636</v>
      </c>
      <c r="M597" s="1">
        <v>1000000</v>
      </c>
      <c r="N597" s="1">
        <v>3365242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8608860</v>
      </c>
      <c r="W597" s="1">
        <v>1900000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3293483</v>
      </c>
      <c r="AE597" s="1">
        <v>0</v>
      </c>
      <c r="AF597" s="1">
        <v>3033762</v>
      </c>
      <c r="AG597" s="1">
        <v>0</v>
      </c>
      <c r="AH597" s="1">
        <v>0</v>
      </c>
      <c r="AI597" s="1">
        <v>0</v>
      </c>
      <c r="AJ597" s="1">
        <v>2760747</v>
      </c>
      <c r="AK597" s="1">
        <v>0</v>
      </c>
      <c r="AL597" s="1">
        <v>0</v>
      </c>
      <c r="AM597" s="1">
        <v>0</v>
      </c>
      <c r="AN597" s="1">
        <v>0</v>
      </c>
      <c r="AO597" s="1">
        <v>44063186</v>
      </c>
      <c r="AP597" s="1">
        <v>11181934</v>
      </c>
      <c r="AQ597" s="1">
        <v>32881252</v>
      </c>
      <c r="AR597" s="1">
        <v>8205885</v>
      </c>
      <c r="AS597" s="1">
        <v>1230883</v>
      </c>
      <c r="AT597" s="1">
        <f t="shared" si="61"/>
        <v>53499954</v>
      </c>
    </row>
    <row r="598" spans="1:46" x14ac:dyDescent="0.2">
      <c r="A598" s="1" t="str">
        <f>"00689"</f>
        <v>00689</v>
      </c>
      <c r="B598" s="1" t="str">
        <f>"فرشيد"</f>
        <v>فرشيد</v>
      </c>
      <c r="C598" s="1" t="str">
        <f>"بوشهريان"</f>
        <v>بوشهريان</v>
      </c>
      <c r="D598" s="1" t="str">
        <f t="shared" si="64"/>
        <v>قراردادي کارگري</v>
      </c>
      <c r="E598" s="1" t="str">
        <f t="shared" si="63"/>
        <v>پروژه تعميرات نيروگاه بوشهر</v>
      </c>
      <c r="F598" s="1">
        <v>7463175</v>
      </c>
      <c r="G598" s="1">
        <v>0</v>
      </c>
      <c r="H598" s="1">
        <v>0</v>
      </c>
      <c r="I598" s="1">
        <v>4701800</v>
      </c>
      <c r="J598" s="1">
        <v>0</v>
      </c>
      <c r="K598" s="1">
        <v>0</v>
      </c>
      <c r="L598" s="1">
        <v>7672721</v>
      </c>
      <c r="M598" s="1">
        <v>1000000</v>
      </c>
      <c r="N598" s="1">
        <v>3731588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8501103</v>
      </c>
      <c r="W598" s="1">
        <v>1900000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4550643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0</v>
      </c>
      <c r="AO598" s="1">
        <v>39521030</v>
      </c>
      <c r="AP598" s="1">
        <v>3271237</v>
      </c>
      <c r="AQ598" s="1">
        <v>36249793</v>
      </c>
      <c r="AR598" s="1">
        <v>6994077</v>
      </c>
      <c r="AS598" s="1">
        <v>1049112</v>
      </c>
      <c r="AT598" s="1">
        <f t="shared" si="61"/>
        <v>47564219</v>
      </c>
    </row>
    <row r="599" spans="1:46" x14ac:dyDescent="0.2">
      <c r="A599" s="1" t="str">
        <f>"00690"</f>
        <v>00690</v>
      </c>
      <c r="B599" s="1" t="str">
        <f>"بهروز"</f>
        <v>بهروز</v>
      </c>
      <c r="C599" s="1" t="str">
        <f>"پرويز"</f>
        <v>پرويز</v>
      </c>
      <c r="D599" s="1" t="str">
        <f t="shared" si="64"/>
        <v>قراردادي کارگري</v>
      </c>
      <c r="E599" s="1" t="str">
        <f t="shared" si="63"/>
        <v>پروژه تعميرات نيروگاه بوشهر</v>
      </c>
      <c r="F599" s="1">
        <v>6647493</v>
      </c>
      <c r="G599" s="1">
        <v>0</v>
      </c>
      <c r="H599" s="1">
        <v>0</v>
      </c>
      <c r="I599" s="1">
        <v>4387345</v>
      </c>
      <c r="J599" s="1">
        <v>0</v>
      </c>
      <c r="K599" s="1">
        <v>0</v>
      </c>
      <c r="L599" s="1">
        <v>7628143</v>
      </c>
      <c r="M599" s="1">
        <v>1000000</v>
      </c>
      <c r="N599" s="1">
        <v>3498682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8050665</v>
      </c>
      <c r="W599" s="1">
        <v>1900000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33112328</v>
      </c>
      <c r="AP599" s="1">
        <v>9654176</v>
      </c>
      <c r="AQ599" s="1">
        <v>23458152</v>
      </c>
      <c r="AR599" s="1">
        <v>6622466</v>
      </c>
      <c r="AS599" s="1">
        <v>993370</v>
      </c>
      <c r="AT599" s="1">
        <f t="shared" si="61"/>
        <v>40728164</v>
      </c>
    </row>
    <row r="600" spans="1:46" x14ac:dyDescent="0.2">
      <c r="A600" s="1" t="str">
        <f>"00691"</f>
        <v>00691</v>
      </c>
      <c r="B600" s="1" t="str">
        <f>"محمود"</f>
        <v>محمود</v>
      </c>
      <c r="C600" s="1" t="str">
        <f>"تمجيدي"</f>
        <v>تمجيدي</v>
      </c>
      <c r="D600" s="1" t="str">
        <f t="shared" si="64"/>
        <v>قراردادي کارگري</v>
      </c>
      <c r="E600" s="1" t="str">
        <f t="shared" si="63"/>
        <v>پروژه تعميرات نيروگاه بوشهر</v>
      </c>
      <c r="F600" s="1">
        <v>8187238</v>
      </c>
      <c r="G600" s="1">
        <v>0</v>
      </c>
      <c r="H600" s="1">
        <v>0</v>
      </c>
      <c r="I600" s="1">
        <v>5649194</v>
      </c>
      <c r="J600" s="1">
        <v>0</v>
      </c>
      <c r="K600" s="1">
        <v>0</v>
      </c>
      <c r="L600" s="1">
        <v>7628143</v>
      </c>
      <c r="M600" s="1">
        <v>1000000</v>
      </c>
      <c r="N600" s="1">
        <v>4309072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9925759</v>
      </c>
      <c r="W600" s="1">
        <v>1900000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3033762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41633168</v>
      </c>
      <c r="AP600" s="1">
        <v>3411079</v>
      </c>
      <c r="AQ600" s="1">
        <v>38222089</v>
      </c>
      <c r="AR600" s="1">
        <v>7719881</v>
      </c>
      <c r="AS600" s="1">
        <v>1157982</v>
      </c>
      <c r="AT600" s="1">
        <f t="shared" si="61"/>
        <v>50511031</v>
      </c>
    </row>
    <row r="601" spans="1:46" x14ac:dyDescent="0.2">
      <c r="A601" s="1" t="str">
        <f>"00692"</f>
        <v>00692</v>
      </c>
      <c r="B601" s="1" t="str">
        <f>"محمد"</f>
        <v>محمد</v>
      </c>
      <c r="C601" s="1" t="str">
        <f>"تيموري"</f>
        <v>تيموري</v>
      </c>
      <c r="D601" s="1" t="str">
        <f t="shared" si="64"/>
        <v>قراردادي کارگري</v>
      </c>
      <c r="E601" s="1" t="str">
        <f t="shared" si="63"/>
        <v>پروژه تعميرات نيروگاه بوشهر</v>
      </c>
      <c r="F601" s="1">
        <v>9427479</v>
      </c>
      <c r="G601" s="1">
        <v>0</v>
      </c>
      <c r="H601" s="1">
        <v>0</v>
      </c>
      <c r="I601" s="1">
        <v>7636259</v>
      </c>
      <c r="J601" s="1">
        <v>0</v>
      </c>
      <c r="K601" s="1">
        <v>0</v>
      </c>
      <c r="L601" s="1">
        <v>7462913</v>
      </c>
      <c r="M601" s="1">
        <v>1000000</v>
      </c>
      <c r="N601" s="1">
        <v>5027988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7324045</v>
      </c>
      <c r="W601" s="1">
        <v>1900000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3033762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42812446</v>
      </c>
      <c r="AP601" s="1">
        <v>9686081</v>
      </c>
      <c r="AQ601" s="1">
        <v>33126365</v>
      </c>
      <c r="AR601" s="1">
        <v>7955737</v>
      </c>
      <c r="AS601" s="1">
        <v>1193361</v>
      </c>
      <c r="AT601" s="1">
        <f t="shared" si="61"/>
        <v>51961544</v>
      </c>
    </row>
    <row r="602" spans="1:46" x14ac:dyDescent="0.2">
      <c r="A602" s="1" t="str">
        <f>"00693"</f>
        <v>00693</v>
      </c>
      <c r="B602" s="1" t="str">
        <f>"قاسم"</f>
        <v>قاسم</v>
      </c>
      <c r="C602" s="1" t="str">
        <f>"جالبوتي"</f>
        <v>جالبوتي</v>
      </c>
      <c r="D602" s="1" t="str">
        <f t="shared" si="64"/>
        <v>قراردادي کارگري</v>
      </c>
      <c r="E602" s="1" t="str">
        <f t="shared" si="63"/>
        <v>پروژه تعميرات نيروگاه بوشهر</v>
      </c>
      <c r="F602" s="1">
        <v>7290600</v>
      </c>
      <c r="G602" s="1">
        <v>0</v>
      </c>
      <c r="H602" s="1">
        <v>0</v>
      </c>
      <c r="I602" s="1">
        <v>5249232</v>
      </c>
      <c r="J602" s="1">
        <v>0</v>
      </c>
      <c r="K602" s="1">
        <v>0</v>
      </c>
      <c r="L602" s="1">
        <v>7628143</v>
      </c>
      <c r="M602" s="1">
        <v>1000000</v>
      </c>
      <c r="N602" s="1">
        <v>3837157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9315621</v>
      </c>
      <c r="W602" s="1">
        <v>1900000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3033762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39254515</v>
      </c>
      <c r="AP602" s="1">
        <v>9947797</v>
      </c>
      <c r="AQ602" s="1">
        <v>29306718</v>
      </c>
      <c r="AR602" s="1">
        <v>7244151</v>
      </c>
      <c r="AS602" s="1">
        <v>1086623</v>
      </c>
      <c r="AT602" s="1">
        <f t="shared" si="61"/>
        <v>47585289</v>
      </c>
    </row>
    <row r="603" spans="1:46" x14ac:dyDescent="0.2">
      <c r="A603" s="1" t="str">
        <f>"00695"</f>
        <v>00695</v>
      </c>
      <c r="B603" s="1" t="str">
        <f>"جليل"</f>
        <v>جليل</v>
      </c>
      <c r="C603" s="1" t="str">
        <f>"جمالي"</f>
        <v>جمالي</v>
      </c>
      <c r="D603" s="1" t="str">
        <f t="shared" si="64"/>
        <v>قراردادي کارگري</v>
      </c>
      <c r="E603" s="1" t="str">
        <f t="shared" si="63"/>
        <v>پروژه تعميرات نيروگاه بوشهر</v>
      </c>
      <c r="F603" s="1">
        <v>9454319</v>
      </c>
      <c r="G603" s="1">
        <v>5176234</v>
      </c>
      <c r="H603" s="1">
        <v>0</v>
      </c>
      <c r="I603" s="1">
        <v>7563455</v>
      </c>
      <c r="J603" s="1">
        <v>0</v>
      </c>
      <c r="K603" s="1">
        <v>0</v>
      </c>
      <c r="L603" s="1">
        <v>7462913</v>
      </c>
      <c r="M603" s="1">
        <v>1000000</v>
      </c>
      <c r="N603" s="1">
        <v>5042303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7154325</v>
      </c>
      <c r="W603" s="1">
        <v>1900000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1516881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46270430</v>
      </c>
      <c r="AP603" s="1">
        <v>4262516</v>
      </c>
      <c r="AQ603" s="1">
        <v>42007914</v>
      </c>
      <c r="AR603" s="1">
        <v>8950710</v>
      </c>
      <c r="AS603" s="1">
        <v>1342606</v>
      </c>
      <c r="AT603" s="1">
        <f t="shared" si="61"/>
        <v>56563746</v>
      </c>
    </row>
    <row r="604" spans="1:46" x14ac:dyDescent="0.2">
      <c r="A604" s="1" t="str">
        <f>"00697"</f>
        <v>00697</v>
      </c>
      <c r="B604" s="1" t="str">
        <f>"افضل"</f>
        <v>افضل</v>
      </c>
      <c r="C604" s="1" t="str">
        <f>"حسن پور"</f>
        <v>حسن پور</v>
      </c>
      <c r="D604" s="1" t="str">
        <f t="shared" si="64"/>
        <v>قراردادي کارگري</v>
      </c>
      <c r="E604" s="1" t="str">
        <f t="shared" si="63"/>
        <v>پروژه تعميرات نيروگاه بوشهر</v>
      </c>
      <c r="F604" s="1">
        <v>9004753</v>
      </c>
      <c r="G604" s="1">
        <v>4493277</v>
      </c>
      <c r="H604" s="1">
        <v>0</v>
      </c>
      <c r="I604" s="1">
        <v>7293849</v>
      </c>
      <c r="J604" s="1">
        <v>0</v>
      </c>
      <c r="K604" s="1">
        <v>0</v>
      </c>
      <c r="L604" s="1">
        <v>7462913</v>
      </c>
      <c r="M604" s="1">
        <v>1000000</v>
      </c>
      <c r="N604" s="1">
        <v>4802537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13886716</v>
      </c>
      <c r="W604" s="1">
        <v>1900000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4284608</v>
      </c>
      <c r="AE604" s="1">
        <v>0</v>
      </c>
      <c r="AF604" s="1">
        <v>3033762</v>
      </c>
      <c r="AG604" s="1">
        <v>0</v>
      </c>
      <c r="AH604" s="1">
        <v>0</v>
      </c>
      <c r="AI604" s="1">
        <v>0</v>
      </c>
      <c r="AJ604" s="1">
        <v>3834263</v>
      </c>
      <c r="AK604" s="1">
        <v>0</v>
      </c>
      <c r="AL604" s="1">
        <v>0</v>
      </c>
      <c r="AM604" s="1">
        <v>0</v>
      </c>
      <c r="AN604" s="1">
        <v>0</v>
      </c>
      <c r="AO604" s="1">
        <v>60996678</v>
      </c>
      <c r="AP604" s="1">
        <v>6567331</v>
      </c>
      <c r="AQ604" s="1">
        <v>54429347</v>
      </c>
      <c r="AR604" s="1">
        <v>11592583</v>
      </c>
      <c r="AS604" s="1">
        <v>1738887</v>
      </c>
      <c r="AT604" s="1">
        <f t="shared" si="61"/>
        <v>74328148</v>
      </c>
    </row>
    <row r="605" spans="1:46" x14ac:dyDescent="0.2">
      <c r="A605" s="1" t="str">
        <f>"00698"</f>
        <v>00698</v>
      </c>
      <c r="B605" s="1" t="str">
        <f>"سيدعلي"</f>
        <v>سيدعلي</v>
      </c>
      <c r="C605" s="1" t="str">
        <f>"حسيني ملائي"</f>
        <v>حسيني ملائي</v>
      </c>
      <c r="D605" s="1" t="str">
        <f t="shared" si="64"/>
        <v>قراردادي کارگري</v>
      </c>
      <c r="E605" s="1" t="str">
        <f t="shared" si="63"/>
        <v>پروژه تعميرات نيروگاه بوشهر</v>
      </c>
      <c r="F605" s="1">
        <v>9925838</v>
      </c>
      <c r="G605" s="1">
        <v>2694696</v>
      </c>
      <c r="H605" s="1">
        <v>0</v>
      </c>
      <c r="I605" s="1">
        <v>7146604</v>
      </c>
      <c r="J605" s="1">
        <v>0</v>
      </c>
      <c r="K605" s="1">
        <v>0</v>
      </c>
      <c r="L605" s="1">
        <v>7628143</v>
      </c>
      <c r="M605" s="1">
        <v>1000000</v>
      </c>
      <c r="N605" s="1">
        <v>5090173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11012710</v>
      </c>
      <c r="W605" s="1">
        <v>1900000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1627293</v>
      </c>
      <c r="AD605" s="1">
        <v>0</v>
      </c>
      <c r="AE605" s="1">
        <v>0</v>
      </c>
      <c r="AF605" s="1">
        <v>3033762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51059219</v>
      </c>
      <c r="AP605" s="1">
        <v>8209560</v>
      </c>
      <c r="AQ605" s="1">
        <v>42849659</v>
      </c>
      <c r="AR605" s="1">
        <v>9605091</v>
      </c>
      <c r="AS605" s="1">
        <v>1440764</v>
      </c>
      <c r="AT605" s="1">
        <f t="shared" si="61"/>
        <v>62105074</v>
      </c>
    </row>
    <row r="606" spans="1:46" x14ac:dyDescent="0.2">
      <c r="A606" s="1" t="str">
        <f>"00699"</f>
        <v>00699</v>
      </c>
      <c r="B606" s="1" t="str">
        <f>"حسن"</f>
        <v>حسن</v>
      </c>
      <c r="C606" s="1" t="str">
        <f>"حيدريان"</f>
        <v>حيدريان</v>
      </c>
      <c r="D606" s="1" t="str">
        <f>"قراردادي بهره بردار"</f>
        <v>قراردادي بهره بردار</v>
      </c>
      <c r="E606" s="1" t="str">
        <f>"پروژه بهره برداري نيروگاه بوشهر"</f>
        <v>پروژه بهره برداري نيروگاه بوشهر</v>
      </c>
      <c r="F606" s="1">
        <v>12631384</v>
      </c>
      <c r="G606" s="1">
        <v>2441151</v>
      </c>
      <c r="H606" s="1">
        <v>0</v>
      </c>
      <c r="I606" s="1">
        <v>9197969</v>
      </c>
      <c r="J606" s="1">
        <v>0</v>
      </c>
      <c r="K606" s="1">
        <v>4620000</v>
      </c>
      <c r="L606" s="1">
        <v>0</v>
      </c>
      <c r="M606" s="1">
        <v>1000000</v>
      </c>
      <c r="N606" s="1">
        <v>2139953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1387000</v>
      </c>
      <c r="U606" s="1">
        <v>0</v>
      </c>
      <c r="V606" s="1">
        <v>7725178</v>
      </c>
      <c r="W606" s="1">
        <v>1900000</v>
      </c>
      <c r="X606" s="1">
        <v>1833588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1528538</v>
      </c>
      <c r="AF606" s="1">
        <v>0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10020219</v>
      </c>
      <c r="AM606" s="1">
        <v>0</v>
      </c>
      <c r="AN606" s="1">
        <v>0</v>
      </c>
      <c r="AO606" s="1">
        <v>56424980</v>
      </c>
      <c r="AP606" s="1">
        <v>8161650</v>
      </c>
      <c r="AQ606" s="1">
        <v>48263330</v>
      </c>
      <c r="AR606" s="1">
        <v>11284996</v>
      </c>
      <c r="AS606" s="1">
        <v>1692749</v>
      </c>
      <c r="AT606" s="1">
        <f t="shared" si="61"/>
        <v>69402725</v>
      </c>
    </row>
    <row r="607" spans="1:46" x14ac:dyDescent="0.2">
      <c r="A607" s="1" t="str">
        <f>"00700"</f>
        <v>00700</v>
      </c>
      <c r="B607" s="1" t="str">
        <f>"مصطفي"</f>
        <v>مصطفي</v>
      </c>
      <c r="C607" s="1" t="str">
        <f>"خاتومه"</f>
        <v>خاتومه</v>
      </c>
      <c r="D607" s="1" t="str">
        <f>"قراردادي کارگري"</f>
        <v>قراردادي کارگري</v>
      </c>
      <c r="E607" s="1" t="str">
        <f t="shared" ref="E607:E616" si="65">"پروژه تعميرات نيروگاه بوشهر"</f>
        <v>پروژه تعميرات نيروگاه بوشهر</v>
      </c>
      <c r="F607" s="1">
        <v>6517635</v>
      </c>
      <c r="G607" s="1">
        <v>2075337</v>
      </c>
      <c r="H607" s="1">
        <v>0</v>
      </c>
      <c r="I607" s="1">
        <v>3975757</v>
      </c>
      <c r="J607" s="1">
        <v>0</v>
      </c>
      <c r="K607" s="1">
        <v>0</v>
      </c>
      <c r="L607" s="1">
        <v>7630478</v>
      </c>
      <c r="M607" s="1">
        <v>1000000</v>
      </c>
      <c r="N607" s="1">
        <v>3430336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7856279</v>
      </c>
      <c r="W607" s="1">
        <v>1900000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3233131</v>
      </c>
      <c r="AE607" s="1">
        <v>0</v>
      </c>
      <c r="AF607" s="1">
        <v>1516881</v>
      </c>
      <c r="AG607" s="1">
        <v>0</v>
      </c>
      <c r="AH607" s="1">
        <v>0</v>
      </c>
      <c r="AI607" s="1">
        <v>0</v>
      </c>
      <c r="AJ607" s="1">
        <v>3984647</v>
      </c>
      <c r="AK607" s="1">
        <v>0</v>
      </c>
      <c r="AL607" s="1">
        <v>0</v>
      </c>
      <c r="AM607" s="1">
        <v>0</v>
      </c>
      <c r="AN607" s="1">
        <v>0</v>
      </c>
      <c r="AO607" s="1">
        <v>43120481</v>
      </c>
      <c r="AP607" s="1">
        <v>8244587</v>
      </c>
      <c r="AQ607" s="1">
        <v>34875894</v>
      </c>
      <c r="AR607" s="1">
        <v>8320720</v>
      </c>
      <c r="AS607" s="1">
        <v>1248108</v>
      </c>
      <c r="AT607" s="1">
        <f t="shared" si="61"/>
        <v>52689309</v>
      </c>
    </row>
    <row r="608" spans="1:46" x14ac:dyDescent="0.2">
      <c r="A608" s="1" t="str">
        <f>"00701"</f>
        <v>00701</v>
      </c>
      <c r="B608" s="1" t="str">
        <f>"رضا"</f>
        <v>رضا</v>
      </c>
      <c r="C608" s="1" t="str">
        <f>"خدري"</f>
        <v>خدري</v>
      </c>
      <c r="D608" s="1" t="str">
        <f>"قراردادي کارگري"</f>
        <v>قراردادي کارگري</v>
      </c>
      <c r="E608" s="1" t="str">
        <f t="shared" si="65"/>
        <v>پروژه تعميرات نيروگاه بوشهر</v>
      </c>
      <c r="F608" s="1">
        <v>9286571</v>
      </c>
      <c r="G608" s="1">
        <v>2043537</v>
      </c>
      <c r="H608" s="1">
        <v>0</v>
      </c>
      <c r="I608" s="1">
        <v>7429256</v>
      </c>
      <c r="J608" s="1">
        <v>0</v>
      </c>
      <c r="K608" s="1">
        <v>0</v>
      </c>
      <c r="L608" s="1">
        <v>7462913</v>
      </c>
      <c r="M608" s="1">
        <v>1000000</v>
      </c>
      <c r="N608" s="1">
        <v>4952838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7068214</v>
      </c>
      <c r="W608" s="1">
        <v>1900000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41143329</v>
      </c>
      <c r="AP608" s="1">
        <v>4313724</v>
      </c>
      <c r="AQ608" s="1">
        <v>36829605</v>
      </c>
      <c r="AR608" s="1">
        <v>8228666</v>
      </c>
      <c r="AS608" s="1">
        <v>1234300</v>
      </c>
      <c r="AT608" s="1">
        <f t="shared" si="61"/>
        <v>50606295</v>
      </c>
    </row>
    <row r="609" spans="1:46" x14ac:dyDescent="0.2">
      <c r="A609" s="1" t="str">
        <f>"00702"</f>
        <v>00702</v>
      </c>
      <c r="B609" s="1" t="str">
        <f>"عبدالرسول"</f>
        <v>عبدالرسول</v>
      </c>
      <c r="C609" s="1" t="str">
        <f>"خدري"</f>
        <v>خدري</v>
      </c>
      <c r="D609" s="1" t="str">
        <f>"قراردادي کارگري"</f>
        <v>قراردادي کارگري</v>
      </c>
      <c r="E609" s="1" t="str">
        <f t="shared" si="65"/>
        <v>پروژه تعميرات نيروگاه بوشهر</v>
      </c>
      <c r="F609" s="1">
        <v>6261011</v>
      </c>
      <c r="G609" s="1">
        <v>1419867</v>
      </c>
      <c r="H609" s="1">
        <v>0</v>
      </c>
      <c r="I609" s="1">
        <v>4007048</v>
      </c>
      <c r="J609" s="1">
        <v>0</v>
      </c>
      <c r="K609" s="1">
        <v>0</v>
      </c>
      <c r="L609" s="1">
        <v>7672721</v>
      </c>
      <c r="M609" s="1">
        <v>1000000</v>
      </c>
      <c r="N609" s="1">
        <v>3339204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7465071</v>
      </c>
      <c r="W609" s="1">
        <v>1900000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4550643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37615565</v>
      </c>
      <c r="AP609" s="1">
        <v>3324812</v>
      </c>
      <c r="AQ609" s="1">
        <v>34290753</v>
      </c>
      <c r="AR609" s="1">
        <v>6612984</v>
      </c>
      <c r="AS609" s="1">
        <v>991948</v>
      </c>
      <c r="AT609" s="1">
        <f t="shared" si="61"/>
        <v>45220497</v>
      </c>
    </row>
    <row r="610" spans="1:46" x14ac:dyDescent="0.2">
      <c r="A610" s="1" t="str">
        <f>"00703"</f>
        <v>00703</v>
      </c>
      <c r="B610" s="1" t="str">
        <f>"محمدحسين"</f>
        <v>محمدحسين</v>
      </c>
      <c r="C610" s="1" t="str">
        <f>"دريابگرد"</f>
        <v>دريابگرد</v>
      </c>
      <c r="D610" s="1" t="str">
        <f>"قراردادي بهره بردار"</f>
        <v>قراردادي بهره بردار</v>
      </c>
      <c r="E610" s="1" t="str">
        <f t="shared" si="65"/>
        <v>پروژه تعميرات نيروگاه بوشهر</v>
      </c>
      <c r="F610" s="1">
        <v>13512032</v>
      </c>
      <c r="G610" s="1">
        <v>0</v>
      </c>
      <c r="H610" s="1">
        <v>0</v>
      </c>
      <c r="I610" s="1">
        <v>9244028</v>
      </c>
      <c r="J610" s="1">
        <v>0</v>
      </c>
      <c r="K610" s="1">
        <v>3465000</v>
      </c>
      <c r="L610" s="1">
        <v>0</v>
      </c>
      <c r="M610" s="1">
        <v>1000000</v>
      </c>
      <c r="N610" s="1">
        <v>2448180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1387000</v>
      </c>
      <c r="U610" s="1">
        <v>0</v>
      </c>
      <c r="V610" s="1">
        <v>7644268</v>
      </c>
      <c r="W610" s="1">
        <v>1900000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1748700</v>
      </c>
      <c r="AF610" s="1">
        <v>0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7793735</v>
      </c>
      <c r="AM610" s="1">
        <v>0</v>
      </c>
      <c r="AN610" s="1">
        <v>0</v>
      </c>
      <c r="AO610" s="1">
        <v>50142943</v>
      </c>
      <c r="AP610" s="1">
        <v>8972485</v>
      </c>
      <c r="AQ610" s="1">
        <v>41170458</v>
      </c>
      <c r="AR610" s="1">
        <v>10028589</v>
      </c>
      <c r="AS610" s="1">
        <v>1504288</v>
      </c>
      <c r="AT610" s="1">
        <f t="shared" si="61"/>
        <v>61675820</v>
      </c>
    </row>
    <row r="611" spans="1:46" x14ac:dyDescent="0.2">
      <c r="A611" s="1" t="str">
        <f>"00704"</f>
        <v>00704</v>
      </c>
      <c r="B611" s="1" t="str">
        <f>"وحيد"</f>
        <v>وحيد</v>
      </c>
      <c r="C611" s="1" t="str">
        <f>"زنده بودي"</f>
        <v>زنده بودي</v>
      </c>
      <c r="D611" s="1" t="str">
        <f t="shared" ref="D611:D616" si="66">"قراردادي کارگري"</f>
        <v>قراردادي کارگري</v>
      </c>
      <c r="E611" s="1" t="str">
        <f t="shared" si="65"/>
        <v>پروژه تعميرات نيروگاه بوشهر</v>
      </c>
      <c r="F611" s="1">
        <v>7197844</v>
      </c>
      <c r="G611" s="1">
        <v>2098386</v>
      </c>
      <c r="H611" s="1">
        <v>0</v>
      </c>
      <c r="I611" s="1">
        <v>5110469</v>
      </c>
      <c r="J611" s="1">
        <v>0</v>
      </c>
      <c r="K611" s="1">
        <v>0</v>
      </c>
      <c r="L611" s="1">
        <v>7628143</v>
      </c>
      <c r="M611" s="1">
        <v>1000000</v>
      </c>
      <c r="N611" s="1">
        <v>3788338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6012329</v>
      </c>
      <c r="W611" s="1">
        <v>1900000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1516881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36252390</v>
      </c>
      <c r="AP611" s="1">
        <v>2629576</v>
      </c>
      <c r="AQ611" s="1">
        <v>33622814</v>
      </c>
      <c r="AR611" s="1">
        <v>6947102</v>
      </c>
      <c r="AS611" s="1">
        <v>1042065</v>
      </c>
      <c r="AT611" s="1">
        <f t="shared" si="61"/>
        <v>44241557</v>
      </c>
    </row>
    <row r="612" spans="1:46" x14ac:dyDescent="0.2">
      <c r="A612" s="1" t="str">
        <f>"00705"</f>
        <v>00705</v>
      </c>
      <c r="B612" s="1" t="str">
        <f>"امين"</f>
        <v>امين</v>
      </c>
      <c r="C612" s="1" t="str">
        <f>"زيارتي"</f>
        <v>زيارتي</v>
      </c>
      <c r="D612" s="1" t="str">
        <f t="shared" si="66"/>
        <v>قراردادي کارگري</v>
      </c>
      <c r="E612" s="1" t="str">
        <f t="shared" si="65"/>
        <v>پروژه تعميرات نيروگاه بوشهر</v>
      </c>
      <c r="F612" s="1">
        <v>7259681</v>
      </c>
      <c r="G612" s="1">
        <v>0</v>
      </c>
      <c r="H612" s="1">
        <v>0</v>
      </c>
      <c r="I612" s="1">
        <v>4863986</v>
      </c>
      <c r="J612" s="1">
        <v>0</v>
      </c>
      <c r="K612" s="1">
        <v>0</v>
      </c>
      <c r="L612" s="1">
        <v>7628143</v>
      </c>
      <c r="M612" s="1">
        <v>1000000</v>
      </c>
      <c r="N612" s="1">
        <v>3820886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9166430</v>
      </c>
      <c r="W612" s="1">
        <v>1900000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35639126</v>
      </c>
      <c r="AP612" s="1">
        <v>3975178</v>
      </c>
      <c r="AQ612" s="1">
        <v>31663948</v>
      </c>
      <c r="AR612" s="1">
        <v>7127825</v>
      </c>
      <c r="AS612" s="1">
        <v>1069174</v>
      </c>
      <c r="AT612" s="1">
        <f t="shared" si="61"/>
        <v>43836125</v>
      </c>
    </row>
    <row r="613" spans="1:46" x14ac:dyDescent="0.2">
      <c r="A613" s="1" t="str">
        <f>"00706"</f>
        <v>00706</v>
      </c>
      <c r="B613" s="1" t="str">
        <f>"اميد"</f>
        <v>اميد</v>
      </c>
      <c r="C613" s="1" t="str">
        <f>"شکيبايي"</f>
        <v>شکيبايي</v>
      </c>
      <c r="D613" s="1" t="str">
        <f t="shared" si="66"/>
        <v>قراردادي کارگري</v>
      </c>
      <c r="E613" s="1" t="str">
        <f t="shared" si="65"/>
        <v>پروژه تعميرات نيروگاه بوشهر</v>
      </c>
      <c r="F613" s="1">
        <v>6857939</v>
      </c>
      <c r="G613" s="1">
        <v>0</v>
      </c>
      <c r="H613" s="1">
        <v>0</v>
      </c>
      <c r="I613" s="1">
        <v>5074875</v>
      </c>
      <c r="J613" s="1">
        <v>0</v>
      </c>
      <c r="K613" s="1">
        <v>0</v>
      </c>
      <c r="L613" s="1">
        <v>7382074</v>
      </c>
      <c r="M613" s="1">
        <v>967742</v>
      </c>
      <c r="N613" s="1">
        <v>3609440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8005542</v>
      </c>
      <c r="W613" s="1">
        <v>1838710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2935899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36672221</v>
      </c>
      <c r="AP613" s="1">
        <v>2711514</v>
      </c>
      <c r="AQ613" s="1">
        <v>33960707</v>
      </c>
      <c r="AR613" s="1">
        <v>6747264</v>
      </c>
      <c r="AS613" s="1">
        <v>1012090</v>
      </c>
      <c r="AT613" s="1">
        <f t="shared" si="61"/>
        <v>44431575</v>
      </c>
    </row>
    <row r="614" spans="1:46" x14ac:dyDescent="0.2">
      <c r="A614" s="1" t="str">
        <f>"00707"</f>
        <v>00707</v>
      </c>
      <c r="B614" s="1" t="str">
        <f>"حسين"</f>
        <v>حسين</v>
      </c>
      <c r="C614" s="1" t="str">
        <f>"غلام پور"</f>
        <v>غلام پور</v>
      </c>
      <c r="D614" s="1" t="str">
        <f t="shared" si="66"/>
        <v>قراردادي کارگري</v>
      </c>
      <c r="E614" s="1" t="str">
        <f t="shared" si="65"/>
        <v>پروژه تعميرات نيروگاه بوشهر</v>
      </c>
      <c r="F614" s="1">
        <v>8784845</v>
      </c>
      <c r="G614" s="1">
        <v>271544</v>
      </c>
      <c r="H614" s="1">
        <v>0</v>
      </c>
      <c r="I614" s="1">
        <v>7554967</v>
      </c>
      <c r="J614" s="1">
        <v>0</v>
      </c>
      <c r="K614" s="1">
        <v>0</v>
      </c>
      <c r="L614" s="1">
        <v>7462913</v>
      </c>
      <c r="M614" s="1">
        <v>1000000</v>
      </c>
      <c r="N614" s="1">
        <v>4623602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10055358</v>
      </c>
      <c r="W614" s="1">
        <v>1900000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1516881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43170110</v>
      </c>
      <c r="AP614" s="1">
        <v>3757164</v>
      </c>
      <c r="AQ614" s="1">
        <v>39412946</v>
      </c>
      <c r="AR614" s="1">
        <v>8330646</v>
      </c>
      <c r="AS614" s="1">
        <v>1249597</v>
      </c>
      <c r="AT614" s="1">
        <f t="shared" si="61"/>
        <v>52750353</v>
      </c>
    </row>
    <row r="615" spans="1:46" x14ac:dyDescent="0.2">
      <c r="A615" s="1" t="str">
        <f>"00708"</f>
        <v>00708</v>
      </c>
      <c r="B615" s="1" t="str">
        <f>"محمود"</f>
        <v>محمود</v>
      </c>
      <c r="C615" s="1" t="str">
        <f>"محمدي"</f>
        <v>محمدي</v>
      </c>
      <c r="D615" s="1" t="str">
        <f t="shared" si="66"/>
        <v>قراردادي کارگري</v>
      </c>
      <c r="E615" s="1" t="str">
        <f t="shared" si="65"/>
        <v>پروژه تعميرات نيروگاه بوشهر</v>
      </c>
      <c r="F615" s="1">
        <v>8704677</v>
      </c>
      <c r="G615" s="1">
        <v>1583457</v>
      </c>
      <c r="H615" s="1">
        <v>0</v>
      </c>
      <c r="I615" s="1">
        <v>6093274</v>
      </c>
      <c r="J615" s="1">
        <v>0</v>
      </c>
      <c r="K615" s="1">
        <v>0</v>
      </c>
      <c r="L615" s="1">
        <v>7628143</v>
      </c>
      <c r="M615" s="1">
        <v>1000000</v>
      </c>
      <c r="N615" s="1">
        <v>4611748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10361906</v>
      </c>
      <c r="W615" s="1">
        <v>1900000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3033762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44916967</v>
      </c>
      <c r="AP615" s="1">
        <v>4946338</v>
      </c>
      <c r="AQ615" s="1">
        <v>39970629</v>
      </c>
      <c r="AR615" s="1">
        <v>8376641</v>
      </c>
      <c r="AS615" s="1">
        <v>1256496</v>
      </c>
      <c r="AT615" s="1">
        <f t="shared" si="61"/>
        <v>54550104</v>
      </c>
    </row>
    <row r="616" spans="1:46" x14ac:dyDescent="0.2">
      <c r="A616" s="1" t="str">
        <f>"00709"</f>
        <v>00709</v>
      </c>
      <c r="B616" s="1" t="str">
        <f>"سالار"</f>
        <v>سالار</v>
      </c>
      <c r="C616" s="1" t="str">
        <f>"نيکنام"</f>
        <v>نيکنام</v>
      </c>
      <c r="D616" s="1" t="str">
        <f t="shared" si="66"/>
        <v>قراردادي کارگري</v>
      </c>
      <c r="E616" s="1" t="str">
        <f t="shared" si="65"/>
        <v>پروژه تعميرات نيروگاه بوشهر</v>
      </c>
      <c r="F616" s="1">
        <v>6610391</v>
      </c>
      <c r="G616" s="1">
        <v>0</v>
      </c>
      <c r="H616" s="1">
        <v>0</v>
      </c>
      <c r="I616" s="1">
        <v>4627274</v>
      </c>
      <c r="J616" s="1">
        <v>0</v>
      </c>
      <c r="K616" s="1">
        <v>0</v>
      </c>
      <c r="L616" s="1">
        <v>7628143</v>
      </c>
      <c r="M616" s="1">
        <v>1000000</v>
      </c>
      <c r="N616" s="1">
        <v>3479153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8616153</v>
      </c>
      <c r="W616" s="1">
        <v>1900000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33861114</v>
      </c>
      <c r="AP616" s="1">
        <v>3313046</v>
      </c>
      <c r="AQ616" s="1">
        <v>30548068</v>
      </c>
      <c r="AR616" s="1">
        <v>6772223</v>
      </c>
      <c r="AS616" s="1">
        <v>1015833</v>
      </c>
      <c r="AT616" s="1">
        <f t="shared" si="61"/>
        <v>41649170</v>
      </c>
    </row>
    <row r="617" spans="1:46" x14ac:dyDescent="0.2">
      <c r="A617" s="1" t="str">
        <f>"00712"</f>
        <v>00712</v>
      </c>
      <c r="B617" s="1" t="str">
        <f>"محسن"</f>
        <v>محسن</v>
      </c>
      <c r="C617" s="1" t="str">
        <f>"خورشيدي"</f>
        <v>خورشيدي</v>
      </c>
      <c r="D617" s="1" t="str">
        <f>"قراردادي بهره بردار"</f>
        <v>قراردادي بهره بردار</v>
      </c>
      <c r="E617" s="1" t="str">
        <f>"پروژه بهره برداري نيروگاه بوشهر"</f>
        <v>پروژه بهره برداري نيروگاه بوشهر</v>
      </c>
      <c r="F617" s="1">
        <v>19521031</v>
      </c>
      <c r="G617" s="1">
        <v>1797742</v>
      </c>
      <c r="H617" s="1">
        <v>0</v>
      </c>
      <c r="I617" s="1">
        <v>13728502</v>
      </c>
      <c r="J617" s="1">
        <v>0</v>
      </c>
      <c r="K617" s="1">
        <v>5500000</v>
      </c>
      <c r="L617" s="1">
        <v>0</v>
      </c>
      <c r="M617" s="1">
        <v>1000000</v>
      </c>
      <c r="N617" s="1">
        <v>3094536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1606000</v>
      </c>
      <c r="U617" s="1">
        <v>0</v>
      </c>
      <c r="V617" s="1">
        <v>7954711</v>
      </c>
      <c r="W617" s="1">
        <v>1900000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2210383</v>
      </c>
      <c r="AF617" s="1">
        <v>1516881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4443986</v>
      </c>
      <c r="AM617" s="1">
        <v>0</v>
      </c>
      <c r="AN617" s="1">
        <v>0</v>
      </c>
      <c r="AO617" s="1">
        <v>64273772</v>
      </c>
      <c r="AP617" s="1">
        <v>29691928</v>
      </c>
      <c r="AQ617" s="1">
        <v>34581844</v>
      </c>
      <c r="AR617" s="1">
        <v>12551378</v>
      </c>
      <c r="AS617" s="1">
        <v>1882707</v>
      </c>
      <c r="AT617" s="1">
        <f t="shared" si="61"/>
        <v>78707857</v>
      </c>
    </row>
    <row r="618" spans="1:46" x14ac:dyDescent="0.2">
      <c r="A618" s="1" t="str">
        <f>"00713"</f>
        <v>00713</v>
      </c>
      <c r="B618" s="1" t="str">
        <f>"جعفر"</f>
        <v>جعفر</v>
      </c>
      <c r="C618" s="1" t="str">
        <f>"حيدري"</f>
        <v>حيدري</v>
      </c>
      <c r="D618" s="1" t="str">
        <f>"قراردادي کارگري"</f>
        <v>قراردادي کارگري</v>
      </c>
      <c r="E618" s="1" t="str">
        <f>"پروژه تعميرات نيروگاه بوشهر"</f>
        <v>پروژه تعميرات نيروگاه بوشهر</v>
      </c>
      <c r="F618" s="1">
        <v>7420458</v>
      </c>
      <c r="G618" s="1">
        <v>773098</v>
      </c>
      <c r="H618" s="1">
        <v>0</v>
      </c>
      <c r="I618" s="1">
        <v>5491139</v>
      </c>
      <c r="J618" s="1">
        <v>0</v>
      </c>
      <c r="K618" s="1">
        <v>0</v>
      </c>
      <c r="L618" s="1">
        <v>7628143</v>
      </c>
      <c r="M618" s="1">
        <v>1000000</v>
      </c>
      <c r="N618" s="1">
        <v>3905504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12074440</v>
      </c>
      <c r="W618" s="1">
        <v>1900000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4550643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44743425</v>
      </c>
      <c r="AP618" s="1">
        <v>3822488</v>
      </c>
      <c r="AQ618" s="1">
        <v>40920937</v>
      </c>
      <c r="AR618" s="1">
        <v>8038556</v>
      </c>
      <c r="AS618" s="1">
        <v>1205783</v>
      </c>
      <c r="AT618" s="1">
        <f t="shared" si="61"/>
        <v>53987764</v>
      </c>
    </row>
    <row r="619" spans="1:46" x14ac:dyDescent="0.2">
      <c r="A619" s="1" t="str">
        <f>"00714"</f>
        <v>00714</v>
      </c>
      <c r="B619" s="1" t="str">
        <f>"محمد"</f>
        <v>محمد</v>
      </c>
      <c r="C619" s="1" t="str">
        <f>"حيدري"</f>
        <v>حيدري</v>
      </c>
      <c r="D619" s="1" t="str">
        <f>"قراردادي کارگري"</f>
        <v>قراردادي کارگري</v>
      </c>
      <c r="E619" s="1" t="str">
        <f>"پروژه تعميرات نيروگاه بوشهر"</f>
        <v>پروژه تعميرات نيروگاه بوشهر</v>
      </c>
      <c r="F619" s="1">
        <v>7691076</v>
      </c>
      <c r="G619" s="1">
        <v>784966</v>
      </c>
      <c r="H619" s="1">
        <v>0</v>
      </c>
      <c r="I619" s="1">
        <v>5537575</v>
      </c>
      <c r="J619" s="1">
        <v>0</v>
      </c>
      <c r="K619" s="1">
        <v>0</v>
      </c>
      <c r="L619" s="1">
        <v>7628143</v>
      </c>
      <c r="M619" s="1">
        <v>1000000</v>
      </c>
      <c r="N619" s="1">
        <v>4074742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12148769</v>
      </c>
      <c r="W619" s="1">
        <v>1900000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3033762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43799033</v>
      </c>
      <c r="AP619" s="1">
        <v>3764115</v>
      </c>
      <c r="AQ619" s="1">
        <v>40034918</v>
      </c>
      <c r="AR619" s="1">
        <v>8153054</v>
      </c>
      <c r="AS619" s="1">
        <v>1222958</v>
      </c>
      <c r="AT619" s="1">
        <f t="shared" si="61"/>
        <v>53175045</v>
      </c>
    </row>
    <row r="620" spans="1:46" x14ac:dyDescent="0.2">
      <c r="A620" s="1" t="str">
        <f>"00715"</f>
        <v>00715</v>
      </c>
      <c r="B620" s="1" t="str">
        <f>"احمد"</f>
        <v>احمد</v>
      </c>
      <c r="C620" s="1" t="str">
        <f>"حيدري"</f>
        <v>حيدري</v>
      </c>
      <c r="D620" s="1" t="str">
        <f>"قراردادي کارگري"</f>
        <v>قراردادي کارگري</v>
      </c>
      <c r="E620" s="1" t="str">
        <f>"پروژه تعميرات نيروگاه بوشهر"</f>
        <v>پروژه تعميرات نيروگاه بوشهر</v>
      </c>
      <c r="F620" s="1">
        <v>9386553</v>
      </c>
      <c r="G620" s="1">
        <v>0</v>
      </c>
      <c r="H620" s="1">
        <v>0</v>
      </c>
      <c r="I620" s="1">
        <v>6946049</v>
      </c>
      <c r="J620" s="1">
        <v>0</v>
      </c>
      <c r="K620" s="1">
        <v>0</v>
      </c>
      <c r="L620" s="1">
        <v>7628143</v>
      </c>
      <c r="M620" s="1">
        <v>1000000</v>
      </c>
      <c r="N620" s="1">
        <v>4973009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14049385</v>
      </c>
      <c r="W620" s="1">
        <v>1900000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1516881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47400020</v>
      </c>
      <c r="AP620" s="1">
        <v>4446640</v>
      </c>
      <c r="AQ620" s="1">
        <v>42953380</v>
      </c>
      <c r="AR620" s="1">
        <v>9176628</v>
      </c>
      <c r="AS620" s="1">
        <v>1376494</v>
      </c>
      <c r="AT620" s="1">
        <f t="shared" si="61"/>
        <v>57953142</v>
      </c>
    </row>
    <row r="621" spans="1:46" x14ac:dyDescent="0.2">
      <c r="A621" s="1" t="str">
        <f>"00716"</f>
        <v>00716</v>
      </c>
      <c r="B621" s="1" t="str">
        <f>"شهربانو"</f>
        <v>شهربانو</v>
      </c>
      <c r="C621" s="1" t="str">
        <f>"قايدزاده مخبلندي"</f>
        <v>قايدزاده مخبلندي</v>
      </c>
      <c r="D621" s="1" t="str">
        <f>"قراردادي بهره بردار"</f>
        <v>قراردادي بهره بردار</v>
      </c>
      <c r="E621" s="1" t="str">
        <f>"پروژه بهره برداري نيروگاه بوشهر"</f>
        <v>پروژه بهره برداري نيروگاه بوشهر</v>
      </c>
      <c r="F621" s="1">
        <v>13010369</v>
      </c>
      <c r="G621" s="1">
        <v>0</v>
      </c>
      <c r="H621" s="1">
        <v>0</v>
      </c>
      <c r="I621" s="1">
        <v>9218348</v>
      </c>
      <c r="J621" s="1">
        <v>0</v>
      </c>
      <c r="K621" s="1">
        <v>3465000</v>
      </c>
      <c r="L621" s="1">
        <v>0</v>
      </c>
      <c r="M621" s="1">
        <v>1000000</v>
      </c>
      <c r="N621" s="1">
        <v>2299433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1387000</v>
      </c>
      <c r="U621" s="1">
        <v>0</v>
      </c>
      <c r="V621" s="1">
        <v>3045905</v>
      </c>
      <c r="W621" s="1">
        <v>1900000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1642452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4288449</v>
      </c>
      <c r="AM621" s="1">
        <v>0</v>
      </c>
      <c r="AN621" s="1">
        <v>0</v>
      </c>
      <c r="AO621" s="1">
        <v>41256956</v>
      </c>
      <c r="AP621" s="1">
        <v>13941242</v>
      </c>
      <c r="AQ621" s="1">
        <v>27315714</v>
      </c>
      <c r="AR621" s="1">
        <v>8251391</v>
      </c>
      <c r="AS621" s="1">
        <v>1237709</v>
      </c>
      <c r="AT621" s="1">
        <f t="shared" si="61"/>
        <v>50746056</v>
      </c>
    </row>
    <row r="622" spans="1:46" x14ac:dyDescent="0.2">
      <c r="A622" s="1" t="str">
        <f>"00717"</f>
        <v>00717</v>
      </c>
      <c r="B622" s="1" t="str">
        <f>"شاپور"</f>
        <v>شاپور</v>
      </c>
      <c r="C622" s="1" t="str">
        <f>"دشتيان"</f>
        <v>دشتيان</v>
      </c>
      <c r="D622" s="1" t="str">
        <f t="shared" ref="D622:D636" si="67">"قراردادي کارگري"</f>
        <v>قراردادي کارگري</v>
      </c>
      <c r="E622" s="1" t="str">
        <f t="shared" ref="E622:E646" si="68">"پروژه تعميرات نيروگاه بوشهر"</f>
        <v>پروژه تعميرات نيروگاه بوشهر</v>
      </c>
      <c r="F622" s="1">
        <v>12836134</v>
      </c>
      <c r="G622" s="1">
        <v>0</v>
      </c>
      <c r="H622" s="1">
        <v>0</v>
      </c>
      <c r="I622" s="1">
        <v>10653991</v>
      </c>
      <c r="J622" s="1">
        <v>0</v>
      </c>
      <c r="K622" s="1">
        <v>0</v>
      </c>
      <c r="L622" s="1">
        <v>7462913</v>
      </c>
      <c r="M622" s="1">
        <v>1000000</v>
      </c>
      <c r="N622" s="1">
        <v>6845939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8465097</v>
      </c>
      <c r="W622" s="1">
        <v>1900000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3033762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0</v>
      </c>
      <c r="AO622" s="1">
        <v>52197836</v>
      </c>
      <c r="AP622" s="1">
        <v>6163825</v>
      </c>
      <c r="AQ622" s="1">
        <v>46034011</v>
      </c>
      <c r="AR622" s="1">
        <v>9832815</v>
      </c>
      <c r="AS622" s="1">
        <v>1474922</v>
      </c>
      <c r="AT622" s="1">
        <f t="shared" si="61"/>
        <v>63505573</v>
      </c>
    </row>
    <row r="623" spans="1:46" x14ac:dyDescent="0.2">
      <c r="A623" s="1" t="str">
        <f>"00718"</f>
        <v>00718</v>
      </c>
      <c r="B623" s="1" t="str">
        <f>"احسان"</f>
        <v>احسان</v>
      </c>
      <c r="C623" s="1" t="str">
        <f>"صالحي"</f>
        <v>صالحي</v>
      </c>
      <c r="D623" s="1" t="str">
        <f t="shared" si="67"/>
        <v>قراردادي کارگري</v>
      </c>
      <c r="E623" s="1" t="str">
        <f t="shared" si="68"/>
        <v>پروژه تعميرات نيروگاه بوشهر</v>
      </c>
      <c r="F623" s="1">
        <v>8317096</v>
      </c>
      <c r="G623" s="1">
        <v>2213260</v>
      </c>
      <c r="H623" s="1">
        <v>0</v>
      </c>
      <c r="I623" s="1">
        <v>5988309</v>
      </c>
      <c r="J623" s="1">
        <v>0</v>
      </c>
      <c r="K623" s="1">
        <v>0</v>
      </c>
      <c r="L623" s="1">
        <v>7628143</v>
      </c>
      <c r="M623" s="1">
        <v>1000000</v>
      </c>
      <c r="N623" s="1">
        <v>4377418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12895359</v>
      </c>
      <c r="W623" s="1">
        <v>1900000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3946645</v>
      </c>
      <c r="AE623" s="1">
        <v>0</v>
      </c>
      <c r="AF623" s="1">
        <v>3033762</v>
      </c>
      <c r="AG623" s="1">
        <v>0</v>
      </c>
      <c r="AH623" s="1">
        <v>0</v>
      </c>
      <c r="AI623" s="1">
        <v>0</v>
      </c>
      <c r="AJ623" s="1">
        <v>3541217</v>
      </c>
      <c r="AK623" s="1">
        <v>0</v>
      </c>
      <c r="AL623" s="1">
        <v>0</v>
      </c>
      <c r="AM623" s="1">
        <v>0</v>
      </c>
      <c r="AN623" s="1">
        <v>0</v>
      </c>
      <c r="AO623" s="1">
        <v>54841209</v>
      </c>
      <c r="AP623" s="1">
        <v>12512813</v>
      </c>
      <c r="AQ623" s="1">
        <v>42328396</v>
      </c>
      <c r="AR623" s="1">
        <v>10361489</v>
      </c>
      <c r="AS623" s="1">
        <v>1554223</v>
      </c>
      <c r="AT623" s="1">
        <f t="shared" si="61"/>
        <v>66756921</v>
      </c>
    </row>
    <row r="624" spans="1:46" x14ac:dyDescent="0.2">
      <c r="A624" s="1" t="str">
        <f>"00719"</f>
        <v>00719</v>
      </c>
      <c r="B624" s="1" t="str">
        <f>"روح اله"</f>
        <v>روح اله</v>
      </c>
      <c r="C624" s="1" t="str">
        <f>"احمدي"</f>
        <v>احمدي</v>
      </c>
      <c r="D624" s="1" t="str">
        <f t="shared" si="67"/>
        <v>قراردادي کارگري</v>
      </c>
      <c r="E624" s="1" t="str">
        <f t="shared" si="68"/>
        <v>پروژه تعميرات نيروگاه بوشهر</v>
      </c>
      <c r="F624" s="1">
        <v>6309830</v>
      </c>
      <c r="G624" s="1">
        <v>1557876</v>
      </c>
      <c r="H624" s="1">
        <v>0</v>
      </c>
      <c r="I624" s="1">
        <v>3848996</v>
      </c>
      <c r="J624" s="1">
        <v>0</v>
      </c>
      <c r="K624" s="1">
        <v>0</v>
      </c>
      <c r="L624" s="1">
        <v>7672721</v>
      </c>
      <c r="M624" s="1">
        <v>1000000</v>
      </c>
      <c r="N624" s="1">
        <v>3154914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10552577</v>
      </c>
      <c r="W624" s="1">
        <v>1900000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3147969</v>
      </c>
      <c r="AE624" s="1">
        <v>0</v>
      </c>
      <c r="AF624" s="1">
        <v>3033762</v>
      </c>
      <c r="AG624" s="1">
        <v>0</v>
      </c>
      <c r="AH624" s="1">
        <v>0</v>
      </c>
      <c r="AI624" s="1">
        <v>0</v>
      </c>
      <c r="AJ624" s="1">
        <v>2848687</v>
      </c>
      <c r="AK624" s="1">
        <v>0</v>
      </c>
      <c r="AL624" s="1">
        <v>0</v>
      </c>
      <c r="AM624" s="1">
        <v>0</v>
      </c>
      <c r="AN624" s="1">
        <v>0</v>
      </c>
      <c r="AO624" s="1">
        <v>45027332</v>
      </c>
      <c r="AP624" s="1">
        <v>3964328</v>
      </c>
      <c r="AQ624" s="1">
        <v>41063004</v>
      </c>
      <c r="AR624" s="1">
        <v>8398714</v>
      </c>
      <c r="AS624" s="1">
        <v>1259807</v>
      </c>
      <c r="AT624" s="1">
        <f t="shared" si="61"/>
        <v>54685853</v>
      </c>
    </row>
    <row r="625" spans="1:46" x14ac:dyDescent="0.2">
      <c r="A625" s="1" t="str">
        <f>"00720"</f>
        <v>00720</v>
      </c>
      <c r="B625" s="1" t="str">
        <f>"علي کرم"</f>
        <v>علي کرم</v>
      </c>
      <c r="C625" s="1" t="str">
        <f>"جعفري"</f>
        <v>جعفري</v>
      </c>
      <c r="D625" s="1" t="str">
        <f t="shared" si="67"/>
        <v>قراردادي کارگري</v>
      </c>
      <c r="E625" s="1" t="str">
        <f t="shared" si="68"/>
        <v>پروژه تعميرات نيروگاه بوشهر</v>
      </c>
      <c r="F625" s="1">
        <v>6950496</v>
      </c>
      <c r="G625" s="1">
        <v>1972988</v>
      </c>
      <c r="H625" s="1">
        <v>0</v>
      </c>
      <c r="I625" s="1">
        <v>5073862</v>
      </c>
      <c r="J625" s="1">
        <v>0</v>
      </c>
      <c r="K625" s="1">
        <v>0</v>
      </c>
      <c r="L625" s="1">
        <v>7672721</v>
      </c>
      <c r="M625" s="1">
        <v>1000000</v>
      </c>
      <c r="N625" s="1">
        <v>3658155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11594836</v>
      </c>
      <c r="W625" s="1">
        <v>1900000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3503285</v>
      </c>
      <c r="AE625" s="1">
        <v>0</v>
      </c>
      <c r="AF625" s="1">
        <v>4550643</v>
      </c>
      <c r="AG625" s="1">
        <v>0</v>
      </c>
      <c r="AH625" s="1">
        <v>0</v>
      </c>
      <c r="AI625" s="1">
        <v>0</v>
      </c>
      <c r="AJ625" s="1">
        <v>3156780</v>
      </c>
      <c r="AK625" s="1">
        <v>0</v>
      </c>
      <c r="AL625" s="1">
        <v>0</v>
      </c>
      <c r="AM625" s="1">
        <v>0</v>
      </c>
      <c r="AN625" s="1">
        <v>0</v>
      </c>
      <c r="AO625" s="1">
        <v>51033766</v>
      </c>
      <c r="AP625" s="1">
        <v>34215169</v>
      </c>
      <c r="AQ625" s="1">
        <v>16818597</v>
      </c>
      <c r="AR625" s="1">
        <v>9296625</v>
      </c>
      <c r="AS625" s="1">
        <v>1394494</v>
      </c>
      <c r="AT625" s="1">
        <f t="shared" si="61"/>
        <v>61724885</v>
      </c>
    </row>
    <row r="626" spans="1:46" x14ac:dyDescent="0.2">
      <c r="A626" s="1" t="str">
        <f>"00721"</f>
        <v>00721</v>
      </c>
      <c r="B626" s="1" t="str">
        <f>"بهنام"</f>
        <v>بهنام</v>
      </c>
      <c r="C626" s="1" t="str">
        <f>"حسين آبادي چاه عربي"</f>
        <v>حسين آبادي چاه عربي</v>
      </c>
      <c r="D626" s="1" t="str">
        <f t="shared" si="67"/>
        <v>قراردادي کارگري</v>
      </c>
      <c r="E626" s="1" t="str">
        <f t="shared" si="68"/>
        <v>پروژه تعميرات نيروگاه بوشهر</v>
      </c>
      <c r="F626" s="1">
        <v>9165404</v>
      </c>
      <c r="G626" s="1">
        <v>2067897</v>
      </c>
      <c r="H626" s="1">
        <v>0</v>
      </c>
      <c r="I626" s="1">
        <v>6507437</v>
      </c>
      <c r="J626" s="1">
        <v>0</v>
      </c>
      <c r="K626" s="1">
        <v>0</v>
      </c>
      <c r="L626" s="1">
        <v>7628143</v>
      </c>
      <c r="M626" s="1">
        <v>1000000</v>
      </c>
      <c r="N626" s="1">
        <v>4855843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13707538</v>
      </c>
      <c r="W626" s="1">
        <v>1900000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4223524</v>
      </c>
      <c r="AE626" s="1">
        <v>0</v>
      </c>
      <c r="AF626" s="1">
        <v>3033762</v>
      </c>
      <c r="AG626" s="1">
        <v>0</v>
      </c>
      <c r="AH626" s="1">
        <v>0</v>
      </c>
      <c r="AI626" s="1">
        <v>0</v>
      </c>
      <c r="AJ626" s="1">
        <v>3781298</v>
      </c>
      <c r="AK626" s="1">
        <v>0</v>
      </c>
      <c r="AL626" s="1">
        <v>0</v>
      </c>
      <c r="AM626" s="1">
        <v>0</v>
      </c>
      <c r="AN626" s="1">
        <v>0</v>
      </c>
      <c r="AO626" s="1">
        <v>57870846</v>
      </c>
      <c r="AP626" s="1">
        <v>6057821</v>
      </c>
      <c r="AQ626" s="1">
        <v>51813025</v>
      </c>
      <c r="AR626" s="1">
        <v>10967417</v>
      </c>
      <c r="AS626" s="1">
        <v>1645113</v>
      </c>
      <c r="AT626" s="1">
        <f t="shared" si="61"/>
        <v>70483376</v>
      </c>
    </row>
    <row r="627" spans="1:46" x14ac:dyDescent="0.2">
      <c r="A627" s="1" t="str">
        <f>"00722"</f>
        <v>00722</v>
      </c>
      <c r="B627" s="1" t="str">
        <f>"امير"</f>
        <v>امير</v>
      </c>
      <c r="C627" s="1" t="str">
        <f>"داس زرين"</f>
        <v>داس زرين</v>
      </c>
      <c r="D627" s="1" t="str">
        <f t="shared" si="67"/>
        <v>قراردادي کارگري</v>
      </c>
      <c r="E627" s="1" t="str">
        <f t="shared" si="68"/>
        <v>پروژه تعميرات نيروگاه بوشهر</v>
      </c>
      <c r="F627" s="1">
        <v>6529515</v>
      </c>
      <c r="G627" s="1">
        <v>1891895</v>
      </c>
      <c r="H627" s="1">
        <v>0</v>
      </c>
      <c r="I627" s="1">
        <v>4701250</v>
      </c>
      <c r="J627" s="1">
        <v>0</v>
      </c>
      <c r="K627" s="1">
        <v>0</v>
      </c>
      <c r="L627" s="1">
        <v>7644493</v>
      </c>
      <c r="M627" s="1">
        <v>1000000</v>
      </c>
      <c r="N627" s="1">
        <v>3482409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11155906</v>
      </c>
      <c r="W627" s="1">
        <v>1900000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3353650</v>
      </c>
      <c r="AE627" s="1">
        <v>0</v>
      </c>
      <c r="AF627" s="1">
        <v>1516881</v>
      </c>
      <c r="AG627" s="1">
        <v>0</v>
      </c>
      <c r="AH627" s="1">
        <v>0</v>
      </c>
      <c r="AI627" s="1">
        <v>0</v>
      </c>
      <c r="AJ627" s="1">
        <v>4540548</v>
      </c>
      <c r="AK627" s="1">
        <v>0</v>
      </c>
      <c r="AL627" s="1">
        <v>0</v>
      </c>
      <c r="AM627" s="1">
        <v>0</v>
      </c>
      <c r="AN627" s="1">
        <v>0</v>
      </c>
      <c r="AO627" s="1">
        <v>47716547</v>
      </c>
      <c r="AP627" s="1">
        <v>10868717</v>
      </c>
      <c r="AQ627" s="1">
        <v>36847830</v>
      </c>
      <c r="AR627" s="1">
        <v>9239933</v>
      </c>
      <c r="AS627" s="1">
        <v>1385990</v>
      </c>
      <c r="AT627" s="1">
        <f t="shared" si="61"/>
        <v>58342470</v>
      </c>
    </row>
    <row r="628" spans="1:46" x14ac:dyDescent="0.2">
      <c r="A628" s="1" t="str">
        <f>"00723"</f>
        <v>00723</v>
      </c>
      <c r="B628" s="1" t="str">
        <f>"غلامرضا"</f>
        <v>غلامرضا</v>
      </c>
      <c r="C628" s="1" t="str">
        <f>"شاکري"</f>
        <v>شاکري</v>
      </c>
      <c r="D628" s="1" t="str">
        <f t="shared" si="67"/>
        <v>قراردادي کارگري</v>
      </c>
      <c r="E628" s="1" t="str">
        <f t="shared" si="68"/>
        <v>پروژه تعميرات نيروگاه بوشهر</v>
      </c>
      <c r="F628" s="1">
        <v>10486156</v>
      </c>
      <c r="G628" s="1">
        <v>1946446</v>
      </c>
      <c r="H628" s="1">
        <v>0</v>
      </c>
      <c r="I628" s="1">
        <v>7340309</v>
      </c>
      <c r="J628" s="1">
        <v>0</v>
      </c>
      <c r="K628" s="1">
        <v>0</v>
      </c>
      <c r="L628" s="1">
        <v>7628143</v>
      </c>
      <c r="M628" s="1">
        <v>1000000</v>
      </c>
      <c r="N628" s="1">
        <v>5555580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14963016</v>
      </c>
      <c r="W628" s="1">
        <v>1900000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4651528</v>
      </c>
      <c r="AE628" s="1">
        <v>0</v>
      </c>
      <c r="AF628" s="1">
        <v>1516881</v>
      </c>
      <c r="AG628" s="1">
        <v>0</v>
      </c>
      <c r="AH628" s="1">
        <v>0</v>
      </c>
      <c r="AI628" s="1">
        <v>0</v>
      </c>
      <c r="AJ628" s="1">
        <v>6228628</v>
      </c>
      <c r="AK628" s="1">
        <v>0</v>
      </c>
      <c r="AL628" s="1">
        <v>0</v>
      </c>
      <c r="AM628" s="1">
        <v>0</v>
      </c>
      <c r="AN628" s="1">
        <v>0</v>
      </c>
      <c r="AO628" s="1">
        <v>63216687</v>
      </c>
      <c r="AP628" s="1">
        <v>10426306</v>
      </c>
      <c r="AQ628" s="1">
        <v>52790381</v>
      </c>
      <c r="AR628" s="1">
        <v>12339961</v>
      </c>
      <c r="AS628" s="1">
        <v>1850994</v>
      </c>
      <c r="AT628" s="1">
        <f t="shared" si="61"/>
        <v>77407642</v>
      </c>
    </row>
    <row r="629" spans="1:46" x14ac:dyDescent="0.2">
      <c r="A629" s="1" t="str">
        <f>"00724"</f>
        <v>00724</v>
      </c>
      <c r="B629" s="1" t="str">
        <f>"محسن"</f>
        <v>محسن</v>
      </c>
      <c r="C629" s="1" t="str">
        <f>"شيخياني"</f>
        <v>شيخياني</v>
      </c>
      <c r="D629" s="1" t="str">
        <f t="shared" si="67"/>
        <v>قراردادي کارگري</v>
      </c>
      <c r="E629" s="1" t="str">
        <f t="shared" si="68"/>
        <v>پروژه تعميرات نيروگاه بوشهر</v>
      </c>
      <c r="F629" s="1">
        <v>8059658</v>
      </c>
      <c r="G629" s="1">
        <v>1897468</v>
      </c>
      <c r="H629" s="1">
        <v>0</v>
      </c>
      <c r="I629" s="1">
        <v>5802954</v>
      </c>
      <c r="J629" s="1">
        <v>0</v>
      </c>
      <c r="K629" s="1">
        <v>0</v>
      </c>
      <c r="L629" s="1">
        <v>7628143</v>
      </c>
      <c r="M629" s="1">
        <v>1000000</v>
      </c>
      <c r="N629" s="1">
        <v>4270018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12653273</v>
      </c>
      <c r="W629" s="1">
        <v>1900000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3864116</v>
      </c>
      <c r="AE629" s="1">
        <v>0</v>
      </c>
      <c r="AF629" s="1">
        <v>4550643</v>
      </c>
      <c r="AG629" s="1">
        <v>0</v>
      </c>
      <c r="AH629" s="1">
        <v>0</v>
      </c>
      <c r="AI629" s="1">
        <v>0</v>
      </c>
      <c r="AJ629" s="1">
        <v>3469656</v>
      </c>
      <c r="AK629" s="1">
        <v>0</v>
      </c>
      <c r="AL629" s="1">
        <v>0</v>
      </c>
      <c r="AM629" s="1">
        <v>0</v>
      </c>
      <c r="AN629" s="1">
        <v>0</v>
      </c>
      <c r="AO629" s="1">
        <v>55095929</v>
      </c>
      <c r="AP629" s="1">
        <v>5509946</v>
      </c>
      <c r="AQ629" s="1">
        <v>49585983</v>
      </c>
      <c r="AR629" s="1">
        <v>10109057</v>
      </c>
      <c r="AS629" s="1">
        <v>1516359</v>
      </c>
      <c r="AT629" s="1">
        <f t="shared" si="61"/>
        <v>66721345</v>
      </c>
    </row>
    <row r="630" spans="1:46" x14ac:dyDescent="0.2">
      <c r="A630" s="1" t="str">
        <f>"00725"</f>
        <v>00725</v>
      </c>
      <c r="B630" s="1" t="str">
        <f>"سيد مهدي"</f>
        <v>سيد مهدي</v>
      </c>
      <c r="C630" s="1" t="str">
        <f>"عسکري"</f>
        <v>عسکري</v>
      </c>
      <c r="D630" s="1" t="str">
        <f t="shared" si="67"/>
        <v>قراردادي کارگري</v>
      </c>
      <c r="E630" s="1" t="str">
        <f t="shared" si="68"/>
        <v>پروژه تعميرات نيروگاه بوشهر</v>
      </c>
      <c r="F630" s="1">
        <v>8638649</v>
      </c>
      <c r="G630" s="1">
        <v>8823487</v>
      </c>
      <c r="H630" s="1">
        <v>0</v>
      </c>
      <c r="I630" s="1">
        <v>6219828</v>
      </c>
      <c r="J630" s="1">
        <v>0</v>
      </c>
      <c r="K630" s="1">
        <v>0</v>
      </c>
      <c r="L630" s="1">
        <v>7672721</v>
      </c>
      <c r="M630" s="1">
        <v>1000000</v>
      </c>
      <c r="N630" s="1">
        <v>4546656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9699033</v>
      </c>
      <c r="W630" s="1">
        <v>1900000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1516881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50017255</v>
      </c>
      <c r="AP630" s="1">
        <v>4873249</v>
      </c>
      <c r="AQ630" s="1">
        <v>45144006</v>
      </c>
      <c r="AR630" s="1">
        <v>9700075</v>
      </c>
      <c r="AS630" s="1">
        <v>1455011</v>
      </c>
      <c r="AT630" s="1">
        <f t="shared" si="61"/>
        <v>61172341</v>
      </c>
    </row>
    <row r="631" spans="1:46" x14ac:dyDescent="0.2">
      <c r="A631" s="1" t="str">
        <f>"00726"</f>
        <v>00726</v>
      </c>
      <c r="B631" s="1" t="str">
        <f>"مهدي"</f>
        <v>مهدي</v>
      </c>
      <c r="C631" s="1" t="str">
        <f>"زارعي ونوول"</f>
        <v>زارعي ونوول</v>
      </c>
      <c r="D631" s="1" t="str">
        <f t="shared" si="67"/>
        <v>قراردادي کارگري</v>
      </c>
      <c r="E631" s="1" t="str">
        <f t="shared" si="68"/>
        <v>پروژه تعميرات نيروگاه بوشهر</v>
      </c>
      <c r="F631" s="1">
        <v>9036401</v>
      </c>
      <c r="G631" s="1">
        <v>0</v>
      </c>
      <c r="H631" s="1">
        <v>0</v>
      </c>
      <c r="I631" s="1">
        <v>6325481</v>
      </c>
      <c r="J631" s="1">
        <v>0</v>
      </c>
      <c r="K631" s="1">
        <v>0</v>
      </c>
      <c r="L631" s="1">
        <v>7628143</v>
      </c>
      <c r="M631" s="1">
        <v>1000000</v>
      </c>
      <c r="N631" s="1">
        <v>4787497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6924192</v>
      </c>
      <c r="W631" s="1">
        <v>1900000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3033762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40635476</v>
      </c>
      <c r="AP631" s="1">
        <v>8424908</v>
      </c>
      <c r="AQ631" s="1">
        <v>32210568</v>
      </c>
      <c r="AR631" s="1">
        <v>7520343</v>
      </c>
      <c r="AS631" s="1">
        <v>1128051</v>
      </c>
      <c r="AT631" s="1">
        <f t="shared" si="61"/>
        <v>49283870</v>
      </c>
    </row>
    <row r="632" spans="1:46" x14ac:dyDescent="0.2">
      <c r="A632" s="1" t="str">
        <f>"00727"</f>
        <v>00727</v>
      </c>
      <c r="B632" s="1" t="str">
        <f>"عبدالناصر"</f>
        <v>عبدالناصر</v>
      </c>
      <c r="C632" s="1" t="str">
        <f>"بچاچري نژاد"</f>
        <v>بچاچري نژاد</v>
      </c>
      <c r="D632" s="1" t="str">
        <f t="shared" si="67"/>
        <v>قراردادي کارگري</v>
      </c>
      <c r="E632" s="1" t="str">
        <f t="shared" si="68"/>
        <v>پروژه تعميرات نيروگاه بوشهر</v>
      </c>
      <c r="F632" s="1">
        <v>6969046</v>
      </c>
      <c r="G632" s="1">
        <v>2313397</v>
      </c>
      <c r="H632" s="1">
        <v>0</v>
      </c>
      <c r="I632" s="1">
        <v>5296475</v>
      </c>
      <c r="J632" s="1">
        <v>0</v>
      </c>
      <c r="K632" s="1">
        <v>0</v>
      </c>
      <c r="L632" s="1">
        <v>7672721</v>
      </c>
      <c r="M632" s="1">
        <v>1000000</v>
      </c>
      <c r="N632" s="1">
        <v>3667920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9177976</v>
      </c>
      <c r="W632" s="1">
        <v>1900000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3540924</v>
      </c>
      <c r="AE632" s="1">
        <v>0</v>
      </c>
      <c r="AF632" s="1">
        <v>6067524</v>
      </c>
      <c r="AG632" s="1">
        <v>0</v>
      </c>
      <c r="AH632" s="1">
        <v>0</v>
      </c>
      <c r="AI632" s="1">
        <v>0</v>
      </c>
      <c r="AJ632" s="1">
        <v>4441722</v>
      </c>
      <c r="AK632" s="1">
        <v>0</v>
      </c>
      <c r="AL632" s="1">
        <v>0</v>
      </c>
      <c r="AM632" s="1">
        <v>0</v>
      </c>
      <c r="AN632" s="1">
        <v>0</v>
      </c>
      <c r="AO632" s="1">
        <v>52047705</v>
      </c>
      <c r="AP632" s="1">
        <v>8368968</v>
      </c>
      <c r="AQ632" s="1">
        <v>43678737</v>
      </c>
      <c r="AR632" s="1">
        <v>9196036</v>
      </c>
      <c r="AS632" s="1">
        <v>1379405</v>
      </c>
      <c r="AT632" s="1">
        <f t="shared" si="61"/>
        <v>62623146</v>
      </c>
    </row>
    <row r="633" spans="1:46" x14ac:dyDescent="0.2">
      <c r="A633" s="1" t="str">
        <f>"00728"</f>
        <v>00728</v>
      </c>
      <c r="B633" s="1" t="str">
        <f>"مهدي"</f>
        <v>مهدي</v>
      </c>
      <c r="C633" s="1" t="str">
        <f>"آبسته"</f>
        <v>آبسته</v>
      </c>
      <c r="D633" s="1" t="str">
        <f t="shared" si="67"/>
        <v>قراردادي کارگري</v>
      </c>
      <c r="E633" s="1" t="str">
        <f t="shared" si="68"/>
        <v>پروژه تعميرات نيروگاه بوشهر</v>
      </c>
      <c r="F633" s="1">
        <v>6505267</v>
      </c>
      <c r="G633" s="1">
        <v>0</v>
      </c>
      <c r="H633" s="1">
        <v>0</v>
      </c>
      <c r="I633" s="1">
        <v>4618741</v>
      </c>
      <c r="J633" s="1">
        <v>0</v>
      </c>
      <c r="K633" s="1">
        <v>0</v>
      </c>
      <c r="L633" s="1">
        <v>7628143</v>
      </c>
      <c r="M633" s="1">
        <v>1000000</v>
      </c>
      <c r="N633" s="1">
        <v>3423825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8684562</v>
      </c>
      <c r="W633" s="1">
        <v>1900000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33760538</v>
      </c>
      <c r="AP633" s="1">
        <v>3404230</v>
      </c>
      <c r="AQ633" s="1">
        <v>30356308</v>
      </c>
      <c r="AR633" s="1">
        <v>6752108</v>
      </c>
      <c r="AS633" s="1">
        <v>1012816</v>
      </c>
      <c r="AT633" s="1">
        <f t="shared" si="61"/>
        <v>41525462</v>
      </c>
    </row>
    <row r="634" spans="1:46" x14ac:dyDescent="0.2">
      <c r="A634" s="1" t="str">
        <f>"00729"</f>
        <v>00729</v>
      </c>
      <c r="B634" s="1" t="str">
        <f>"مصطفي"</f>
        <v>مصطفي</v>
      </c>
      <c r="C634" s="1" t="str">
        <f>"ايرج زاده"</f>
        <v>ايرج زاده</v>
      </c>
      <c r="D634" s="1" t="str">
        <f t="shared" si="67"/>
        <v>قراردادي کارگري</v>
      </c>
      <c r="E634" s="1" t="str">
        <f t="shared" si="68"/>
        <v>پروژه تعميرات نيروگاه بوشهر</v>
      </c>
      <c r="F634" s="1">
        <v>6975230</v>
      </c>
      <c r="G634" s="1">
        <v>0</v>
      </c>
      <c r="H634" s="1">
        <v>0</v>
      </c>
      <c r="I634" s="1">
        <v>4882661</v>
      </c>
      <c r="J634" s="1">
        <v>0</v>
      </c>
      <c r="K634" s="1">
        <v>0</v>
      </c>
      <c r="L634" s="1">
        <v>7628143</v>
      </c>
      <c r="M634" s="1">
        <v>1000000</v>
      </c>
      <c r="N634" s="1">
        <v>3671174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9023086</v>
      </c>
      <c r="W634" s="1">
        <v>1900000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  <c r="AI634" s="1">
        <v>0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35080294</v>
      </c>
      <c r="AP634" s="1">
        <v>2534088</v>
      </c>
      <c r="AQ634" s="1">
        <v>32546206</v>
      </c>
      <c r="AR634" s="1">
        <v>7016059</v>
      </c>
      <c r="AS634" s="1">
        <v>1052409</v>
      </c>
      <c r="AT634" s="1">
        <f t="shared" si="61"/>
        <v>43148762</v>
      </c>
    </row>
    <row r="635" spans="1:46" x14ac:dyDescent="0.2">
      <c r="A635" s="1" t="str">
        <f>"00731"</f>
        <v>00731</v>
      </c>
      <c r="B635" s="1" t="str">
        <f>"امير"</f>
        <v>امير</v>
      </c>
      <c r="C635" s="1" t="str">
        <f>"جمالي نژاد"</f>
        <v>جمالي نژاد</v>
      </c>
      <c r="D635" s="1" t="str">
        <f t="shared" si="67"/>
        <v>قراردادي کارگري</v>
      </c>
      <c r="E635" s="1" t="str">
        <f t="shared" si="68"/>
        <v>پروژه تعميرات نيروگاه بوشهر</v>
      </c>
      <c r="F635" s="1">
        <v>8919684</v>
      </c>
      <c r="G635" s="1">
        <v>1346531</v>
      </c>
      <c r="H635" s="1">
        <v>0</v>
      </c>
      <c r="I635" s="1">
        <v>6332975</v>
      </c>
      <c r="J635" s="1">
        <v>0</v>
      </c>
      <c r="K635" s="1">
        <v>0</v>
      </c>
      <c r="L635" s="1">
        <v>7628143</v>
      </c>
      <c r="M635" s="1">
        <v>1000000</v>
      </c>
      <c r="N635" s="1">
        <v>4725660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10558079</v>
      </c>
      <c r="W635" s="1">
        <v>1900000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4140969</v>
      </c>
      <c r="AE635" s="1">
        <v>0</v>
      </c>
      <c r="AF635" s="1">
        <v>3033762</v>
      </c>
      <c r="AG635" s="1">
        <v>0</v>
      </c>
      <c r="AH635" s="1">
        <v>0</v>
      </c>
      <c r="AI635" s="1">
        <v>0</v>
      </c>
      <c r="AJ635" s="1">
        <v>3447120</v>
      </c>
      <c r="AK635" s="1">
        <v>0</v>
      </c>
      <c r="AL635" s="1">
        <v>0</v>
      </c>
      <c r="AM635" s="1">
        <v>0</v>
      </c>
      <c r="AN635" s="1">
        <v>0</v>
      </c>
      <c r="AO635" s="1">
        <v>53032923</v>
      </c>
      <c r="AP635" s="1">
        <v>5269239</v>
      </c>
      <c r="AQ635" s="1">
        <v>47763684</v>
      </c>
      <c r="AR635" s="1">
        <v>9999832</v>
      </c>
      <c r="AS635" s="1">
        <v>1499975</v>
      </c>
      <c r="AT635" s="1">
        <f t="shared" si="61"/>
        <v>64532730</v>
      </c>
    </row>
    <row r="636" spans="1:46" x14ac:dyDescent="0.2">
      <c r="A636" s="1" t="str">
        <f>"00732"</f>
        <v>00732</v>
      </c>
      <c r="B636" s="1" t="str">
        <f>"محمد امين"</f>
        <v>محمد امين</v>
      </c>
      <c r="C636" s="1" t="str">
        <f>"جوي"</f>
        <v>جوي</v>
      </c>
      <c r="D636" s="1" t="str">
        <f t="shared" si="67"/>
        <v>قراردادي کارگري</v>
      </c>
      <c r="E636" s="1" t="str">
        <f t="shared" si="68"/>
        <v>پروژه تعميرات نيروگاه بوشهر</v>
      </c>
      <c r="F636" s="1">
        <v>7370988</v>
      </c>
      <c r="G636" s="1">
        <v>2354410</v>
      </c>
      <c r="H636" s="1">
        <v>0</v>
      </c>
      <c r="I636" s="1">
        <v>5159692</v>
      </c>
      <c r="J636" s="1">
        <v>0</v>
      </c>
      <c r="K636" s="1">
        <v>0</v>
      </c>
      <c r="L636" s="1">
        <v>7628143</v>
      </c>
      <c r="M636" s="1">
        <v>1000000</v>
      </c>
      <c r="N636" s="1">
        <v>3879467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9327060</v>
      </c>
      <c r="W636" s="1">
        <v>1900000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38619760</v>
      </c>
      <c r="AP636" s="1">
        <v>4911021</v>
      </c>
      <c r="AQ636" s="1">
        <v>33708739</v>
      </c>
      <c r="AR636" s="1">
        <v>7723952</v>
      </c>
      <c r="AS636" s="1">
        <v>1158593</v>
      </c>
      <c r="AT636" s="1">
        <f t="shared" si="61"/>
        <v>47502305</v>
      </c>
    </row>
    <row r="637" spans="1:46" x14ac:dyDescent="0.2">
      <c r="A637" s="1" t="str">
        <f>"00733"</f>
        <v>00733</v>
      </c>
      <c r="B637" s="1" t="str">
        <f>"محمد"</f>
        <v>محمد</v>
      </c>
      <c r="C637" s="1" t="str">
        <f>"چم کوري"</f>
        <v>چم کوري</v>
      </c>
      <c r="D637" s="1" t="str">
        <f>"قراردادي بهره بردار"</f>
        <v>قراردادي بهره بردار</v>
      </c>
      <c r="E637" s="1" t="str">
        <f t="shared" si="68"/>
        <v>پروژه تعميرات نيروگاه بوشهر</v>
      </c>
      <c r="F637" s="1">
        <v>14320388</v>
      </c>
      <c r="G637" s="1">
        <v>3554515</v>
      </c>
      <c r="H637" s="1">
        <v>0</v>
      </c>
      <c r="I637" s="1">
        <v>11374288</v>
      </c>
      <c r="J637" s="1">
        <v>0</v>
      </c>
      <c r="K637" s="1">
        <v>4620000</v>
      </c>
      <c r="L637" s="1">
        <v>0</v>
      </c>
      <c r="M637" s="1">
        <v>1000000</v>
      </c>
      <c r="N637" s="1">
        <v>2731104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1387000</v>
      </c>
      <c r="U637" s="1">
        <v>0</v>
      </c>
      <c r="V637" s="1">
        <v>13333913</v>
      </c>
      <c r="W637" s="1">
        <v>1900000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1950789</v>
      </c>
      <c r="AF637" s="1">
        <v>3033762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6662080</v>
      </c>
      <c r="AM637" s="1">
        <v>0</v>
      </c>
      <c r="AN637" s="1">
        <v>0</v>
      </c>
      <c r="AO637" s="1">
        <v>65867839</v>
      </c>
      <c r="AP637" s="1">
        <v>23744747</v>
      </c>
      <c r="AQ637" s="1">
        <v>42123092</v>
      </c>
      <c r="AR637" s="1">
        <v>12566815</v>
      </c>
      <c r="AS637" s="1">
        <v>1885022</v>
      </c>
      <c r="AT637" s="1">
        <f t="shared" si="61"/>
        <v>80319676</v>
      </c>
    </row>
    <row r="638" spans="1:46" x14ac:dyDescent="0.2">
      <c r="A638" s="1" t="str">
        <f>"00734"</f>
        <v>00734</v>
      </c>
      <c r="B638" s="1" t="str">
        <f>"حسين"</f>
        <v>حسين</v>
      </c>
      <c r="C638" s="1" t="str">
        <f>"حيدريان"</f>
        <v>حيدريان</v>
      </c>
      <c r="D638" s="1" t="str">
        <f t="shared" ref="D638:D646" si="69">"قراردادي کارگري"</f>
        <v>قراردادي کارگري</v>
      </c>
      <c r="E638" s="1" t="str">
        <f t="shared" si="68"/>
        <v>پروژه تعميرات نيروگاه بوشهر</v>
      </c>
      <c r="F638" s="1">
        <v>6851556</v>
      </c>
      <c r="G638" s="1">
        <v>2244655</v>
      </c>
      <c r="H638" s="1">
        <v>0</v>
      </c>
      <c r="I638" s="1">
        <v>4796090</v>
      </c>
      <c r="J638" s="1">
        <v>0</v>
      </c>
      <c r="K638" s="1">
        <v>0</v>
      </c>
      <c r="L638" s="1">
        <v>7628143</v>
      </c>
      <c r="M638" s="1">
        <v>1000000</v>
      </c>
      <c r="N638" s="1">
        <v>3606082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8928095</v>
      </c>
      <c r="W638" s="1">
        <v>1900000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3432281</v>
      </c>
      <c r="AE638" s="1">
        <v>0</v>
      </c>
      <c r="AF638" s="1">
        <v>1516881</v>
      </c>
      <c r="AG638" s="1">
        <v>0</v>
      </c>
      <c r="AH638" s="1">
        <v>0</v>
      </c>
      <c r="AI638" s="1">
        <v>0</v>
      </c>
      <c r="AJ638" s="1">
        <v>5746316</v>
      </c>
      <c r="AK638" s="1">
        <v>0</v>
      </c>
      <c r="AL638" s="1">
        <v>0</v>
      </c>
      <c r="AM638" s="1">
        <v>0</v>
      </c>
      <c r="AN638" s="1">
        <v>0</v>
      </c>
      <c r="AO638" s="1">
        <v>47650099</v>
      </c>
      <c r="AP638" s="1">
        <v>12006397</v>
      </c>
      <c r="AQ638" s="1">
        <v>35643702</v>
      </c>
      <c r="AR638" s="1">
        <v>9226644</v>
      </c>
      <c r="AS638" s="1">
        <v>1383997</v>
      </c>
      <c r="AT638" s="1">
        <f t="shared" si="61"/>
        <v>58260740</v>
      </c>
    </row>
    <row r="639" spans="1:46" x14ac:dyDescent="0.2">
      <c r="A639" s="1" t="str">
        <f>"00735"</f>
        <v>00735</v>
      </c>
      <c r="B639" s="1" t="str">
        <f>"هادي"</f>
        <v>هادي</v>
      </c>
      <c r="C639" s="1" t="str">
        <f>"خبازي"</f>
        <v>خبازي</v>
      </c>
      <c r="D639" s="1" t="str">
        <f t="shared" si="69"/>
        <v>قراردادي کارگري</v>
      </c>
      <c r="E639" s="1" t="str">
        <f t="shared" si="68"/>
        <v>پروژه تعميرات نيروگاه بوشهر</v>
      </c>
      <c r="F639" s="1">
        <v>7228763</v>
      </c>
      <c r="G639" s="1">
        <v>697307</v>
      </c>
      <c r="H639" s="1">
        <v>0</v>
      </c>
      <c r="I639" s="1">
        <v>5060134</v>
      </c>
      <c r="J639" s="1">
        <v>0</v>
      </c>
      <c r="K639" s="1">
        <v>0</v>
      </c>
      <c r="L639" s="1">
        <v>7628143</v>
      </c>
      <c r="M639" s="1">
        <v>1000000</v>
      </c>
      <c r="N639" s="1">
        <v>3804611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9217820</v>
      </c>
      <c r="W639" s="1">
        <v>1900000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36536778</v>
      </c>
      <c r="AP639" s="1">
        <v>2771494</v>
      </c>
      <c r="AQ639" s="1">
        <v>33765284</v>
      </c>
      <c r="AR639" s="1">
        <v>7307356</v>
      </c>
      <c r="AS639" s="1">
        <v>1096103</v>
      </c>
      <c r="AT639" s="1">
        <f t="shared" si="61"/>
        <v>44940237</v>
      </c>
    </row>
    <row r="640" spans="1:46" x14ac:dyDescent="0.2">
      <c r="A640" s="1" t="str">
        <f>"00736"</f>
        <v>00736</v>
      </c>
      <c r="B640" s="1" t="str">
        <f>"امير"</f>
        <v>امير</v>
      </c>
      <c r="C640" s="1" t="str">
        <f>"روزرخ"</f>
        <v>روزرخ</v>
      </c>
      <c r="D640" s="1" t="str">
        <f t="shared" si="69"/>
        <v>قراردادي کارگري</v>
      </c>
      <c r="E640" s="1" t="str">
        <f t="shared" si="68"/>
        <v>پروژه تعميرات نيروگاه بوشهر</v>
      </c>
      <c r="F640" s="1">
        <v>10239384</v>
      </c>
      <c r="G640" s="1">
        <v>1524408</v>
      </c>
      <c r="H640" s="1">
        <v>0</v>
      </c>
      <c r="I640" s="1">
        <v>8191507</v>
      </c>
      <c r="J640" s="1">
        <v>0</v>
      </c>
      <c r="K640" s="1">
        <v>0</v>
      </c>
      <c r="L640" s="1">
        <v>7462913</v>
      </c>
      <c r="M640" s="1">
        <v>1000000</v>
      </c>
      <c r="N640" s="1">
        <v>5461005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11851259</v>
      </c>
      <c r="W640" s="1">
        <v>1900000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3033762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50664238</v>
      </c>
      <c r="AP640" s="1">
        <v>5233144</v>
      </c>
      <c r="AQ640" s="1">
        <v>45431094</v>
      </c>
      <c r="AR640" s="1">
        <v>9526095</v>
      </c>
      <c r="AS640" s="1">
        <v>1428914</v>
      </c>
      <c r="AT640" s="1">
        <f t="shared" si="61"/>
        <v>61619247</v>
      </c>
    </row>
    <row r="641" spans="1:46" x14ac:dyDescent="0.2">
      <c r="A641" s="1" t="str">
        <f>"00737"</f>
        <v>00737</v>
      </c>
      <c r="B641" s="1" t="str">
        <f>"ماشاءاله"</f>
        <v>ماشاءاله</v>
      </c>
      <c r="C641" s="1" t="str">
        <f>"رفيعي"</f>
        <v>رفيعي</v>
      </c>
      <c r="D641" s="1" t="str">
        <f t="shared" si="69"/>
        <v>قراردادي کارگري</v>
      </c>
      <c r="E641" s="1" t="str">
        <f t="shared" si="68"/>
        <v>پروژه تعميرات نيروگاه بوشهر</v>
      </c>
      <c r="F641" s="1">
        <v>10412440</v>
      </c>
      <c r="G641" s="1">
        <v>4719010</v>
      </c>
      <c r="H641" s="1">
        <v>0</v>
      </c>
      <c r="I641" s="1">
        <v>7705205</v>
      </c>
      <c r="J641" s="1">
        <v>0</v>
      </c>
      <c r="K641" s="1">
        <v>0</v>
      </c>
      <c r="L641" s="1">
        <v>7628143</v>
      </c>
      <c r="M641" s="1">
        <v>1000000</v>
      </c>
      <c r="N641" s="1">
        <v>5516525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10534636</v>
      </c>
      <c r="W641" s="1">
        <v>1900000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4550643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53966602</v>
      </c>
      <c r="AP641" s="1">
        <v>16188541</v>
      </c>
      <c r="AQ641" s="1">
        <v>37778061</v>
      </c>
      <c r="AR641" s="1">
        <v>9883192</v>
      </c>
      <c r="AS641" s="1">
        <v>1482479</v>
      </c>
      <c r="AT641" s="1">
        <f t="shared" si="61"/>
        <v>65332273</v>
      </c>
    </row>
    <row r="642" spans="1:46" x14ac:dyDescent="0.2">
      <c r="A642" s="1" t="str">
        <f>"00738"</f>
        <v>00738</v>
      </c>
      <c r="B642" s="1" t="str">
        <f>"احمد"</f>
        <v>احمد</v>
      </c>
      <c r="C642" s="1" t="str">
        <f>"غلامي"</f>
        <v>غلامي</v>
      </c>
      <c r="D642" s="1" t="str">
        <f t="shared" si="69"/>
        <v>قراردادي کارگري</v>
      </c>
      <c r="E642" s="1" t="str">
        <f t="shared" si="68"/>
        <v>پروژه تعميرات نيروگاه بوشهر</v>
      </c>
      <c r="F642" s="1">
        <v>6849481</v>
      </c>
      <c r="G642" s="1">
        <v>1956401</v>
      </c>
      <c r="H642" s="1">
        <v>0</v>
      </c>
      <c r="I642" s="1">
        <v>5000121</v>
      </c>
      <c r="J642" s="1">
        <v>0</v>
      </c>
      <c r="K642" s="1">
        <v>0</v>
      </c>
      <c r="L642" s="1">
        <v>7672721</v>
      </c>
      <c r="M642" s="1">
        <v>1000000</v>
      </c>
      <c r="N642" s="1">
        <v>3628865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11505056</v>
      </c>
      <c r="W642" s="1">
        <v>1900000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3472678</v>
      </c>
      <c r="AE642" s="1">
        <v>0</v>
      </c>
      <c r="AF642" s="1">
        <v>1516881</v>
      </c>
      <c r="AG642" s="1">
        <v>0</v>
      </c>
      <c r="AH642" s="1">
        <v>0</v>
      </c>
      <c r="AI642" s="1">
        <v>0</v>
      </c>
      <c r="AJ642" s="1">
        <v>3130241</v>
      </c>
      <c r="AK642" s="1">
        <v>0</v>
      </c>
      <c r="AL642" s="1">
        <v>0</v>
      </c>
      <c r="AM642" s="1">
        <v>0</v>
      </c>
      <c r="AN642" s="1">
        <v>0</v>
      </c>
      <c r="AO642" s="1">
        <v>47632445</v>
      </c>
      <c r="AP642" s="1">
        <v>12144184</v>
      </c>
      <c r="AQ642" s="1">
        <v>35488261</v>
      </c>
      <c r="AR642" s="1">
        <v>9223113</v>
      </c>
      <c r="AS642" s="1">
        <v>1383467</v>
      </c>
      <c r="AT642" s="1">
        <f t="shared" si="61"/>
        <v>58239025</v>
      </c>
    </row>
    <row r="643" spans="1:46" x14ac:dyDescent="0.2">
      <c r="A643" s="1" t="str">
        <f>"00739"</f>
        <v>00739</v>
      </c>
      <c r="B643" s="1" t="str">
        <f>"سعيد"</f>
        <v>سعيد</v>
      </c>
      <c r="C643" s="1" t="str">
        <f>"آقايي کردشامي"</f>
        <v>آقايي کردشامي</v>
      </c>
      <c r="D643" s="1" t="str">
        <f t="shared" si="69"/>
        <v>قراردادي کارگري</v>
      </c>
      <c r="E643" s="1" t="str">
        <f t="shared" si="68"/>
        <v>پروژه تعميرات نيروگاه بوشهر</v>
      </c>
      <c r="F643" s="1">
        <v>7197844</v>
      </c>
      <c r="G643" s="1">
        <v>2034529</v>
      </c>
      <c r="H643" s="1">
        <v>0</v>
      </c>
      <c r="I643" s="1">
        <v>5182448</v>
      </c>
      <c r="J643" s="1">
        <v>0</v>
      </c>
      <c r="K643" s="1">
        <v>0</v>
      </c>
      <c r="L643" s="1">
        <v>7628143</v>
      </c>
      <c r="M643" s="1">
        <v>1000000</v>
      </c>
      <c r="N643" s="1">
        <v>3788338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8238983</v>
      </c>
      <c r="W643" s="1">
        <v>1900000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3033762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40004047</v>
      </c>
      <c r="AP643" s="1">
        <v>11238178</v>
      </c>
      <c r="AQ643" s="1">
        <v>28765869</v>
      </c>
      <c r="AR643" s="1">
        <v>7394057</v>
      </c>
      <c r="AS643" s="1">
        <v>1109109</v>
      </c>
      <c r="AT643" s="1">
        <f t="shared" ref="AT643:AT706" si="70">AO643+AR643+AS643</f>
        <v>48507213</v>
      </c>
    </row>
    <row r="644" spans="1:46" x14ac:dyDescent="0.2">
      <c r="A644" s="1" t="str">
        <f>"00740"</f>
        <v>00740</v>
      </c>
      <c r="B644" s="1" t="str">
        <f>"محمد"</f>
        <v>محمد</v>
      </c>
      <c r="C644" s="1" t="str">
        <f>"ماهيني"</f>
        <v>ماهيني</v>
      </c>
      <c r="D644" s="1" t="str">
        <f t="shared" si="69"/>
        <v>قراردادي کارگري</v>
      </c>
      <c r="E644" s="1" t="str">
        <f t="shared" si="68"/>
        <v>پروژه تعميرات نيروگاه بوشهر</v>
      </c>
      <c r="F644" s="1">
        <v>7346253</v>
      </c>
      <c r="G644" s="1">
        <v>4778145</v>
      </c>
      <c r="H644" s="1">
        <v>0</v>
      </c>
      <c r="I644" s="1">
        <v>5509690</v>
      </c>
      <c r="J644" s="1">
        <v>0</v>
      </c>
      <c r="K644" s="1">
        <v>0</v>
      </c>
      <c r="L644" s="1">
        <v>7628143</v>
      </c>
      <c r="M644" s="1">
        <v>1000000</v>
      </c>
      <c r="N644" s="1">
        <v>3866449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2734720</v>
      </c>
      <c r="W644" s="1">
        <v>1900000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34763400</v>
      </c>
      <c r="AP644" s="1">
        <v>3970223</v>
      </c>
      <c r="AQ644" s="1">
        <v>30793177</v>
      </c>
      <c r="AR644" s="1">
        <v>6952680</v>
      </c>
      <c r="AS644" s="1">
        <v>1042902</v>
      </c>
      <c r="AT644" s="1">
        <f t="shared" si="70"/>
        <v>42758982</v>
      </c>
    </row>
    <row r="645" spans="1:46" x14ac:dyDescent="0.2">
      <c r="A645" s="1" t="str">
        <f>"00742"</f>
        <v>00742</v>
      </c>
      <c r="B645" s="1" t="str">
        <f>"امير"</f>
        <v>امير</v>
      </c>
      <c r="C645" s="1" t="str">
        <f>"رستمي پور"</f>
        <v>رستمي پور</v>
      </c>
      <c r="D645" s="1" t="str">
        <f t="shared" si="69"/>
        <v>قراردادي کارگري</v>
      </c>
      <c r="E645" s="1" t="str">
        <f t="shared" si="68"/>
        <v>پروژه تعميرات نيروگاه بوشهر</v>
      </c>
      <c r="F645" s="1">
        <v>6523819</v>
      </c>
      <c r="G645" s="1">
        <v>5313018</v>
      </c>
      <c r="H645" s="1">
        <v>0</v>
      </c>
      <c r="I645" s="1">
        <v>4958103</v>
      </c>
      <c r="J645" s="1">
        <v>0</v>
      </c>
      <c r="K645" s="1">
        <v>0</v>
      </c>
      <c r="L645" s="1">
        <v>7628143</v>
      </c>
      <c r="M645" s="1">
        <v>1000000</v>
      </c>
      <c r="N645" s="1">
        <v>3433590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2554032</v>
      </c>
      <c r="W645" s="1">
        <v>1900000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33310705</v>
      </c>
      <c r="AP645" s="1">
        <v>2777000</v>
      </c>
      <c r="AQ645" s="1">
        <v>30533705</v>
      </c>
      <c r="AR645" s="1">
        <v>6662141</v>
      </c>
      <c r="AS645" s="1">
        <v>999321</v>
      </c>
      <c r="AT645" s="1">
        <f t="shared" si="70"/>
        <v>40972167</v>
      </c>
    </row>
    <row r="646" spans="1:46" x14ac:dyDescent="0.2">
      <c r="A646" s="1" t="str">
        <f>"00743"</f>
        <v>00743</v>
      </c>
      <c r="B646" s="1" t="str">
        <f>"حسين"</f>
        <v>حسين</v>
      </c>
      <c r="C646" s="1" t="str">
        <f>"جباري فرد"</f>
        <v>جباري فرد</v>
      </c>
      <c r="D646" s="1" t="str">
        <f t="shared" si="69"/>
        <v>قراردادي کارگري</v>
      </c>
      <c r="E646" s="1" t="str">
        <f t="shared" si="68"/>
        <v>پروژه تعميرات نيروگاه بوشهر</v>
      </c>
      <c r="F646" s="1">
        <v>7259681</v>
      </c>
      <c r="G646" s="1">
        <v>0</v>
      </c>
      <c r="H646" s="1">
        <v>0</v>
      </c>
      <c r="I646" s="1">
        <v>5154373</v>
      </c>
      <c r="J646" s="1">
        <v>0</v>
      </c>
      <c r="K646" s="1">
        <v>0</v>
      </c>
      <c r="L646" s="1">
        <v>7628143</v>
      </c>
      <c r="M646" s="1">
        <v>1000000</v>
      </c>
      <c r="N646" s="1">
        <v>3820886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5573398</v>
      </c>
      <c r="W646" s="1">
        <v>1900000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1516881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33853362</v>
      </c>
      <c r="AP646" s="1">
        <v>3619554</v>
      </c>
      <c r="AQ646" s="1">
        <v>30233808</v>
      </c>
      <c r="AR646" s="1">
        <v>6467296</v>
      </c>
      <c r="AS646" s="1">
        <v>970094</v>
      </c>
      <c r="AT646" s="1">
        <f t="shared" si="70"/>
        <v>41290752</v>
      </c>
    </row>
    <row r="647" spans="1:46" x14ac:dyDescent="0.2">
      <c r="A647" s="1" t="str">
        <f>"00744"</f>
        <v>00744</v>
      </c>
      <c r="B647" s="1" t="str">
        <f>"منصور"</f>
        <v>منصور</v>
      </c>
      <c r="C647" s="1" t="str">
        <f>"صفايان آزاد"</f>
        <v>صفايان آزاد</v>
      </c>
      <c r="D647" s="1" t="str">
        <f>"قراردادي بهره بردار"</f>
        <v>قراردادي بهره بردار</v>
      </c>
      <c r="E647" s="1" t="str">
        <f>"پروژه بهره برداري نيروگاه بوشهر"</f>
        <v>پروژه بهره برداري نيروگاه بوشهر</v>
      </c>
      <c r="F647" s="1">
        <v>13724527</v>
      </c>
      <c r="G647" s="1">
        <v>11202048</v>
      </c>
      <c r="H647" s="1">
        <v>0</v>
      </c>
      <c r="I647" s="1">
        <v>9903905</v>
      </c>
      <c r="J647" s="1">
        <v>0</v>
      </c>
      <c r="K647" s="1">
        <v>4620000</v>
      </c>
      <c r="L647" s="1">
        <v>0</v>
      </c>
      <c r="M647" s="1">
        <v>1000000</v>
      </c>
      <c r="N647" s="1">
        <v>2281032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1606000</v>
      </c>
      <c r="U647" s="1">
        <v>0</v>
      </c>
      <c r="V647" s="1">
        <v>12339397</v>
      </c>
      <c r="W647" s="1">
        <v>1900000</v>
      </c>
      <c r="X647" s="1">
        <v>1992270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1629308</v>
      </c>
      <c r="AF647" s="1">
        <v>3033762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8227596</v>
      </c>
      <c r="AM647" s="1">
        <v>0</v>
      </c>
      <c r="AN647" s="1">
        <v>0</v>
      </c>
      <c r="AO647" s="1">
        <v>73459845</v>
      </c>
      <c r="AP647" s="1">
        <v>24977392</v>
      </c>
      <c r="AQ647" s="1">
        <v>48482453</v>
      </c>
      <c r="AR647" s="1">
        <v>14085217</v>
      </c>
      <c r="AS647" s="1">
        <v>2112782</v>
      </c>
      <c r="AT647" s="1">
        <f t="shared" si="70"/>
        <v>89657844</v>
      </c>
    </row>
    <row r="648" spans="1:46" x14ac:dyDescent="0.2">
      <c r="A648" s="1" t="str">
        <f>"00745"</f>
        <v>00745</v>
      </c>
      <c r="B648" s="1" t="str">
        <f>"بهروز"</f>
        <v>بهروز</v>
      </c>
      <c r="C648" s="1" t="str">
        <f>"بحراني"</f>
        <v>بحراني</v>
      </c>
      <c r="D648" s="1" t="str">
        <f>"قراردادي بهره بردار"</f>
        <v>قراردادي بهره بردار</v>
      </c>
      <c r="E648" s="1" t="str">
        <f>"پروژه تعميرات نيروگاه بوشهر"</f>
        <v>پروژه تعميرات نيروگاه بوشهر</v>
      </c>
      <c r="F648" s="1">
        <v>18651336</v>
      </c>
      <c r="G648" s="1">
        <v>0</v>
      </c>
      <c r="H648" s="1">
        <v>0</v>
      </c>
      <c r="I648" s="1">
        <v>14815523</v>
      </c>
      <c r="J648" s="1">
        <v>0</v>
      </c>
      <c r="K648" s="1">
        <v>5500000</v>
      </c>
      <c r="L648" s="1">
        <v>0</v>
      </c>
      <c r="M648" s="1">
        <v>1000000</v>
      </c>
      <c r="N648" s="1">
        <v>3169676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1387000</v>
      </c>
      <c r="U648" s="1">
        <v>0</v>
      </c>
      <c r="V648" s="1">
        <v>13540565</v>
      </c>
      <c r="W648" s="1">
        <v>1900000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2264054</v>
      </c>
      <c r="AF648" s="1">
        <v>0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5861610</v>
      </c>
      <c r="AM648" s="1">
        <v>0</v>
      </c>
      <c r="AN648" s="1">
        <v>0</v>
      </c>
      <c r="AO648" s="1">
        <v>68089764</v>
      </c>
      <c r="AP648" s="1">
        <v>12937770</v>
      </c>
      <c r="AQ648" s="1">
        <v>55151994</v>
      </c>
      <c r="AR648" s="1">
        <v>13617953</v>
      </c>
      <c r="AS648" s="1">
        <v>2042693</v>
      </c>
      <c r="AT648" s="1">
        <f t="shared" si="70"/>
        <v>83750410</v>
      </c>
    </row>
    <row r="649" spans="1:46" x14ac:dyDescent="0.2">
      <c r="A649" s="1" t="str">
        <f>"00746"</f>
        <v>00746</v>
      </c>
      <c r="B649" s="1" t="str">
        <f>"عبدالکريم"</f>
        <v>عبدالکريم</v>
      </c>
      <c r="C649" s="1" t="str">
        <f>"اسفندياري"</f>
        <v>اسفندياري</v>
      </c>
      <c r="D649" s="1" t="str">
        <f>"قراردادي کارگري"</f>
        <v>قراردادي کارگري</v>
      </c>
      <c r="E649" s="1" t="str">
        <f>"پروژه تعميرات نيروگاه بوشهر"</f>
        <v>پروژه تعميرات نيروگاه بوشهر</v>
      </c>
      <c r="F649" s="1">
        <v>9073259</v>
      </c>
      <c r="G649" s="1">
        <v>2353909</v>
      </c>
      <c r="H649" s="1">
        <v>0</v>
      </c>
      <c r="I649" s="1">
        <v>6532747</v>
      </c>
      <c r="J649" s="1">
        <v>0</v>
      </c>
      <c r="K649" s="1">
        <v>0</v>
      </c>
      <c r="L649" s="1">
        <v>7628143</v>
      </c>
      <c r="M649" s="1">
        <v>1000000</v>
      </c>
      <c r="N649" s="1">
        <v>4807023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13656649</v>
      </c>
      <c r="W649" s="1">
        <v>1900000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4206176</v>
      </c>
      <c r="AE649" s="1">
        <v>0</v>
      </c>
      <c r="AF649" s="1">
        <v>6067524</v>
      </c>
      <c r="AG649" s="1">
        <v>0</v>
      </c>
      <c r="AH649" s="1">
        <v>0</v>
      </c>
      <c r="AI649" s="1">
        <v>0</v>
      </c>
      <c r="AJ649" s="1">
        <v>3766255</v>
      </c>
      <c r="AK649" s="1">
        <v>0</v>
      </c>
      <c r="AL649" s="1">
        <v>0</v>
      </c>
      <c r="AM649" s="1">
        <v>0</v>
      </c>
      <c r="AN649" s="1">
        <v>0</v>
      </c>
      <c r="AO649" s="1">
        <v>60991685</v>
      </c>
      <c r="AP649" s="1">
        <v>6375390</v>
      </c>
      <c r="AQ649" s="1">
        <v>54616295</v>
      </c>
      <c r="AR649" s="1">
        <v>10984832</v>
      </c>
      <c r="AS649" s="1">
        <v>1647725</v>
      </c>
      <c r="AT649" s="1">
        <f t="shared" si="70"/>
        <v>73624242</v>
      </c>
    </row>
    <row r="650" spans="1:46" x14ac:dyDescent="0.2">
      <c r="A650" s="1" t="str">
        <f>"00747"</f>
        <v>00747</v>
      </c>
      <c r="B650" s="1" t="str">
        <f>"محراب"</f>
        <v>محراب</v>
      </c>
      <c r="C650" s="1" t="str">
        <f>"احمدي زاده"</f>
        <v>احمدي زاده</v>
      </c>
      <c r="D650" s="1" t="str">
        <f>"قراردادي کارگري"</f>
        <v>قراردادي کارگري</v>
      </c>
      <c r="E650" s="1" t="str">
        <f>"پروژه تعميرات نيروگاه بوشهر"</f>
        <v>پروژه تعميرات نيروگاه بوشهر</v>
      </c>
      <c r="F650" s="1">
        <v>8568606</v>
      </c>
      <c r="G650" s="1">
        <v>0</v>
      </c>
      <c r="H650" s="1">
        <v>0</v>
      </c>
      <c r="I650" s="1">
        <v>6769199</v>
      </c>
      <c r="J650" s="1">
        <v>0</v>
      </c>
      <c r="K650" s="1">
        <v>0</v>
      </c>
      <c r="L650" s="1">
        <v>7462913</v>
      </c>
      <c r="M650" s="1">
        <v>1000000</v>
      </c>
      <c r="N650" s="1">
        <v>4569923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7971419</v>
      </c>
      <c r="W650" s="1">
        <v>1900000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1516881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39758941</v>
      </c>
      <c r="AP650" s="1">
        <v>5351468</v>
      </c>
      <c r="AQ650" s="1">
        <v>34407473</v>
      </c>
      <c r="AR650" s="1">
        <v>7648412</v>
      </c>
      <c r="AS650" s="1">
        <v>1147262</v>
      </c>
      <c r="AT650" s="1">
        <f t="shared" si="70"/>
        <v>48554615</v>
      </c>
    </row>
    <row r="651" spans="1:46" x14ac:dyDescent="0.2">
      <c r="A651" s="1" t="str">
        <f>"00748"</f>
        <v>00748</v>
      </c>
      <c r="B651" s="1" t="str">
        <f>"يعقوب"</f>
        <v>يعقوب</v>
      </c>
      <c r="C651" s="1" t="str">
        <f>"افراز"</f>
        <v>افراز</v>
      </c>
      <c r="D651" s="1" t="str">
        <f>"قراردادي بهره بردار"</f>
        <v>قراردادي بهره بردار</v>
      </c>
      <c r="E651" s="1" t="str">
        <f>"پروژه بهره برداري نيروگاه بوشهر"</f>
        <v>پروژه بهره برداري نيروگاه بوشهر</v>
      </c>
      <c r="F651" s="1">
        <v>12570045</v>
      </c>
      <c r="G651" s="1">
        <v>3912965</v>
      </c>
      <c r="H651" s="1">
        <v>0</v>
      </c>
      <c r="I651" s="1">
        <v>8797618</v>
      </c>
      <c r="J651" s="1">
        <v>0</v>
      </c>
      <c r="K651" s="1">
        <v>4620000</v>
      </c>
      <c r="L651" s="1">
        <v>0</v>
      </c>
      <c r="M651" s="1">
        <v>1000000</v>
      </c>
      <c r="N651" s="1">
        <v>2118484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1606000</v>
      </c>
      <c r="U651" s="1">
        <v>0</v>
      </c>
      <c r="V651" s="1">
        <v>3150698</v>
      </c>
      <c r="W651" s="1">
        <v>1900000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1513203</v>
      </c>
      <c r="AF651" s="1">
        <v>3033762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6507638</v>
      </c>
      <c r="AM651" s="1">
        <v>0</v>
      </c>
      <c r="AN651" s="1">
        <v>0</v>
      </c>
      <c r="AO651" s="1">
        <v>50730413</v>
      </c>
      <c r="AP651" s="1">
        <v>5488012</v>
      </c>
      <c r="AQ651" s="1">
        <v>45242401</v>
      </c>
      <c r="AR651" s="1">
        <v>9539330</v>
      </c>
      <c r="AS651" s="1">
        <v>1430900</v>
      </c>
      <c r="AT651" s="1">
        <f t="shared" si="70"/>
        <v>61700643</v>
      </c>
    </row>
    <row r="652" spans="1:46" x14ac:dyDescent="0.2">
      <c r="A652" s="1" t="str">
        <f>"00749"</f>
        <v>00749</v>
      </c>
      <c r="B652" s="1" t="str">
        <f>"عليرضا"</f>
        <v>عليرضا</v>
      </c>
      <c r="C652" s="1" t="str">
        <f>"بدره"</f>
        <v>بدره</v>
      </c>
      <c r="D652" s="1" t="str">
        <f t="shared" ref="D652:D661" si="71">"قراردادي کارگري"</f>
        <v>قراردادي کارگري</v>
      </c>
      <c r="E652" s="1" t="str">
        <f t="shared" ref="E652:E661" si="72">"پروژه تعميرات نيروگاه بوشهر"</f>
        <v>پروژه تعميرات نيروگاه بوشهر</v>
      </c>
      <c r="F652" s="1">
        <v>6412512</v>
      </c>
      <c r="G652" s="1">
        <v>1207213</v>
      </c>
      <c r="H652" s="1">
        <v>0</v>
      </c>
      <c r="I652" s="1">
        <v>4745259</v>
      </c>
      <c r="J652" s="1">
        <v>0</v>
      </c>
      <c r="K652" s="1">
        <v>0</v>
      </c>
      <c r="L652" s="1">
        <v>7628143</v>
      </c>
      <c r="M652" s="1">
        <v>1000000</v>
      </c>
      <c r="N652" s="1">
        <v>3375005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6352291</v>
      </c>
      <c r="W652" s="1">
        <v>1900000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1516881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34137304</v>
      </c>
      <c r="AP652" s="1">
        <v>3639430</v>
      </c>
      <c r="AQ652" s="1">
        <v>30497874</v>
      </c>
      <c r="AR652" s="1">
        <v>6524085</v>
      </c>
      <c r="AS652" s="1">
        <v>978613</v>
      </c>
      <c r="AT652" s="1">
        <f t="shared" si="70"/>
        <v>41640002</v>
      </c>
    </row>
    <row r="653" spans="1:46" x14ac:dyDescent="0.2">
      <c r="A653" s="1" t="str">
        <f>"00750"</f>
        <v>00750</v>
      </c>
      <c r="B653" s="1" t="str">
        <f>"ابوالفضل"</f>
        <v>ابوالفضل</v>
      </c>
      <c r="C653" s="1" t="str">
        <f>"جمالي"</f>
        <v>جمالي</v>
      </c>
      <c r="D653" s="1" t="str">
        <f t="shared" si="71"/>
        <v>قراردادي کارگري</v>
      </c>
      <c r="E653" s="1" t="str">
        <f t="shared" si="72"/>
        <v>پروژه تعميرات نيروگاه بوشهر</v>
      </c>
      <c r="F653" s="1">
        <v>10145444</v>
      </c>
      <c r="G653" s="1">
        <v>0</v>
      </c>
      <c r="H653" s="1">
        <v>0</v>
      </c>
      <c r="I653" s="1">
        <v>8014901</v>
      </c>
      <c r="J653" s="1">
        <v>0</v>
      </c>
      <c r="K653" s="1">
        <v>0</v>
      </c>
      <c r="L653" s="1">
        <v>7462913</v>
      </c>
      <c r="M653" s="1">
        <v>1000000</v>
      </c>
      <c r="N653" s="1">
        <v>5410903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8167398</v>
      </c>
      <c r="W653" s="1">
        <v>1900000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42101559</v>
      </c>
      <c r="AP653" s="1">
        <v>10564094</v>
      </c>
      <c r="AQ653" s="1">
        <v>31537465</v>
      </c>
      <c r="AR653" s="1">
        <v>8420312</v>
      </c>
      <c r="AS653" s="1">
        <v>1263047</v>
      </c>
      <c r="AT653" s="1">
        <f t="shared" si="70"/>
        <v>51784918</v>
      </c>
    </row>
    <row r="654" spans="1:46" x14ac:dyDescent="0.2">
      <c r="A654" s="1" t="str">
        <f>"00751"</f>
        <v>00751</v>
      </c>
      <c r="B654" s="1" t="str">
        <f>"علي اصغر"</f>
        <v>علي اصغر</v>
      </c>
      <c r="C654" s="1" t="str">
        <f>"رستمي پور"</f>
        <v>رستمي پور</v>
      </c>
      <c r="D654" s="1" t="str">
        <f t="shared" si="71"/>
        <v>قراردادي کارگري</v>
      </c>
      <c r="E654" s="1" t="str">
        <f t="shared" si="72"/>
        <v>پروژه تعميرات نيروگاه بوشهر</v>
      </c>
      <c r="F654" s="1">
        <v>10172284</v>
      </c>
      <c r="G654" s="1">
        <v>1978059</v>
      </c>
      <c r="H654" s="1">
        <v>0</v>
      </c>
      <c r="I654" s="1">
        <v>8239550</v>
      </c>
      <c r="J654" s="1">
        <v>0</v>
      </c>
      <c r="K654" s="1">
        <v>0</v>
      </c>
      <c r="L654" s="1">
        <v>7462913</v>
      </c>
      <c r="M654" s="1">
        <v>1000000</v>
      </c>
      <c r="N654" s="1">
        <v>5425218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8745641</v>
      </c>
      <c r="W654" s="1">
        <v>1900000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3033762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47957427</v>
      </c>
      <c r="AP654" s="1">
        <v>4441934</v>
      </c>
      <c r="AQ654" s="1">
        <v>43515493</v>
      </c>
      <c r="AR654" s="1">
        <v>8984733</v>
      </c>
      <c r="AS654" s="1">
        <v>1347710</v>
      </c>
      <c r="AT654" s="1">
        <f t="shared" si="70"/>
        <v>58289870</v>
      </c>
    </row>
    <row r="655" spans="1:46" x14ac:dyDescent="0.2">
      <c r="A655" s="1" t="str">
        <f>"00752"</f>
        <v>00752</v>
      </c>
      <c r="B655" s="1" t="str">
        <f>"سجاد"</f>
        <v>سجاد</v>
      </c>
      <c r="C655" s="1" t="str">
        <f>"رضائيان"</f>
        <v>رضائيان</v>
      </c>
      <c r="D655" s="1" t="str">
        <f t="shared" si="71"/>
        <v>قراردادي کارگري</v>
      </c>
      <c r="E655" s="1" t="str">
        <f t="shared" si="72"/>
        <v>پروژه تعميرات نيروگاه بوشهر</v>
      </c>
      <c r="F655" s="1">
        <v>9400639</v>
      </c>
      <c r="G655" s="1">
        <v>280619</v>
      </c>
      <c r="H655" s="1">
        <v>0</v>
      </c>
      <c r="I655" s="1">
        <v>7708525</v>
      </c>
      <c r="J655" s="1">
        <v>0</v>
      </c>
      <c r="K655" s="1">
        <v>0</v>
      </c>
      <c r="L655" s="1">
        <v>7462913</v>
      </c>
      <c r="M655" s="1">
        <v>1000000</v>
      </c>
      <c r="N655" s="1">
        <v>5013673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10182006</v>
      </c>
      <c r="W655" s="1">
        <v>1900000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3033762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45982137</v>
      </c>
      <c r="AP655" s="1">
        <v>13163618</v>
      </c>
      <c r="AQ655" s="1">
        <v>32818519</v>
      </c>
      <c r="AR655" s="1">
        <v>8589675</v>
      </c>
      <c r="AS655" s="1">
        <v>1288451</v>
      </c>
      <c r="AT655" s="1">
        <f t="shared" si="70"/>
        <v>55860263</v>
      </c>
    </row>
    <row r="656" spans="1:46" x14ac:dyDescent="0.2">
      <c r="A656" s="1" t="str">
        <f>"00753"</f>
        <v>00753</v>
      </c>
      <c r="B656" s="1" t="str">
        <f>"احمد"</f>
        <v>احمد</v>
      </c>
      <c r="C656" s="1" t="str">
        <f>"كرمي"</f>
        <v>كرمي</v>
      </c>
      <c r="D656" s="1" t="str">
        <f t="shared" si="71"/>
        <v>قراردادي کارگري</v>
      </c>
      <c r="E656" s="1" t="str">
        <f t="shared" si="72"/>
        <v>پروژه تعميرات نيروگاه بوشهر</v>
      </c>
      <c r="F656" s="1">
        <v>8595445</v>
      </c>
      <c r="G656" s="1">
        <v>4456321</v>
      </c>
      <c r="H656" s="1">
        <v>0</v>
      </c>
      <c r="I656" s="1">
        <v>6704448</v>
      </c>
      <c r="J656" s="1">
        <v>0</v>
      </c>
      <c r="K656" s="1">
        <v>0</v>
      </c>
      <c r="L656" s="1">
        <v>7462913</v>
      </c>
      <c r="M656" s="1">
        <v>1000000</v>
      </c>
      <c r="N656" s="1">
        <v>4584237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7737647</v>
      </c>
      <c r="W656" s="1">
        <v>1900000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1516881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43957892</v>
      </c>
      <c r="AP656" s="1">
        <v>3885573</v>
      </c>
      <c r="AQ656" s="1">
        <v>40072319</v>
      </c>
      <c r="AR656" s="1">
        <v>8488202</v>
      </c>
      <c r="AS656" s="1">
        <v>1273230</v>
      </c>
      <c r="AT656" s="1">
        <f t="shared" si="70"/>
        <v>53719324</v>
      </c>
    </row>
    <row r="657" spans="1:46" x14ac:dyDescent="0.2">
      <c r="A657" s="1" t="str">
        <f>"00754"</f>
        <v>00754</v>
      </c>
      <c r="B657" s="1" t="str">
        <f>"احمد"</f>
        <v>احمد</v>
      </c>
      <c r="C657" s="1" t="str">
        <f>"كره بندي"</f>
        <v>كره بندي</v>
      </c>
      <c r="D657" s="1" t="str">
        <f t="shared" si="71"/>
        <v>قراردادي کارگري</v>
      </c>
      <c r="E657" s="1" t="str">
        <f t="shared" si="72"/>
        <v>پروژه تعميرات نيروگاه بوشهر</v>
      </c>
      <c r="F657" s="1">
        <v>9326831</v>
      </c>
      <c r="G657" s="1">
        <v>790921</v>
      </c>
      <c r="H657" s="1">
        <v>0</v>
      </c>
      <c r="I657" s="1">
        <v>7461464</v>
      </c>
      <c r="J657" s="1">
        <v>0</v>
      </c>
      <c r="K657" s="1">
        <v>0</v>
      </c>
      <c r="L657" s="1">
        <v>7462913</v>
      </c>
      <c r="M657" s="1">
        <v>1000000</v>
      </c>
      <c r="N657" s="1">
        <v>4974311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8136102</v>
      </c>
      <c r="W657" s="1">
        <v>1900000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41052542</v>
      </c>
      <c r="AP657" s="1">
        <v>3507564</v>
      </c>
      <c r="AQ657" s="1">
        <v>37544978</v>
      </c>
      <c r="AR657" s="1">
        <v>8210508</v>
      </c>
      <c r="AS657" s="1">
        <v>1231576</v>
      </c>
      <c r="AT657" s="1">
        <f t="shared" si="70"/>
        <v>50494626</v>
      </c>
    </row>
    <row r="658" spans="1:46" x14ac:dyDescent="0.2">
      <c r="A658" s="1" t="str">
        <f>"00755"</f>
        <v>00755</v>
      </c>
      <c r="B658" s="1" t="str">
        <f>"مجتبي"</f>
        <v>مجتبي</v>
      </c>
      <c r="C658" s="1" t="str">
        <f>"محمدي"</f>
        <v>محمدي</v>
      </c>
      <c r="D658" s="1" t="str">
        <f t="shared" si="71"/>
        <v>قراردادي کارگري</v>
      </c>
      <c r="E658" s="1" t="str">
        <f t="shared" si="72"/>
        <v>پروژه تعميرات نيروگاه بوشهر</v>
      </c>
      <c r="F658" s="1">
        <v>7975772</v>
      </c>
      <c r="G658" s="1">
        <v>768457</v>
      </c>
      <c r="H658" s="1">
        <v>0</v>
      </c>
      <c r="I658" s="1">
        <v>4785463</v>
      </c>
      <c r="J658" s="1">
        <v>0</v>
      </c>
      <c r="K658" s="1">
        <v>0</v>
      </c>
      <c r="L658" s="1">
        <v>7462913</v>
      </c>
      <c r="M658" s="1">
        <v>1000000</v>
      </c>
      <c r="N658" s="1">
        <v>4253746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2747456</v>
      </c>
      <c r="W658" s="1">
        <v>1900000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3033762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33927569</v>
      </c>
      <c r="AP658" s="1">
        <v>4772731</v>
      </c>
      <c r="AQ658" s="1">
        <v>29154838</v>
      </c>
      <c r="AR658" s="1">
        <v>6178761</v>
      </c>
      <c r="AS658" s="1">
        <v>926814</v>
      </c>
      <c r="AT658" s="1">
        <f t="shared" si="70"/>
        <v>41033144</v>
      </c>
    </row>
    <row r="659" spans="1:46" x14ac:dyDescent="0.2">
      <c r="A659" s="1" t="str">
        <f>"00756"</f>
        <v>00756</v>
      </c>
      <c r="B659" s="1" t="str">
        <f>"محمد مهدي"</f>
        <v>محمد مهدي</v>
      </c>
      <c r="C659" s="1" t="str">
        <f>"نعيمي محمد آبادي"</f>
        <v>نعيمي محمد آبادي</v>
      </c>
      <c r="D659" s="1" t="str">
        <f t="shared" si="71"/>
        <v>قراردادي کارگري</v>
      </c>
      <c r="E659" s="1" t="str">
        <f t="shared" si="72"/>
        <v>پروژه تعميرات نيروگاه بوشهر</v>
      </c>
      <c r="F659" s="1">
        <v>9353670</v>
      </c>
      <c r="G659" s="1">
        <v>3910377</v>
      </c>
      <c r="H659" s="1">
        <v>0</v>
      </c>
      <c r="I659" s="1">
        <v>7670010</v>
      </c>
      <c r="J659" s="1">
        <v>0</v>
      </c>
      <c r="K659" s="1">
        <v>0</v>
      </c>
      <c r="L659" s="1">
        <v>7462913</v>
      </c>
      <c r="M659" s="1">
        <v>1000000</v>
      </c>
      <c r="N659" s="1">
        <v>4988623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7468533</v>
      </c>
      <c r="W659" s="1">
        <v>1900000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1516881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45271007</v>
      </c>
      <c r="AP659" s="1">
        <v>4299611</v>
      </c>
      <c r="AQ659" s="1">
        <v>40971396</v>
      </c>
      <c r="AR659" s="1">
        <v>8750825</v>
      </c>
      <c r="AS659" s="1">
        <v>1312624</v>
      </c>
      <c r="AT659" s="1">
        <f t="shared" si="70"/>
        <v>55334456</v>
      </c>
    </row>
    <row r="660" spans="1:46" x14ac:dyDescent="0.2">
      <c r="A660" s="1" t="str">
        <f>"00757"</f>
        <v>00757</v>
      </c>
      <c r="B660" s="1" t="str">
        <f>"عباس"</f>
        <v>عباس</v>
      </c>
      <c r="C660" s="1" t="str">
        <f>"جوکار"</f>
        <v>جوکار</v>
      </c>
      <c r="D660" s="1" t="str">
        <f t="shared" si="71"/>
        <v>قراردادي کارگري</v>
      </c>
      <c r="E660" s="1" t="str">
        <f t="shared" si="72"/>
        <v>پروژه تعميرات نيروگاه بوشهر</v>
      </c>
      <c r="F660" s="1">
        <v>8595445</v>
      </c>
      <c r="G660" s="1">
        <v>0</v>
      </c>
      <c r="H660" s="1">
        <v>0</v>
      </c>
      <c r="I660" s="1">
        <v>6446584</v>
      </c>
      <c r="J660" s="1">
        <v>0</v>
      </c>
      <c r="K660" s="1">
        <v>0</v>
      </c>
      <c r="L660" s="1">
        <v>7462913</v>
      </c>
      <c r="M660" s="1">
        <v>1000000</v>
      </c>
      <c r="N660" s="1">
        <v>4584237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7521462</v>
      </c>
      <c r="W660" s="1">
        <v>1900000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37510641</v>
      </c>
      <c r="AP660" s="1">
        <v>31287434</v>
      </c>
      <c r="AQ660" s="1">
        <v>6223207</v>
      </c>
      <c r="AR660" s="1">
        <v>7502128</v>
      </c>
      <c r="AS660" s="1">
        <v>1125319</v>
      </c>
      <c r="AT660" s="1">
        <f t="shared" si="70"/>
        <v>46138088</v>
      </c>
    </row>
    <row r="661" spans="1:46" x14ac:dyDescent="0.2">
      <c r="A661" s="1" t="str">
        <f>"00758"</f>
        <v>00758</v>
      </c>
      <c r="B661" s="1" t="str">
        <f>"حسين"</f>
        <v>حسين</v>
      </c>
      <c r="C661" s="1" t="str">
        <f>"شنبدي"</f>
        <v>شنبدي</v>
      </c>
      <c r="D661" s="1" t="str">
        <f t="shared" si="71"/>
        <v>قراردادي کارگري</v>
      </c>
      <c r="E661" s="1" t="str">
        <f t="shared" si="72"/>
        <v>پروژه تعميرات نيروگاه بوشهر</v>
      </c>
      <c r="F661" s="1">
        <v>7635789</v>
      </c>
      <c r="G661" s="1">
        <v>2103429</v>
      </c>
      <c r="H661" s="1">
        <v>0</v>
      </c>
      <c r="I661" s="1">
        <v>5650484</v>
      </c>
      <c r="J661" s="1">
        <v>0</v>
      </c>
      <c r="K661" s="1">
        <v>0</v>
      </c>
      <c r="L661" s="1">
        <v>7628143</v>
      </c>
      <c r="M661" s="1">
        <v>1000000</v>
      </c>
      <c r="N661" s="1">
        <v>4045452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12300875</v>
      </c>
      <c r="W661" s="1">
        <v>1900000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3743980</v>
      </c>
      <c r="AE661" s="1">
        <v>0</v>
      </c>
      <c r="AF661" s="1">
        <v>3033762</v>
      </c>
      <c r="AG661" s="1">
        <v>0</v>
      </c>
      <c r="AH661" s="1">
        <v>0</v>
      </c>
      <c r="AI661" s="1">
        <v>0</v>
      </c>
      <c r="AJ661" s="1">
        <v>5048230</v>
      </c>
      <c r="AK661" s="1">
        <v>0</v>
      </c>
      <c r="AL661" s="1">
        <v>0</v>
      </c>
      <c r="AM661" s="1">
        <v>0</v>
      </c>
      <c r="AN661" s="1">
        <v>0</v>
      </c>
      <c r="AO661" s="1">
        <v>54090144</v>
      </c>
      <c r="AP661" s="1">
        <v>5441567</v>
      </c>
      <c r="AQ661" s="1">
        <v>48648577</v>
      </c>
      <c r="AR661" s="1">
        <v>10211276</v>
      </c>
      <c r="AS661" s="1">
        <v>1531691</v>
      </c>
      <c r="AT661" s="1">
        <f t="shared" si="70"/>
        <v>65833111</v>
      </c>
    </row>
    <row r="662" spans="1:46" x14ac:dyDescent="0.2">
      <c r="A662" s="1" t="str">
        <f>"00759"</f>
        <v>00759</v>
      </c>
      <c r="B662" s="1" t="str">
        <f>"داريوش"</f>
        <v>داريوش</v>
      </c>
      <c r="C662" s="1" t="str">
        <f>"گرگين"</f>
        <v>گرگين</v>
      </c>
      <c r="D662" s="1" t="str">
        <f>"قراردادي بهره بردار"</f>
        <v>قراردادي بهره بردار</v>
      </c>
      <c r="E662" s="1" t="str">
        <f>"پروژه بهره برداري نيروگاه بوشهر"</f>
        <v>پروژه بهره برداري نيروگاه بوشهر</v>
      </c>
      <c r="F662" s="1">
        <v>29847833</v>
      </c>
      <c r="G662" s="1">
        <v>0</v>
      </c>
      <c r="H662" s="1">
        <v>0</v>
      </c>
      <c r="I662" s="1">
        <v>23058145</v>
      </c>
      <c r="J662" s="1">
        <v>0</v>
      </c>
      <c r="K662" s="1">
        <v>5500000</v>
      </c>
      <c r="L662" s="1">
        <v>0</v>
      </c>
      <c r="M662" s="1">
        <v>1000000</v>
      </c>
      <c r="N662" s="1">
        <v>4437853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1387000</v>
      </c>
      <c r="U662" s="1">
        <v>0</v>
      </c>
      <c r="V662" s="1">
        <v>11691284</v>
      </c>
      <c r="W662" s="1">
        <v>1900000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3169895</v>
      </c>
      <c r="AF662" s="1">
        <v>4550643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4437853</v>
      </c>
      <c r="AM662" s="1">
        <v>0</v>
      </c>
      <c r="AN662" s="1">
        <v>0</v>
      </c>
      <c r="AO662" s="1">
        <v>90980506</v>
      </c>
      <c r="AP662" s="1">
        <v>30532610</v>
      </c>
      <c r="AQ662" s="1">
        <v>60447896</v>
      </c>
      <c r="AR662" s="1">
        <v>17285973</v>
      </c>
      <c r="AS662" s="1">
        <v>2592896</v>
      </c>
      <c r="AT662" s="1">
        <f t="shared" si="70"/>
        <v>110859375</v>
      </c>
    </row>
    <row r="663" spans="1:46" x14ac:dyDescent="0.2">
      <c r="A663" s="1" t="str">
        <f>"00760"</f>
        <v>00760</v>
      </c>
      <c r="B663" s="1" t="str">
        <f>"محمدرضا"</f>
        <v>محمدرضا</v>
      </c>
      <c r="C663" s="1" t="str">
        <f>"ميهن دوست"</f>
        <v>ميهن دوست</v>
      </c>
      <c r="D663" s="1" t="str">
        <f>"قراردادي کارگري"</f>
        <v>قراردادي کارگري</v>
      </c>
      <c r="E663" s="1" t="str">
        <f>"پروژه تعميرات نيروگاه بوشهر"</f>
        <v>پروژه تعميرات نيروگاه بوشهر</v>
      </c>
      <c r="F663" s="1">
        <v>10715790</v>
      </c>
      <c r="G663" s="1">
        <v>6685761</v>
      </c>
      <c r="H663" s="1">
        <v>3667617</v>
      </c>
      <c r="I663" s="1">
        <v>10287159</v>
      </c>
      <c r="J663" s="1">
        <v>0</v>
      </c>
      <c r="K663" s="1">
        <v>0</v>
      </c>
      <c r="L663" s="1">
        <v>7462913</v>
      </c>
      <c r="M663" s="1">
        <v>1000000</v>
      </c>
      <c r="N663" s="1">
        <v>5715088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3717762</v>
      </c>
      <c r="W663" s="1">
        <v>1900000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1516881</v>
      </c>
      <c r="AG663" s="1">
        <v>0</v>
      </c>
      <c r="AH663" s="1">
        <v>0</v>
      </c>
      <c r="AI663" s="1">
        <v>0</v>
      </c>
      <c r="AJ663" s="1">
        <v>0</v>
      </c>
      <c r="AK663" s="1">
        <v>1125000</v>
      </c>
      <c r="AL663" s="1">
        <v>0</v>
      </c>
      <c r="AM663" s="1">
        <v>0</v>
      </c>
      <c r="AN663" s="1">
        <v>0</v>
      </c>
      <c r="AO663" s="1">
        <v>53793971</v>
      </c>
      <c r="AP663" s="1">
        <v>4707657</v>
      </c>
      <c r="AQ663" s="1">
        <v>49086314</v>
      </c>
      <c r="AR663" s="1">
        <v>9496895</v>
      </c>
      <c r="AS663" s="1">
        <v>1424534</v>
      </c>
      <c r="AT663" s="1">
        <f t="shared" si="70"/>
        <v>64715400</v>
      </c>
    </row>
    <row r="664" spans="1:46" x14ac:dyDescent="0.2">
      <c r="A664" s="1" t="str">
        <f>"00761"</f>
        <v>00761</v>
      </c>
      <c r="B664" s="1" t="str">
        <f>"محمود"</f>
        <v>محمود</v>
      </c>
      <c r="C664" s="1" t="str">
        <f>"كره بندي"</f>
        <v>كره بندي</v>
      </c>
      <c r="D664" s="1" t="str">
        <f>"قراردادي کارگري"</f>
        <v>قراردادي کارگري</v>
      </c>
      <c r="E664" s="1" t="str">
        <f>"پروژه تعميرات نيروگاه بوشهر"</f>
        <v>پروژه تعميرات نيروگاه بوشهر</v>
      </c>
      <c r="F664" s="1">
        <v>8848408</v>
      </c>
      <c r="G664" s="1">
        <v>0</v>
      </c>
      <c r="H664" s="1">
        <v>0</v>
      </c>
      <c r="I664" s="1">
        <v>5486012</v>
      </c>
      <c r="J664" s="1">
        <v>0</v>
      </c>
      <c r="K664" s="1">
        <v>0</v>
      </c>
      <c r="L664" s="1">
        <v>7672721</v>
      </c>
      <c r="M664" s="1">
        <v>1000000</v>
      </c>
      <c r="N664" s="1">
        <v>4424202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9343394</v>
      </c>
      <c r="W664" s="1">
        <v>1900000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4550643</v>
      </c>
      <c r="AG664" s="1">
        <v>0</v>
      </c>
      <c r="AH664" s="1">
        <v>0</v>
      </c>
      <c r="AI664" s="1">
        <v>0</v>
      </c>
      <c r="AJ664" s="1">
        <v>1615633</v>
      </c>
      <c r="AK664" s="1">
        <v>0</v>
      </c>
      <c r="AL664" s="1">
        <v>0</v>
      </c>
      <c r="AM664" s="1">
        <v>0</v>
      </c>
      <c r="AN664" s="1">
        <v>2643134</v>
      </c>
      <c r="AO664" s="1">
        <v>47484147</v>
      </c>
      <c r="AP664" s="1">
        <v>6017528</v>
      </c>
      <c r="AQ664" s="1">
        <v>41466619</v>
      </c>
      <c r="AR664" s="1">
        <v>8586701</v>
      </c>
      <c r="AS664" s="1">
        <v>1288005</v>
      </c>
      <c r="AT664" s="1">
        <f t="shared" si="70"/>
        <v>57358853</v>
      </c>
    </row>
    <row r="665" spans="1:46" x14ac:dyDescent="0.2">
      <c r="A665" s="1" t="str">
        <f>"00762"</f>
        <v>00762</v>
      </c>
      <c r="B665" s="1" t="str">
        <f>"صديقه"</f>
        <v>صديقه</v>
      </c>
      <c r="C665" s="1" t="str">
        <f>"سالمي زاده"</f>
        <v>سالمي زاده</v>
      </c>
      <c r="D665" s="1" t="str">
        <f>"قراردادي بهره بردار"</f>
        <v>قراردادي بهره بردار</v>
      </c>
      <c r="E665" s="1" t="str">
        <f>"پروژه بهره برداري نيروگاه بوشهر"</f>
        <v>پروژه بهره برداري نيروگاه بوشهر</v>
      </c>
      <c r="F665" s="1">
        <v>23435752</v>
      </c>
      <c r="G665" s="1">
        <v>430108</v>
      </c>
      <c r="H665" s="1">
        <v>0</v>
      </c>
      <c r="I665" s="1">
        <v>18715496</v>
      </c>
      <c r="J665" s="1">
        <v>0</v>
      </c>
      <c r="K665" s="1">
        <v>4125000</v>
      </c>
      <c r="L665" s="1">
        <v>0</v>
      </c>
      <c r="M665" s="1">
        <v>1000000</v>
      </c>
      <c r="N665" s="1">
        <v>3530807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1387000</v>
      </c>
      <c r="U665" s="1">
        <v>0</v>
      </c>
      <c r="V665" s="1">
        <v>7950325</v>
      </c>
      <c r="W665" s="1">
        <v>1900000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2522005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4798108</v>
      </c>
      <c r="AM665" s="1">
        <v>0</v>
      </c>
      <c r="AN665" s="1">
        <v>0</v>
      </c>
      <c r="AO665" s="1">
        <v>69794601</v>
      </c>
      <c r="AP665" s="1">
        <v>28433733</v>
      </c>
      <c r="AQ665" s="1">
        <v>41360868</v>
      </c>
      <c r="AR665" s="1">
        <v>13958920</v>
      </c>
      <c r="AS665" s="1">
        <v>2093838</v>
      </c>
      <c r="AT665" s="1">
        <f t="shared" si="70"/>
        <v>85847359</v>
      </c>
    </row>
    <row r="666" spans="1:46" x14ac:dyDescent="0.2">
      <c r="A666" s="1" t="str">
        <f>"00763"</f>
        <v>00763</v>
      </c>
      <c r="B666" s="1" t="str">
        <f>"داوود"</f>
        <v>داوود</v>
      </c>
      <c r="C666" s="1" t="str">
        <f>"حاجي نژاد"</f>
        <v>حاجي نژاد</v>
      </c>
      <c r="D666" s="1" t="str">
        <f>"قراردادي بهره بردار"</f>
        <v>قراردادي بهره بردار</v>
      </c>
      <c r="E666" s="1" t="str">
        <f>"پروژه بهره برداري نيروگاه بوشهر"</f>
        <v>پروژه بهره برداري نيروگاه بوشهر</v>
      </c>
      <c r="F666" s="1">
        <v>18986508</v>
      </c>
      <c r="G666" s="1">
        <v>3048907</v>
      </c>
      <c r="H666" s="1">
        <v>0</v>
      </c>
      <c r="I666" s="1">
        <v>15358033</v>
      </c>
      <c r="J666" s="1">
        <v>0</v>
      </c>
      <c r="K666" s="1">
        <v>5500000</v>
      </c>
      <c r="L666" s="1">
        <v>0</v>
      </c>
      <c r="M666" s="1">
        <v>1000000</v>
      </c>
      <c r="N666" s="1">
        <v>3286986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1606000</v>
      </c>
      <c r="U666" s="1">
        <v>0</v>
      </c>
      <c r="V666" s="1">
        <v>15661520</v>
      </c>
      <c r="W666" s="1">
        <v>1900000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2347847</v>
      </c>
      <c r="AF666" s="1">
        <v>3033762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6083919</v>
      </c>
      <c r="AM666" s="1">
        <v>0</v>
      </c>
      <c r="AN666" s="1">
        <v>0</v>
      </c>
      <c r="AO666" s="1">
        <v>77813482</v>
      </c>
      <c r="AP666" s="1">
        <v>28121878</v>
      </c>
      <c r="AQ666" s="1">
        <v>49691604</v>
      </c>
      <c r="AR666" s="1">
        <v>14955944</v>
      </c>
      <c r="AS666" s="1">
        <v>2243392</v>
      </c>
      <c r="AT666" s="1">
        <f t="shared" si="70"/>
        <v>95012818</v>
      </c>
    </row>
    <row r="667" spans="1:46" x14ac:dyDescent="0.2">
      <c r="A667" s="1" t="str">
        <f>"00765"</f>
        <v>00765</v>
      </c>
      <c r="B667" s="1" t="str">
        <f>"فرخ"</f>
        <v>فرخ</v>
      </c>
      <c r="C667" s="1" t="str">
        <f>"يگانه"</f>
        <v>يگانه</v>
      </c>
      <c r="D667" s="1" t="str">
        <f>"قراردادي کارگري"</f>
        <v>قراردادي کارگري</v>
      </c>
      <c r="E667" s="1" t="str">
        <f>"پروژه تعميرات نيروگاه بوشهر"</f>
        <v>پروژه تعميرات نيروگاه بوشهر</v>
      </c>
      <c r="F667" s="1">
        <v>9349695</v>
      </c>
      <c r="G667" s="1">
        <v>2024676</v>
      </c>
      <c r="H667" s="1">
        <v>0</v>
      </c>
      <c r="I667" s="1">
        <v>6731780</v>
      </c>
      <c r="J667" s="1">
        <v>0</v>
      </c>
      <c r="K667" s="1">
        <v>0</v>
      </c>
      <c r="L667" s="1">
        <v>7628143</v>
      </c>
      <c r="M667" s="1">
        <v>1000000</v>
      </c>
      <c r="N667" s="1">
        <v>4953480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7202597</v>
      </c>
      <c r="W667" s="1">
        <v>1900000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3033762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43824133</v>
      </c>
      <c r="AP667" s="1">
        <v>14529044</v>
      </c>
      <c r="AQ667" s="1">
        <v>29295089</v>
      </c>
      <c r="AR667" s="1">
        <v>8158074</v>
      </c>
      <c r="AS667" s="1">
        <v>1223711</v>
      </c>
      <c r="AT667" s="1">
        <f t="shared" si="70"/>
        <v>53205918</v>
      </c>
    </row>
    <row r="668" spans="1:46" x14ac:dyDescent="0.2">
      <c r="A668" s="1" t="str">
        <f>"00767"</f>
        <v>00767</v>
      </c>
      <c r="B668" s="1" t="str">
        <f>"محمد سعيد"</f>
        <v>محمد سعيد</v>
      </c>
      <c r="C668" s="1" t="str">
        <f>"احتشامي نيا"</f>
        <v>احتشامي نيا</v>
      </c>
      <c r="D668" s="1" t="str">
        <f t="shared" ref="D668:D679" si="73">"قراردادي بهره بردار"</f>
        <v>قراردادي بهره بردار</v>
      </c>
      <c r="E668" s="1" t="str">
        <f t="shared" ref="E668:E679" si="74">"پروژه بهره برداري نيروگاه بوشهر"</f>
        <v>پروژه بهره برداري نيروگاه بوشهر</v>
      </c>
      <c r="F668" s="1">
        <v>14872436</v>
      </c>
      <c r="G668" s="1">
        <v>3770583</v>
      </c>
      <c r="H668" s="1">
        <v>0</v>
      </c>
      <c r="I668" s="1">
        <v>12785296</v>
      </c>
      <c r="J668" s="1">
        <v>0</v>
      </c>
      <c r="K668" s="1">
        <v>3465000</v>
      </c>
      <c r="L668" s="1">
        <v>0</v>
      </c>
      <c r="M668" s="1">
        <v>1000000</v>
      </c>
      <c r="N668" s="1">
        <v>2924321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1606000</v>
      </c>
      <c r="U668" s="1">
        <v>0</v>
      </c>
      <c r="V668" s="1">
        <v>14136124</v>
      </c>
      <c r="W668" s="1">
        <v>1900000</v>
      </c>
      <c r="X668" s="1">
        <v>2158902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2088801</v>
      </c>
      <c r="AF668" s="1">
        <v>0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12564744</v>
      </c>
      <c r="AM668" s="1">
        <v>0</v>
      </c>
      <c r="AN668" s="1">
        <v>0</v>
      </c>
      <c r="AO668" s="1">
        <v>73272207</v>
      </c>
      <c r="AP668" s="1">
        <v>27672777</v>
      </c>
      <c r="AQ668" s="1">
        <v>45599430</v>
      </c>
      <c r="AR668" s="1">
        <v>14654441</v>
      </c>
      <c r="AS668" s="1">
        <v>2198166</v>
      </c>
      <c r="AT668" s="1">
        <f t="shared" si="70"/>
        <v>90124814</v>
      </c>
    </row>
    <row r="669" spans="1:46" x14ac:dyDescent="0.2">
      <c r="A669" s="1" t="str">
        <f>"00768"</f>
        <v>00768</v>
      </c>
      <c r="B669" s="1" t="str">
        <f>"کسري"</f>
        <v>کسري</v>
      </c>
      <c r="C669" s="1" t="str">
        <f>"اشتري"</f>
        <v>اشتري</v>
      </c>
      <c r="D669" s="1" t="str">
        <f t="shared" si="73"/>
        <v>قراردادي بهره بردار</v>
      </c>
      <c r="E669" s="1" t="str">
        <f t="shared" si="74"/>
        <v>پروژه بهره برداري نيروگاه بوشهر</v>
      </c>
      <c r="F669" s="1">
        <v>13643472</v>
      </c>
      <c r="G669" s="1">
        <v>2311133</v>
      </c>
      <c r="H669" s="1">
        <v>0</v>
      </c>
      <c r="I669" s="1">
        <v>10357891</v>
      </c>
      <c r="J669" s="1">
        <v>0</v>
      </c>
      <c r="K669" s="1">
        <v>3465000</v>
      </c>
      <c r="L669" s="1">
        <v>0</v>
      </c>
      <c r="M669" s="1">
        <v>1000000</v>
      </c>
      <c r="N669" s="1">
        <v>2494184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1606000</v>
      </c>
      <c r="U669" s="1">
        <v>0</v>
      </c>
      <c r="V669" s="1">
        <v>8593836</v>
      </c>
      <c r="W669" s="1">
        <v>1900000</v>
      </c>
      <c r="X669" s="1">
        <v>1980504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1781560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9917717</v>
      </c>
      <c r="AM669" s="1">
        <v>0</v>
      </c>
      <c r="AN669" s="1">
        <v>0</v>
      </c>
      <c r="AO669" s="1">
        <v>59051297</v>
      </c>
      <c r="AP669" s="1">
        <v>19137762</v>
      </c>
      <c r="AQ669" s="1">
        <v>39913535</v>
      </c>
      <c r="AR669" s="1">
        <v>11810259</v>
      </c>
      <c r="AS669" s="1">
        <v>1771539</v>
      </c>
      <c r="AT669" s="1">
        <f t="shared" si="70"/>
        <v>72633095</v>
      </c>
    </row>
    <row r="670" spans="1:46" x14ac:dyDescent="0.2">
      <c r="A670" s="1" t="str">
        <f>"00769"</f>
        <v>00769</v>
      </c>
      <c r="B670" s="1" t="str">
        <f>"مرتضي"</f>
        <v>مرتضي</v>
      </c>
      <c r="C670" s="1" t="str">
        <f>"ايمري"</f>
        <v>ايمري</v>
      </c>
      <c r="D670" s="1" t="str">
        <f t="shared" si="73"/>
        <v>قراردادي بهره بردار</v>
      </c>
      <c r="E670" s="1" t="str">
        <f t="shared" si="74"/>
        <v>پروژه بهره برداري نيروگاه بوشهر</v>
      </c>
      <c r="F670" s="1">
        <v>13553655</v>
      </c>
      <c r="G670" s="1">
        <v>3385522</v>
      </c>
      <c r="H670" s="1">
        <v>0</v>
      </c>
      <c r="I670" s="1">
        <v>9885112</v>
      </c>
      <c r="J670" s="1">
        <v>0</v>
      </c>
      <c r="K670" s="1">
        <v>4620000</v>
      </c>
      <c r="L670" s="1">
        <v>0</v>
      </c>
      <c r="M670" s="1">
        <v>1000000</v>
      </c>
      <c r="N670" s="1">
        <v>2462747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1606000</v>
      </c>
      <c r="U670" s="1">
        <v>0</v>
      </c>
      <c r="V670" s="1">
        <v>16094897</v>
      </c>
      <c r="W670" s="1">
        <v>1900000</v>
      </c>
      <c r="X670" s="1">
        <v>1967466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1759105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9553016</v>
      </c>
      <c r="AM670" s="1">
        <v>0</v>
      </c>
      <c r="AN670" s="1">
        <v>0</v>
      </c>
      <c r="AO670" s="1">
        <v>67787520</v>
      </c>
      <c r="AP670" s="1">
        <v>32453657</v>
      </c>
      <c r="AQ670" s="1">
        <v>35333863</v>
      </c>
      <c r="AR670" s="1">
        <v>13557504</v>
      </c>
      <c r="AS670" s="1">
        <v>2033626</v>
      </c>
      <c r="AT670" s="1">
        <f t="shared" si="70"/>
        <v>83378650</v>
      </c>
    </row>
    <row r="671" spans="1:46" x14ac:dyDescent="0.2">
      <c r="A671" s="1" t="str">
        <f>"00770"</f>
        <v>00770</v>
      </c>
      <c r="B671" s="1" t="str">
        <f>"حميد"</f>
        <v>حميد</v>
      </c>
      <c r="C671" s="1" t="str">
        <f>"آل عبدي"</f>
        <v>آل عبدي</v>
      </c>
      <c r="D671" s="1" t="str">
        <f t="shared" si="73"/>
        <v>قراردادي بهره بردار</v>
      </c>
      <c r="E671" s="1" t="str">
        <f t="shared" si="74"/>
        <v>پروژه بهره برداري نيروگاه بوشهر</v>
      </c>
      <c r="F671" s="1">
        <v>19071944</v>
      </c>
      <c r="G671" s="1">
        <v>8723540</v>
      </c>
      <c r="H671" s="1">
        <v>0</v>
      </c>
      <c r="I671" s="1">
        <v>16915521</v>
      </c>
      <c r="J671" s="1">
        <v>0</v>
      </c>
      <c r="K671" s="1">
        <v>5500000</v>
      </c>
      <c r="L671" s="1">
        <v>0</v>
      </c>
      <c r="M671" s="1">
        <v>1000000</v>
      </c>
      <c r="N671" s="1">
        <v>3316888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1387000</v>
      </c>
      <c r="U671" s="1">
        <v>0</v>
      </c>
      <c r="V671" s="1">
        <v>13409739</v>
      </c>
      <c r="W671" s="1">
        <v>1900000</v>
      </c>
      <c r="X671" s="1">
        <v>2768508</v>
      </c>
      <c r="Y671" s="1">
        <v>0</v>
      </c>
      <c r="Z671" s="1">
        <v>0</v>
      </c>
      <c r="AA671" s="1">
        <v>0</v>
      </c>
      <c r="AB671" s="1">
        <v>0</v>
      </c>
      <c r="AC671" s="1">
        <v>3877480</v>
      </c>
      <c r="AD671" s="1">
        <v>0</v>
      </c>
      <c r="AE671" s="1">
        <v>2369206</v>
      </c>
      <c r="AF671" s="1">
        <v>1516881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18304860</v>
      </c>
      <c r="AM671" s="1">
        <v>0</v>
      </c>
      <c r="AN671" s="1">
        <v>0</v>
      </c>
      <c r="AO671" s="1">
        <v>100061567</v>
      </c>
      <c r="AP671" s="1">
        <v>26135594</v>
      </c>
      <c r="AQ671" s="1">
        <v>73925973</v>
      </c>
      <c r="AR671" s="1">
        <v>19708937</v>
      </c>
      <c r="AS671" s="1">
        <v>2956341</v>
      </c>
      <c r="AT671" s="1">
        <f t="shared" si="70"/>
        <v>122726845</v>
      </c>
    </row>
    <row r="672" spans="1:46" x14ac:dyDescent="0.2">
      <c r="A672" s="1" t="str">
        <f>"00771"</f>
        <v>00771</v>
      </c>
      <c r="B672" s="1" t="str">
        <f>"عبيد"</f>
        <v>عبيد</v>
      </c>
      <c r="C672" s="1" t="str">
        <f>"بابائي"</f>
        <v>بابائي</v>
      </c>
      <c r="D672" s="1" t="str">
        <f t="shared" si="73"/>
        <v>قراردادي بهره بردار</v>
      </c>
      <c r="E672" s="1" t="str">
        <f t="shared" si="74"/>
        <v>پروژه بهره برداري نيروگاه بوشهر</v>
      </c>
      <c r="F672" s="1">
        <v>10125261</v>
      </c>
      <c r="G672" s="1">
        <v>1795409</v>
      </c>
      <c r="H672" s="1">
        <v>0</v>
      </c>
      <c r="I672" s="1">
        <v>5169594</v>
      </c>
      <c r="J672" s="1">
        <v>0</v>
      </c>
      <c r="K672" s="1">
        <v>3465000</v>
      </c>
      <c r="L672" s="1">
        <v>0</v>
      </c>
      <c r="M672" s="1">
        <v>1000000</v>
      </c>
      <c r="N672" s="1">
        <v>1634675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1387000</v>
      </c>
      <c r="U672" s="1">
        <v>0</v>
      </c>
      <c r="V672" s="1">
        <v>2570052</v>
      </c>
      <c r="W672" s="1">
        <v>1900000</v>
      </c>
      <c r="X672" s="1">
        <v>1469796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1167625</v>
      </c>
      <c r="AF672" s="1">
        <v>0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7603366</v>
      </c>
      <c r="AM672" s="1">
        <v>0</v>
      </c>
      <c r="AN672" s="1">
        <v>0</v>
      </c>
      <c r="AO672" s="1">
        <v>39287778</v>
      </c>
      <c r="AP672" s="1">
        <v>13028345</v>
      </c>
      <c r="AQ672" s="1">
        <v>26259433</v>
      </c>
      <c r="AR672" s="1">
        <v>7857556</v>
      </c>
      <c r="AS672" s="1">
        <v>1178633</v>
      </c>
      <c r="AT672" s="1">
        <f t="shared" si="70"/>
        <v>48323967</v>
      </c>
    </row>
    <row r="673" spans="1:46" x14ac:dyDescent="0.2">
      <c r="A673" s="1" t="str">
        <f>"00772"</f>
        <v>00772</v>
      </c>
      <c r="B673" s="1" t="str">
        <f>"عباس"</f>
        <v>عباس</v>
      </c>
      <c r="C673" s="1" t="str">
        <f>"بيات"</f>
        <v>بيات</v>
      </c>
      <c r="D673" s="1" t="str">
        <f t="shared" si="73"/>
        <v>قراردادي بهره بردار</v>
      </c>
      <c r="E673" s="1" t="str">
        <f t="shared" si="74"/>
        <v>پروژه بهره برداري نيروگاه بوشهر</v>
      </c>
      <c r="F673" s="1">
        <v>14156088</v>
      </c>
      <c r="G673" s="1">
        <v>6758462</v>
      </c>
      <c r="H673" s="1">
        <v>0</v>
      </c>
      <c r="I673" s="1">
        <v>12270316</v>
      </c>
      <c r="J673" s="1">
        <v>0</v>
      </c>
      <c r="K673" s="1">
        <v>4620000</v>
      </c>
      <c r="L673" s="1">
        <v>0</v>
      </c>
      <c r="M673" s="1">
        <v>1000000</v>
      </c>
      <c r="N673" s="1">
        <v>2673599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1606000</v>
      </c>
      <c r="U673" s="1">
        <v>0</v>
      </c>
      <c r="V673" s="1">
        <v>13332235</v>
      </c>
      <c r="W673" s="1">
        <v>1900000</v>
      </c>
      <c r="X673" s="1">
        <v>2054916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1909714</v>
      </c>
      <c r="AF673" s="1">
        <v>1516881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11997493</v>
      </c>
      <c r="AM673" s="1">
        <v>0</v>
      </c>
      <c r="AN673" s="1">
        <v>0</v>
      </c>
      <c r="AO673" s="1">
        <v>75795704</v>
      </c>
      <c r="AP673" s="1">
        <v>32256438</v>
      </c>
      <c r="AQ673" s="1">
        <v>43539266</v>
      </c>
      <c r="AR673" s="1">
        <v>14855765</v>
      </c>
      <c r="AS673" s="1">
        <v>2228365</v>
      </c>
      <c r="AT673" s="1">
        <f t="shared" si="70"/>
        <v>92879834</v>
      </c>
    </row>
    <row r="674" spans="1:46" x14ac:dyDescent="0.2">
      <c r="A674" s="1" t="str">
        <f>"00773"</f>
        <v>00773</v>
      </c>
      <c r="B674" s="1" t="str">
        <f>"بهنام"</f>
        <v>بهنام</v>
      </c>
      <c r="C674" s="1" t="str">
        <f>"داسمه"</f>
        <v>داسمه</v>
      </c>
      <c r="D674" s="1" t="str">
        <f t="shared" si="73"/>
        <v>قراردادي بهره بردار</v>
      </c>
      <c r="E674" s="1" t="str">
        <f t="shared" si="74"/>
        <v>پروژه بهره برداري نيروگاه بوشهر</v>
      </c>
      <c r="F674" s="1">
        <v>14182376</v>
      </c>
      <c r="G674" s="1">
        <v>6282885</v>
      </c>
      <c r="H674" s="1">
        <v>0</v>
      </c>
      <c r="I674" s="1">
        <v>11609527</v>
      </c>
      <c r="J674" s="1">
        <v>0</v>
      </c>
      <c r="K674" s="1">
        <v>4620000</v>
      </c>
      <c r="L674" s="1">
        <v>0</v>
      </c>
      <c r="M674" s="1">
        <v>1000000</v>
      </c>
      <c r="N674" s="1">
        <v>2682800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1387000</v>
      </c>
      <c r="U674" s="1">
        <v>0</v>
      </c>
      <c r="V674" s="1">
        <v>13168707</v>
      </c>
      <c r="W674" s="1">
        <v>1900000</v>
      </c>
      <c r="X674" s="1">
        <v>2058732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1916286</v>
      </c>
      <c r="AF674" s="1">
        <v>1516881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12088712</v>
      </c>
      <c r="AM674" s="1">
        <v>0</v>
      </c>
      <c r="AN674" s="1">
        <v>0</v>
      </c>
      <c r="AO674" s="1">
        <v>74413906</v>
      </c>
      <c r="AP674" s="1">
        <v>38610096</v>
      </c>
      <c r="AQ674" s="1">
        <v>35803810</v>
      </c>
      <c r="AR674" s="1">
        <v>14579405</v>
      </c>
      <c r="AS674" s="1">
        <v>2186911</v>
      </c>
      <c r="AT674" s="1">
        <f t="shared" si="70"/>
        <v>91180222</v>
      </c>
    </row>
    <row r="675" spans="1:46" x14ac:dyDescent="0.2">
      <c r="A675" s="1" t="str">
        <f>"00774"</f>
        <v>00774</v>
      </c>
      <c r="B675" s="1" t="str">
        <f>"رضا"</f>
        <v>رضا</v>
      </c>
      <c r="C675" s="1" t="str">
        <f>"درکهء"</f>
        <v>درکهء</v>
      </c>
      <c r="D675" s="1" t="str">
        <f t="shared" si="73"/>
        <v>قراردادي بهره بردار</v>
      </c>
      <c r="E675" s="1" t="str">
        <f t="shared" si="74"/>
        <v>پروژه بهره برداري نيروگاه بوشهر</v>
      </c>
      <c r="F675" s="1">
        <v>14337913</v>
      </c>
      <c r="G675" s="1">
        <v>0</v>
      </c>
      <c r="H675" s="1">
        <v>0</v>
      </c>
      <c r="I675" s="1">
        <v>11616613</v>
      </c>
      <c r="J675" s="1">
        <v>0</v>
      </c>
      <c r="K675" s="1">
        <v>4620000</v>
      </c>
      <c r="L675" s="1">
        <v>0</v>
      </c>
      <c r="M675" s="1">
        <v>1000000</v>
      </c>
      <c r="N675" s="1">
        <v>2737238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1606000</v>
      </c>
      <c r="U675" s="1">
        <v>0</v>
      </c>
      <c r="V675" s="1">
        <v>11296898</v>
      </c>
      <c r="W675" s="1">
        <v>1900000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1955170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6698182</v>
      </c>
      <c r="AM675" s="1">
        <v>0</v>
      </c>
      <c r="AN675" s="1">
        <v>0</v>
      </c>
      <c r="AO675" s="1">
        <v>57768014</v>
      </c>
      <c r="AP675" s="1">
        <v>6065586</v>
      </c>
      <c r="AQ675" s="1">
        <v>51702428</v>
      </c>
      <c r="AR675" s="1">
        <v>11553603</v>
      </c>
      <c r="AS675" s="1">
        <v>1733040</v>
      </c>
      <c r="AT675" s="1">
        <f t="shared" si="70"/>
        <v>71054657</v>
      </c>
    </row>
    <row r="676" spans="1:46" x14ac:dyDescent="0.2">
      <c r="A676" s="1" t="str">
        <f>"00775"</f>
        <v>00775</v>
      </c>
      <c r="B676" s="1" t="str">
        <f>"محسن"</f>
        <v>محسن</v>
      </c>
      <c r="C676" s="1" t="str">
        <f>"رشيدي کوچي"</f>
        <v>رشيدي کوچي</v>
      </c>
      <c r="D676" s="1" t="str">
        <f t="shared" si="73"/>
        <v>قراردادي بهره بردار</v>
      </c>
      <c r="E676" s="1" t="str">
        <f t="shared" si="74"/>
        <v>پروژه بهره برداري نيروگاه بوشهر</v>
      </c>
      <c r="F676" s="1">
        <v>14039983</v>
      </c>
      <c r="G676" s="1">
        <v>2369784</v>
      </c>
      <c r="H676" s="1">
        <v>0</v>
      </c>
      <c r="I676" s="1">
        <v>11733197</v>
      </c>
      <c r="J676" s="1">
        <v>0</v>
      </c>
      <c r="K676" s="1">
        <v>4620000</v>
      </c>
      <c r="L676" s="1">
        <v>0</v>
      </c>
      <c r="M676" s="1">
        <v>1000000</v>
      </c>
      <c r="N676" s="1">
        <v>2632962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1606000</v>
      </c>
      <c r="U676" s="1">
        <v>0</v>
      </c>
      <c r="V676" s="1">
        <v>14123784</v>
      </c>
      <c r="W676" s="1">
        <v>1900000</v>
      </c>
      <c r="X676" s="1">
        <v>2038062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1880687</v>
      </c>
      <c r="AF676" s="1">
        <v>1516881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11561419</v>
      </c>
      <c r="AM676" s="1">
        <v>0</v>
      </c>
      <c r="AN676" s="1">
        <v>0</v>
      </c>
      <c r="AO676" s="1">
        <v>71022759</v>
      </c>
      <c r="AP676" s="1">
        <v>30938982</v>
      </c>
      <c r="AQ676" s="1">
        <v>40083777</v>
      </c>
      <c r="AR676" s="1">
        <v>13901176</v>
      </c>
      <c r="AS676" s="1">
        <v>2085176</v>
      </c>
      <c r="AT676" s="1">
        <f t="shared" si="70"/>
        <v>87009111</v>
      </c>
    </row>
    <row r="677" spans="1:46" x14ac:dyDescent="0.2">
      <c r="A677" s="1" t="str">
        <f>"00776"</f>
        <v>00776</v>
      </c>
      <c r="B677" s="1" t="str">
        <f>"مرتضي"</f>
        <v>مرتضي</v>
      </c>
      <c r="C677" s="1" t="str">
        <f>"زائري"</f>
        <v>زائري</v>
      </c>
      <c r="D677" s="1" t="str">
        <f t="shared" si="73"/>
        <v>قراردادي بهره بردار</v>
      </c>
      <c r="E677" s="1" t="str">
        <f t="shared" si="74"/>
        <v>پروژه بهره برداري نيروگاه بوشهر</v>
      </c>
      <c r="F677" s="1">
        <v>13512032</v>
      </c>
      <c r="G677" s="1">
        <v>2691881</v>
      </c>
      <c r="H677" s="1">
        <v>0</v>
      </c>
      <c r="I677" s="1">
        <v>10509310</v>
      </c>
      <c r="J677" s="1">
        <v>0</v>
      </c>
      <c r="K677" s="1">
        <v>4620000</v>
      </c>
      <c r="L677" s="1">
        <v>0</v>
      </c>
      <c r="M677" s="1">
        <v>1000000</v>
      </c>
      <c r="N677" s="1">
        <v>2448180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1606000</v>
      </c>
      <c r="U677" s="1">
        <v>0</v>
      </c>
      <c r="V677" s="1">
        <v>16453678</v>
      </c>
      <c r="W677" s="1">
        <v>1900000</v>
      </c>
      <c r="X677" s="1">
        <v>1961424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1748700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9824964</v>
      </c>
      <c r="AM677" s="1">
        <v>0</v>
      </c>
      <c r="AN677" s="1">
        <v>0</v>
      </c>
      <c r="AO677" s="1">
        <v>68276169</v>
      </c>
      <c r="AP677" s="1">
        <v>22962422</v>
      </c>
      <c r="AQ677" s="1">
        <v>45313747</v>
      </c>
      <c r="AR677" s="1">
        <v>13655234</v>
      </c>
      <c r="AS677" s="1">
        <v>2048285</v>
      </c>
      <c r="AT677" s="1">
        <f t="shared" si="70"/>
        <v>83979688</v>
      </c>
    </row>
    <row r="678" spans="1:46" x14ac:dyDescent="0.2">
      <c r="A678" s="1" t="str">
        <f>"00777"</f>
        <v>00777</v>
      </c>
      <c r="B678" s="1" t="str">
        <f>"محمدجواد"</f>
        <v>محمدجواد</v>
      </c>
      <c r="C678" s="1" t="str">
        <f>"صابري نژاد"</f>
        <v>صابري نژاد</v>
      </c>
      <c r="D678" s="1" t="str">
        <f t="shared" si="73"/>
        <v>قراردادي بهره بردار</v>
      </c>
      <c r="E678" s="1" t="str">
        <f t="shared" si="74"/>
        <v>پروژه بهره برداري نيروگاه بوشهر</v>
      </c>
      <c r="F678" s="1">
        <v>16250365</v>
      </c>
      <c r="G678" s="1">
        <v>6074454</v>
      </c>
      <c r="H678" s="1">
        <v>0</v>
      </c>
      <c r="I678" s="1">
        <v>14100589</v>
      </c>
      <c r="J678" s="1">
        <v>0</v>
      </c>
      <c r="K678" s="1">
        <v>0</v>
      </c>
      <c r="L678" s="1">
        <v>0</v>
      </c>
      <c r="M678" s="1">
        <v>1000000</v>
      </c>
      <c r="N678" s="1">
        <v>3165075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1606000</v>
      </c>
      <c r="U678" s="1">
        <v>0</v>
      </c>
      <c r="V678" s="1">
        <v>10060593</v>
      </c>
      <c r="W678" s="1">
        <v>1900000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2260768</v>
      </c>
      <c r="AF678" s="1">
        <v>4550643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7964914</v>
      </c>
      <c r="AM678" s="1">
        <v>0</v>
      </c>
      <c r="AN678" s="1">
        <v>0</v>
      </c>
      <c r="AO678" s="1">
        <v>68933401</v>
      </c>
      <c r="AP678" s="1">
        <v>27578862</v>
      </c>
      <c r="AQ678" s="1">
        <v>41354539</v>
      </c>
      <c r="AR678" s="1">
        <v>12876552</v>
      </c>
      <c r="AS678" s="1">
        <v>1931483</v>
      </c>
      <c r="AT678" s="1">
        <f t="shared" si="70"/>
        <v>83741436</v>
      </c>
    </row>
    <row r="679" spans="1:46" x14ac:dyDescent="0.2">
      <c r="A679" s="1" t="str">
        <f>"00778"</f>
        <v>00778</v>
      </c>
      <c r="B679" s="1" t="str">
        <f>"محمود"</f>
        <v>محمود</v>
      </c>
      <c r="C679" s="1" t="str">
        <f>"عبدلي نديکي"</f>
        <v>عبدلي نديکي</v>
      </c>
      <c r="D679" s="1" t="str">
        <f t="shared" si="73"/>
        <v>قراردادي بهره بردار</v>
      </c>
      <c r="E679" s="1" t="str">
        <f t="shared" si="74"/>
        <v>پروژه بهره برداري نيروگاه بوشهر</v>
      </c>
      <c r="F679" s="1">
        <v>14966635</v>
      </c>
      <c r="G679" s="1">
        <v>2588087</v>
      </c>
      <c r="H679" s="1">
        <v>0</v>
      </c>
      <c r="I679" s="1">
        <v>12704732</v>
      </c>
      <c r="J679" s="1">
        <v>0</v>
      </c>
      <c r="K679" s="1">
        <v>4620000</v>
      </c>
      <c r="L679" s="1">
        <v>0</v>
      </c>
      <c r="M679" s="1">
        <v>1000000</v>
      </c>
      <c r="N679" s="1">
        <v>2715769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1606000</v>
      </c>
      <c r="U679" s="1">
        <v>0</v>
      </c>
      <c r="V679" s="1">
        <v>18455792</v>
      </c>
      <c r="W679" s="1">
        <v>1900000</v>
      </c>
      <c r="X679" s="1">
        <v>2172576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1939835</v>
      </c>
      <c r="AF679" s="1">
        <v>3033762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10345380</v>
      </c>
      <c r="AM679" s="1">
        <v>0</v>
      </c>
      <c r="AN679" s="1">
        <v>0</v>
      </c>
      <c r="AO679" s="1">
        <v>78048568</v>
      </c>
      <c r="AP679" s="1">
        <v>29560197</v>
      </c>
      <c r="AQ679" s="1">
        <v>48488371</v>
      </c>
      <c r="AR679" s="1">
        <v>15002961</v>
      </c>
      <c r="AS679" s="1">
        <v>2250444</v>
      </c>
      <c r="AT679" s="1">
        <f t="shared" si="70"/>
        <v>95301973</v>
      </c>
    </row>
    <row r="680" spans="1:46" x14ac:dyDescent="0.2">
      <c r="A680" s="1" t="str">
        <f>"00779"</f>
        <v>00779</v>
      </c>
      <c r="B680" s="1" t="str">
        <f>"سيدمجتبي"</f>
        <v>سيدمجتبي</v>
      </c>
      <c r="C680" s="1" t="str">
        <f>"علي زاده"</f>
        <v>علي زاده</v>
      </c>
      <c r="D680" s="1" t="str">
        <f>"قراردادي کارگري"</f>
        <v>قراردادي کارگري</v>
      </c>
      <c r="E680" s="1" t="str">
        <f>"پروژه تعميرات نيروگاه بوشهر"</f>
        <v>پروژه تعميرات نيروگاه بوشهر</v>
      </c>
      <c r="F680" s="1">
        <v>6302752</v>
      </c>
      <c r="G680" s="1">
        <v>999784</v>
      </c>
      <c r="H680" s="1">
        <v>0</v>
      </c>
      <c r="I680" s="1">
        <v>4601009</v>
      </c>
      <c r="J680" s="1">
        <v>0</v>
      </c>
      <c r="K680" s="1">
        <v>0</v>
      </c>
      <c r="L680" s="1">
        <v>7628143</v>
      </c>
      <c r="M680" s="1">
        <v>1000000</v>
      </c>
      <c r="N680" s="1">
        <v>3339204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0</v>
      </c>
      <c r="U680" s="1">
        <v>0</v>
      </c>
      <c r="V680" s="1">
        <v>6465621</v>
      </c>
      <c r="W680" s="1">
        <v>1900000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3280666</v>
      </c>
      <c r="AE680" s="1">
        <v>0</v>
      </c>
      <c r="AF680" s="1">
        <v>0</v>
      </c>
      <c r="AG680" s="1">
        <v>0</v>
      </c>
      <c r="AH680" s="1">
        <v>0</v>
      </c>
      <c r="AI680" s="1">
        <v>0</v>
      </c>
      <c r="AJ680" s="1">
        <v>2559446</v>
      </c>
      <c r="AK680" s="1">
        <v>0</v>
      </c>
      <c r="AL680" s="1">
        <v>0</v>
      </c>
      <c r="AM680" s="1">
        <v>0</v>
      </c>
      <c r="AN680" s="1">
        <v>0</v>
      </c>
      <c r="AO680" s="1">
        <v>38076625</v>
      </c>
      <c r="AP680" s="1">
        <v>3222490</v>
      </c>
      <c r="AQ680" s="1">
        <v>34854135</v>
      </c>
      <c r="AR680" s="1">
        <v>7615325</v>
      </c>
      <c r="AS680" s="1">
        <v>1142299</v>
      </c>
      <c r="AT680" s="1">
        <f t="shared" si="70"/>
        <v>46834249</v>
      </c>
    </row>
    <row r="681" spans="1:46" x14ac:dyDescent="0.2">
      <c r="A681" s="1" t="str">
        <f>"00780"</f>
        <v>00780</v>
      </c>
      <c r="B681" s="1" t="str">
        <f>"حسين"</f>
        <v>حسين</v>
      </c>
      <c r="C681" s="1" t="str">
        <f>"فردين پور"</f>
        <v>فردين پور</v>
      </c>
      <c r="D681" s="1" t="str">
        <f t="shared" ref="D681:D710" si="75">"قراردادي بهره بردار"</f>
        <v>قراردادي بهره بردار</v>
      </c>
      <c r="E681" s="1" t="str">
        <f t="shared" ref="E681:E709" si="76">"پروژه بهره برداري نيروگاه بوشهر"</f>
        <v>پروژه بهره برداري نيروگاه بوشهر</v>
      </c>
      <c r="F681" s="1">
        <v>12442987</v>
      </c>
      <c r="G681" s="1">
        <v>8614890</v>
      </c>
      <c r="H681" s="1">
        <v>0</v>
      </c>
      <c r="I681" s="1">
        <v>8866023</v>
      </c>
      <c r="J681" s="1">
        <v>0</v>
      </c>
      <c r="K681" s="1">
        <v>4620000</v>
      </c>
      <c r="L681" s="1">
        <v>0</v>
      </c>
      <c r="M681" s="1">
        <v>1000000</v>
      </c>
      <c r="N681" s="1">
        <v>2074014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1387000</v>
      </c>
      <c r="U681" s="1">
        <v>0</v>
      </c>
      <c r="V681" s="1">
        <v>14504334</v>
      </c>
      <c r="W681" s="1">
        <v>1900000</v>
      </c>
      <c r="X681" s="1">
        <v>1806240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1481438</v>
      </c>
      <c r="AF681" s="1">
        <v>1516881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9465323</v>
      </c>
      <c r="AM681" s="1">
        <v>0</v>
      </c>
      <c r="AN681" s="1">
        <v>0</v>
      </c>
      <c r="AO681" s="1">
        <v>69679130</v>
      </c>
      <c r="AP681" s="1">
        <v>23123440</v>
      </c>
      <c r="AQ681" s="1">
        <v>46555690</v>
      </c>
      <c r="AR681" s="1">
        <v>13632450</v>
      </c>
      <c r="AS681" s="1">
        <v>2044867</v>
      </c>
      <c r="AT681" s="1">
        <f t="shared" si="70"/>
        <v>85356447</v>
      </c>
    </row>
    <row r="682" spans="1:46" x14ac:dyDescent="0.2">
      <c r="A682" s="1" t="str">
        <f>"00781"</f>
        <v>00781</v>
      </c>
      <c r="B682" s="1" t="str">
        <f>"محسن"</f>
        <v>محسن</v>
      </c>
      <c r="C682" s="1" t="str">
        <f>"فلاح زاده ابرقويي"</f>
        <v>فلاح زاده ابرقويي</v>
      </c>
      <c r="D682" s="1" t="str">
        <f t="shared" si="75"/>
        <v>قراردادي بهره بردار</v>
      </c>
      <c r="E682" s="1" t="str">
        <f t="shared" si="76"/>
        <v>پروژه بهره برداري نيروگاه بوشهر</v>
      </c>
      <c r="F682" s="1">
        <v>13582133</v>
      </c>
      <c r="G682" s="1">
        <v>2936225</v>
      </c>
      <c r="H682" s="1">
        <v>0</v>
      </c>
      <c r="I682" s="1">
        <v>10072735</v>
      </c>
      <c r="J682" s="1">
        <v>0</v>
      </c>
      <c r="K682" s="1">
        <v>4620000</v>
      </c>
      <c r="L682" s="1">
        <v>0</v>
      </c>
      <c r="M682" s="1">
        <v>1000000</v>
      </c>
      <c r="N682" s="1">
        <v>2472715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1606000</v>
      </c>
      <c r="U682" s="1">
        <v>0</v>
      </c>
      <c r="V682" s="1">
        <v>8491939</v>
      </c>
      <c r="W682" s="1">
        <v>1900000</v>
      </c>
      <c r="X682" s="1">
        <v>1971600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1766225</v>
      </c>
      <c r="AF682" s="1">
        <v>1516881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9848142</v>
      </c>
      <c r="AM682" s="1">
        <v>0</v>
      </c>
      <c r="AN682" s="1">
        <v>0</v>
      </c>
      <c r="AO682" s="1">
        <v>61784595</v>
      </c>
      <c r="AP682" s="1">
        <v>26649053</v>
      </c>
      <c r="AQ682" s="1">
        <v>35135542</v>
      </c>
      <c r="AR682" s="1">
        <v>12053543</v>
      </c>
      <c r="AS682" s="1">
        <v>1808031</v>
      </c>
      <c r="AT682" s="1">
        <f t="shared" si="70"/>
        <v>75646169</v>
      </c>
    </row>
    <row r="683" spans="1:46" x14ac:dyDescent="0.2">
      <c r="A683" s="1" t="str">
        <f>"00782"</f>
        <v>00782</v>
      </c>
      <c r="B683" s="1" t="str">
        <f>"ميثم"</f>
        <v>ميثم</v>
      </c>
      <c r="C683" s="1" t="str">
        <f>"قلاوند"</f>
        <v>قلاوند</v>
      </c>
      <c r="D683" s="1" t="str">
        <f t="shared" si="75"/>
        <v>قراردادي بهره بردار</v>
      </c>
      <c r="E683" s="1" t="str">
        <f t="shared" si="76"/>
        <v>پروژه بهره برداري نيروگاه بوشهر</v>
      </c>
      <c r="F683" s="1">
        <v>12653291</v>
      </c>
      <c r="G683" s="1">
        <v>2778168</v>
      </c>
      <c r="H683" s="1">
        <v>0</v>
      </c>
      <c r="I683" s="1">
        <v>9032801</v>
      </c>
      <c r="J683" s="1">
        <v>0</v>
      </c>
      <c r="K683" s="1">
        <v>4620000</v>
      </c>
      <c r="L683" s="1">
        <v>0</v>
      </c>
      <c r="M683" s="1">
        <v>1000000</v>
      </c>
      <c r="N683" s="1">
        <v>2147620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1606000</v>
      </c>
      <c r="U683" s="1">
        <v>0</v>
      </c>
      <c r="V683" s="1">
        <v>14858453</v>
      </c>
      <c r="W683" s="1">
        <v>1900000</v>
      </c>
      <c r="X683" s="1">
        <v>1836768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1534014</v>
      </c>
      <c r="AF683" s="1">
        <v>3033762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8987079</v>
      </c>
      <c r="AM683" s="1">
        <v>0</v>
      </c>
      <c r="AN683" s="1">
        <v>0</v>
      </c>
      <c r="AO683" s="1">
        <v>65987956</v>
      </c>
      <c r="AP683" s="1">
        <v>24523268</v>
      </c>
      <c r="AQ683" s="1">
        <v>41464688</v>
      </c>
      <c r="AR683" s="1">
        <v>12590839</v>
      </c>
      <c r="AS683" s="1">
        <v>1888626</v>
      </c>
      <c r="AT683" s="1">
        <f t="shared" si="70"/>
        <v>80467421</v>
      </c>
    </row>
    <row r="684" spans="1:46" x14ac:dyDescent="0.2">
      <c r="A684" s="1" t="str">
        <f>"00783"</f>
        <v>00783</v>
      </c>
      <c r="B684" s="1" t="str">
        <f>"رضا"</f>
        <v>رضا</v>
      </c>
      <c r="C684" s="1" t="str">
        <f>"قيطاسي"</f>
        <v>قيطاسي</v>
      </c>
      <c r="D684" s="1" t="str">
        <f t="shared" si="75"/>
        <v>قراردادي بهره بردار</v>
      </c>
      <c r="E684" s="1" t="str">
        <f t="shared" si="76"/>
        <v>پروژه بهره برداري نيروگاه بوشهر</v>
      </c>
      <c r="F684" s="1">
        <v>13321444</v>
      </c>
      <c r="G684" s="1">
        <v>3270066</v>
      </c>
      <c r="H684" s="1">
        <v>0</v>
      </c>
      <c r="I684" s="1">
        <v>9533558</v>
      </c>
      <c r="J684" s="1">
        <v>0</v>
      </c>
      <c r="K684" s="1">
        <v>4620000</v>
      </c>
      <c r="L684" s="1">
        <v>0</v>
      </c>
      <c r="M684" s="1">
        <v>1000000</v>
      </c>
      <c r="N684" s="1">
        <v>2381474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1387000</v>
      </c>
      <c r="U684" s="1">
        <v>0</v>
      </c>
      <c r="V684" s="1">
        <v>15356835</v>
      </c>
      <c r="W684" s="1">
        <v>1900000</v>
      </c>
      <c r="X684" s="1">
        <v>1933758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1701053</v>
      </c>
      <c r="AF684" s="1">
        <v>0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9196200</v>
      </c>
      <c r="AM684" s="1">
        <v>0</v>
      </c>
      <c r="AN684" s="1">
        <v>0</v>
      </c>
      <c r="AO684" s="1">
        <v>65601388</v>
      </c>
      <c r="AP684" s="1">
        <v>24354332</v>
      </c>
      <c r="AQ684" s="1">
        <v>41247056</v>
      </c>
      <c r="AR684" s="1">
        <v>13120278</v>
      </c>
      <c r="AS684" s="1">
        <v>1968042</v>
      </c>
      <c r="AT684" s="1">
        <f t="shared" si="70"/>
        <v>80689708</v>
      </c>
    </row>
    <row r="685" spans="1:46" x14ac:dyDescent="0.2">
      <c r="A685" s="1" t="str">
        <f>"00784"</f>
        <v>00784</v>
      </c>
      <c r="B685" s="1" t="str">
        <f>"عباس"</f>
        <v>عباس</v>
      </c>
      <c r="C685" s="1" t="str">
        <f>"كاظمي"</f>
        <v>كاظمي</v>
      </c>
      <c r="D685" s="1" t="str">
        <f t="shared" si="75"/>
        <v>قراردادي بهره بردار</v>
      </c>
      <c r="E685" s="1" t="str">
        <f t="shared" si="76"/>
        <v>پروژه بهره برداري نيروگاه بوشهر</v>
      </c>
      <c r="F685" s="1">
        <v>13937021</v>
      </c>
      <c r="G685" s="1">
        <v>2828407</v>
      </c>
      <c r="H685" s="1">
        <v>0</v>
      </c>
      <c r="I685" s="1">
        <v>11103455</v>
      </c>
      <c r="J685" s="1">
        <v>0</v>
      </c>
      <c r="K685" s="1">
        <v>3465000</v>
      </c>
      <c r="L685" s="1">
        <v>0</v>
      </c>
      <c r="M685" s="1">
        <v>1000000</v>
      </c>
      <c r="N685" s="1">
        <v>2596926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1606000</v>
      </c>
      <c r="U685" s="1">
        <v>0</v>
      </c>
      <c r="V685" s="1">
        <v>13262612</v>
      </c>
      <c r="W685" s="1">
        <v>1900000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1854947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7348241</v>
      </c>
      <c r="AM685" s="1">
        <v>0</v>
      </c>
      <c r="AN685" s="1">
        <v>0</v>
      </c>
      <c r="AO685" s="1">
        <v>60902609</v>
      </c>
      <c r="AP685" s="1">
        <v>23376643</v>
      </c>
      <c r="AQ685" s="1">
        <v>37525966</v>
      </c>
      <c r="AR685" s="1">
        <v>12180522</v>
      </c>
      <c r="AS685" s="1">
        <v>1827078</v>
      </c>
      <c r="AT685" s="1">
        <f t="shared" si="70"/>
        <v>74910209</v>
      </c>
    </row>
    <row r="686" spans="1:46" x14ac:dyDescent="0.2">
      <c r="A686" s="1" t="str">
        <f>"00785"</f>
        <v>00785</v>
      </c>
      <c r="B686" s="1" t="str">
        <f>"عليرضا"</f>
        <v>عليرضا</v>
      </c>
      <c r="C686" s="1" t="str">
        <f>"كهن"</f>
        <v>كهن</v>
      </c>
      <c r="D686" s="1" t="str">
        <f t="shared" si="75"/>
        <v>قراردادي بهره بردار</v>
      </c>
      <c r="E686" s="1" t="str">
        <f t="shared" si="76"/>
        <v>پروژه بهره برداري نيروگاه بوشهر</v>
      </c>
      <c r="F686" s="1">
        <v>13062945</v>
      </c>
      <c r="G686" s="1">
        <v>2885499</v>
      </c>
      <c r="H686" s="1">
        <v>0</v>
      </c>
      <c r="I686" s="1">
        <v>9568745</v>
      </c>
      <c r="J686" s="1">
        <v>0</v>
      </c>
      <c r="K686" s="1">
        <v>4620000</v>
      </c>
      <c r="L686" s="1">
        <v>0</v>
      </c>
      <c r="M686" s="1">
        <v>1000000</v>
      </c>
      <c r="N686" s="1">
        <v>2290999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1387000</v>
      </c>
      <c r="U686" s="1">
        <v>0</v>
      </c>
      <c r="V686" s="1">
        <v>15432491</v>
      </c>
      <c r="W686" s="1">
        <v>1900000</v>
      </c>
      <c r="X686" s="1">
        <v>1896234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1636428</v>
      </c>
      <c r="AF686" s="1">
        <v>1516881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9122944</v>
      </c>
      <c r="AM686" s="1">
        <v>0</v>
      </c>
      <c r="AN686" s="1">
        <v>0</v>
      </c>
      <c r="AO686" s="1">
        <v>66320166</v>
      </c>
      <c r="AP686" s="1">
        <v>30597101</v>
      </c>
      <c r="AQ686" s="1">
        <v>35723065</v>
      </c>
      <c r="AR686" s="1">
        <v>12960657</v>
      </c>
      <c r="AS686" s="1">
        <v>1944099</v>
      </c>
      <c r="AT686" s="1">
        <f t="shared" si="70"/>
        <v>81224922</v>
      </c>
    </row>
    <row r="687" spans="1:46" x14ac:dyDescent="0.2">
      <c r="A687" s="1" t="str">
        <f>"00786"</f>
        <v>00786</v>
      </c>
      <c r="B687" s="1" t="str">
        <f>"اميد"</f>
        <v>اميد</v>
      </c>
      <c r="C687" s="1" t="str">
        <f>"گلمرزي الاصل"</f>
        <v>گلمرزي الاصل</v>
      </c>
      <c r="D687" s="1" t="str">
        <f t="shared" si="75"/>
        <v>قراردادي بهره بردار</v>
      </c>
      <c r="E687" s="1" t="str">
        <f t="shared" si="76"/>
        <v>پروژه بهره برداري نيروگاه بوشهر</v>
      </c>
      <c r="F687" s="1">
        <v>12789112</v>
      </c>
      <c r="G687" s="1">
        <v>3134944</v>
      </c>
      <c r="H687" s="1">
        <v>0</v>
      </c>
      <c r="I687" s="1">
        <v>8926499</v>
      </c>
      <c r="J687" s="1">
        <v>0</v>
      </c>
      <c r="K687" s="1">
        <v>0</v>
      </c>
      <c r="L687" s="1">
        <v>0</v>
      </c>
      <c r="M687" s="1">
        <v>1000000</v>
      </c>
      <c r="N687" s="1">
        <v>2195158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1606000</v>
      </c>
      <c r="U687" s="1">
        <v>0</v>
      </c>
      <c r="V687" s="1">
        <v>14903642</v>
      </c>
      <c r="W687" s="1">
        <v>1900000</v>
      </c>
      <c r="X687" s="1">
        <v>1856484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1567970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8980550</v>
      </c>
      <c r="AM687" s="1">
        <v>0</v>
      </c>
      <c r="AN687" s="1">
        <v>0</v>
      </c>
      <c r="AO687" s="1">
        <v>58860359</v>
      </c>
      <c r="AP687" s="1">
        <v>23767616</v>
      </c>
      <c r="AQ687" s="1">
        <v>35092743</v>
      </c>
      <c r="AR687" s="1">
        <v>11772072</v>
      </c>
      <c r="AS687" s="1">
        <v>1765811</v>
      </c>
      <c r="AT687" s="1">
        <f t="shared" si="70"/>
        <v>72398242</v>
      </c>
    </row>
    <row r="688" spans="1:46" x14ac:dyDescent="0.2">
      <c r="A688" s="1" t="str">
        <f>"00787"</f>
        <v>00787</v>
      </c>
      <c r="B688" s="1" t="str">
        <f>"سجاد"</f>
        <v>سجاد</v>
      </c>
      <c r="C688" s="1" t="str">
        <f>"مرادي عبداليوسفي"</f>
        <v>مرادي عبداليوسفي</v>
      </c>
      <c r="D688" s="1" t="str">
        <f t="shared" si="75"/>
        <v>قراردادي بهره بردار</v>
      </c>
      <c r="E688" s="1" t="str">
        <f t="shared" si="76"/>
        <v>پروژه بهره برداري نيروگاه بوشهر</v>
      </c>
      <c r="F688" s="1">
        <v>12769396</v>
      </c>
      <c r="G688" s="1">
        <v>8412669</v>
      </c>
      <c r="H688" s="1">
        <v>0</v>
      </c>
      <c r="I688" s="1">
        <v>9092999</v>
      </c>
      <c r="J688" s="1">
        <v>0</v>
      </c>
      <c r="K688" s="1">
        <v>4620000</v>
      </c>
      <c r="L688" s="1">
        <v>0</v>
      </c>
      <c r="M688" s="1">
        <v>1000000</v>
      </c>
      <c r="N688" s="1">
        <v>2188257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1606000</v>
      </c>
      <c r="U688" s="1">
        <v>0</v>
      </c>
      <c r="V688" s="1">
        <v>15118420</v>
      </c>
      <c r="W688" s="1">
        <v>1900000</v>
      </c>
      <c r="X688" s="1">
        <v>1853622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1563041</v>
      </c>
      <c r="AF688" s="1">
        <v>1516881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8942696</v>
      </c>
      <c r="AM688" s="1">
        <v>0</v>
      </c>
      <c r="AN688" s="1">
        <v>0</v>
      </c>
      <c r="AO688" s="1">
        <v>70583981</v>
      </c>
      <c r="AP688" s="1">
        <v>28932744</v>
      </c>
      <c r="AQ688" s="1">
        <v>41651237</v>
      </c>
      <c r="AR688" s="1">
        <v>13813420</v>
      </c>
      <c r="AS688" s="1">
        <v>2072013</v>
      </c>
      <c r="AT688" s="1">
        <f t="shared" si="70"/>
        <v>86469414</v>
      </c>
    </row>
    <row r="689" spans="1:46" x14ac:dyDescent="0.2">
      <c r="A689" s="1" t="str">
        <f>"00788"</f>
        <v>00788</v>
      </c>
      <c r="B689" s="1" t="str">
        <f>"مرتضي"</f>
        <v>مرتضي</v>
      </c>
      <c r="C689" s="1" t="str">
        <f>"مرادي کوچي"</f>
        <v>مرادي کوچي</v>
      </c>
      <c r="D689" s="1" t="str">
        <f t="shared" si="75"/>
        <v>قراردادي بهره بردار</v>
      </c>
      <c r="E689" s="1" t="str">
        <f t="shared" si="76"/>
        <v>پروژه بهره برداري نيروگاه بوشهر</v>
      </c>
      <c r="F689" s="1">
        <v>13739861</v>
      </c>
      <c r="G689" s="1">
        <v>5619559</v>
      </c>
      <c r="H689" s="1">
        <v>0</v>
      </c>
      <c r="I689" s="1">
        <v>11893644</v>
      </c>
      <c r="J689" s="1">
        <v>0</v>
      </c>
      <c r="K689" s="1">
        <v>4620000</v>
      </c>
      <c r="L689" s="1">
        <v>0</v>
      </c>
      <c r="M689" s="1">
        <v>1000000</v>
      </c>
      <c r="N689" s="1">
        <v>2527920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1387000</v>
      </c>
      <c r="U689" s="1">
        <v>0</v>
      </c>
      <c r="V689" s="1">
        <v>11153667</v>
      </c>
      <c r="W689" s="1">
        <v>1900000</v>
      </c>
      <c r="X689" s="1">
        <v>0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1805657</v>
      </c>
      <c r="AF689" s="1">
        <v>1516881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5724650</v>
      </c>
      <c r="AM689" s="1">
        <v>0</v>
      </c>
      <c r="AN689" s="1">
        <v>0</v>
      </c>
      <c r="AO689" s="1">
        <v>62888839</v>
      </c>
      <c r="AP689" s="1">
        <v>28712530</v>
      </c>
      <c r="AQ689" s="1">
        <v>34176309</v>
      </c>
      <c r="AR689" s="1">
        <v>12274392</v>
      </c>
      <c r="AS689" s="1">
        <v>1841159</v>
      </c>
      <c r="AT689" s="1">
        <f t="shared" si="70"/>
        <v>77004390</v>
      </c>
    </row>
    <row r="690" spans="1:46" x14ac:dyDescent="0.2">
      <c r="A690" s="1" t="str">
        <f>"00789"</f>
        <v>00789</v>
      </c>
      <c r="B690" s="1" t="str">
        <f>"وحيد"</f>
        <v>وحيد</v>
      </c>
      <c r="C690" s="1" t="str">
        <f>"مسعودي مقدم"</f>
        <v>مسعودي مقدم</v>
      </c>
      <c r="D690" s="1" t="str">
        <f t="shared" si="75"/>
        <v>قراردادي بهره بردار</v>
      </c>
      <c r="E690" s="1" t="str">
        <f t="shared" si="76"/>
        <v>پروژه بهره برداري نيروگاه بوشهر</v>
      </c>
      <c r="F690" s="1">
        <v>13996169</v>
      </c>
      <c r="G690" s="1">
        <v>3106919</v>
      </c>
      <c r="H690" s="1">
        <v>0</v>
      </c>
      <c r="I690" s="1">
        <v>10681465</v>
      </c>
      <c r="J690" s="1">
        <v>0</v>
      </c>
      <c r="K690" s="1">
        <v>4620000</v>
      </c>
      <c r="L690" s="1">
        <v>0</v>
      </c>
      <c r="M690" s="1">
        <v>1000000</v>
      </c>
      <c r="N690" s="1">
        <v>2617628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1387000</v>
      </c>
      <c r="U690" s="1">
        <v>0</v>
      </c>
      <c r="V690" s="1">
        <v>16346623</v>
      </c>
      <c r="W690" s="1">
        <v>1900000</v>
      </c>
      <c r="X690" s="1">
        <v>2031702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1869734</v>
      </c>
      <c r="AF690" s="1">
        <v>3033762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9525238</v>
      </c>
      <c r="AM690" s="1">
        <v>0</v>
      </c>
      <c r="AN690" s="1">
        <v>0</v>
      </c>
      <c r="AO690" s="1">
        <v>72116240</v>
      </c>
      <c r="AP690" s="1">
        <v>13505322</v>
      </c>
      <c r="AQ690" s="1">
        <v>58610918</v>
      </c>
      <c r="AR690" s="1">
        <v>13816496</v>
      </c>
      <c r="AS690" s="1">
        <v>2072474</v>
      </c>
      <c r="AT690" s="1">
        <f t="shared" si="70"/>
        <v>88005210</v>
      </c>
    </row>
    <row r="691" spans="1:46" x14ac:dyDescent="0.2">
      <c r="A691" s="1" t="str">
        <f>"00790"</f>
        <v>00790</v>
      </c>
      <c r="B691" s="1" t="str">
        <f>"محمد"</f>
        <v>محمد</v>
      </c>
      <c r="C691" s="1" t="str">
        <f>"مقدس زاده"</f>
        <v>مقدس زاده</v>
      </c>
      <c r="D691" s="1" t="str">
        <f t="shared" si="75"/>
        <v>قراردادي بهره بردار</v>
      </c>
      <c r="E691" s="1" t="str">
        <f t="shared" si="76"/>
        <v>پروژه بهره برداري نيروگاه بوشهر</v>
      </c>
      <c r="F691" s="1">
        <v>12929315</v>
      </c>
      <c r="G691" s="1">
        <v>2479991</v>
      </c>
      <c r="H691" s="1">
        <v>0</v>
      </c>
      <c r="I691" s="1">
        <v>9047433</v>
      </c>
      <c r="J691" s="1">
        <v>0</v>
      </c>
      <c r="K691" s="1">
        <v>4620000</v>
      </c>
      <c r="L691" s="1">
        <v>0</v>
      </c>
      <c r="M691" s="1">
        <v>1000000</v>
      </c>
      <c r="N691" s="1">
        <v>2244228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1387000</v>
      </c>
      <c r="U691" s="1">
        <v>0</v>
      </c>
      <c r="V691" s="1">
        <v>15158533</v>
      </c>
      <c r="W691" s="1">
        <v>1900000</v>
      </c>
      <c r="X691" s="1">
        <v>1876836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1603020</v>
      </c>
      <c r="AF691" s="1">
        <v>1516881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9224635</v>
      </c>
      <c r="AM691" s="1">
        <v>0</v>
      </c>
      <c r="AN691" s="1">
        <v>0</v>
      </c>
      <c r="AO691" s="1">
        <v>64987872</v>
      </c>
      <c r="AP691" s="1">
        <v>7174759</v>
      </c>
      <c r="AQ691" s="1">
        <v>57813113</v>
      </c>
      <c r="AR691" s="1">
        <v>12694198</v>
      </c>
      <c r="AS691" s="1">
        <v>1904130</v>
      </c>
      <c r="AT691" s="1">
        <f t="shared" si="70"/>
        <v>79586200</v>
      </c>
    </row>
    <row r="692" spans="1:46" x14ac:dyDescent="0.2">
      <c r="A692" s="1" t="str">
        <f>"00791"</f>
        <v>00791</v>
      </c>
      <c r="B692" s="1" t="str">
        <f>"علي"</f>
        <v>علي</v>
      </c>
      <c r="C692" s="1" t="str">
        <f>"ملائي محلي"</f>
        <v>ملائي محلي</v>
      </c>
      <c r="D692" s="1" t="str">
        <f t="shared" si="75"/>
        <v>قراردادي بهره بردار</v>
      </c>
      <c r="E692" s="1" t="str">
        <f t="shared" si="76"/>
        <v>پروژه بهره برداري نيروگاه بوشهر</v>
      </c>
      <c r="F692" s="1">
        <v>13820916</v>
      </c>
      <c r="G692" s="1">
        <v>3338443</v>
      </c>
      <c r="H692" s="1">
        <v>0</v>
      </c>
      <c r="I692" s="1">
        <v>12087638</v>
      </c>
      <c r="J692" s="1">
        <v>0</v>
      </c>
      <c r="K692" s="1">
        <v>4620000</v>
      </c>
      <c r="L692" s="1">
        <v>0</v>
      </c>
      <c r="M692" s="1">
        <v>1000000</v>
      </c>
      <c r="N692" s="1">
        <v>2556289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1606000</v>
      </c>
      <c r="U692" s="1">
        <v>0</v>
      </c>
      <c r="V692" s="1">
        <v>9655206</v>
      </c>
      <c r="W692" s="1">
        <v>1900000</v>
      </c>
      <c r="X692" s="1">
        <v>2006262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1825921</v>
      </c>
      <c r="AF692" s="1">
        <v>3033762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12621264</v>
      </c>
      <c r="AM692" s="1">
        <v>0</v>
      </c>
      <c r="AN692" s="1">
        <v>0</v>
      </c>
      <c r="AO692" s="1">
        <v>70071701</v>
      </c>
      <c r="AP692" s="1">
        <v>12054095</v>
      </c>
      <c r="AQ692" s="1">
        <v>58017606</v>
      </c>
      <c r="AR692" s="1">
        <v>13407588</v>
      </c>
      <c r="AS692" s="1">
        <v>2011138</v>
      </c>
      <c r="AT692" s="1">
        <f t="shared" si="70"/>
        <v>85490427</v>
      </c>
    </row>
    <row r="693" spans="1:46" x14ac:dyDescent="0.2">
      <c r="A693" s="1" t="str">
        <f>"00792"</f>
        <v>00792</v>
      </c>
      <c r="B693" s="1" t="str">
        <f>"محمدعلي"</f>
        <v>محمدعلي</v>
      </c>
      <c r="C693" s="1" t="str">
        <f>"نجاتي"</f>
        <v>نجاتي</v>
      </c>
      <c r="D693" s="1" t="str">
        <f t="shared" si="75"/>
        <v>قراردادي بهره بردار</v>
      </c>
      <c r="E693" s="1" t="str">
        <f t="shared" si="76"/>
        <v>پروژه بهره برداري نيروگاه بوشهر</v>
      </c>
      <c r="F693" s="1">
        <v>14909677</v>
      </c>
      <c r="G693" s="1">
        <v>3981893</v>
      </c>
      <c r="H693" s="1">
        <v>0</v>
      </c>
      <c r="I693" s="1">
        <v>13488362</v>
      </c>
      <c r="J693" s="1">
        <v>0</v>
      </c>
      <c r="K693" s="1">
        <v>4620000</v>
      </c>
      <c r="L693" s="1">
        <v>0</v>
      </c>
      <c r="M693" s="1">
        <v>1000000</v>
      </c>
      <c r="N693" s="1">
        <v>2695834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1606000</v>
      </c>
      <c r="U693" s="1">
        <v>0</v>
      </c>
      <c r="V693" s="1">
        <v>9507589</v>
      </c>
      <c r="W693" s="1">
        <v>1900000</v>
      </c>
      <c r="X693" s="1">
        <v>2164308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1925596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8772130</v>
      </c>
      <c r="AM693" s="1">
        <v>0</v>
      </c>
      <c r="AN693" s="1">
        <v>0</v>
      </c>
      <c r="AO693" s="1">
        <v>66571389</v>
      </c>
      <c r="AP693" s="1">
        <v>30700218</v>
      </c>
      <c r="AQ693" s="1">
        <v>35871171</v>
      </c>
      <c r="AR693" s="1">
        <v>13314278</v>
      </c>
      <c r="AS693" s="1">
        <v>1997142</v>
      </c>
      <c r="AT693" s="1">
        <f t="shared" si="70"/>
        <v>81882809</v>
      </c>
    </row>
    <row r="694" spans="1:46" x14ac:dyDescent="0.2">
      <c r="A694" s="1" t="str">
        <f>"00793"</f>
        <v>00793</v>
      </c>
      <c r="B694" s="1" t="str">
        <f>"حسين"</f>
        <v>حسين</v>
      </c>
      <c r="C694" s="1" t="str">
        <f>"نصيري"</f>
        <v>نصيري</v>
      </c>
      <c r="D694" s="1" t="str">
        <f t="shared" si="75"/>
        <v>قراردادي بهره بردار</v>
      </c>
      <c r="E694" s="1" t="str">
        <f t="shared" si="76"/>
        <v>پروژه بهره برداري نيروگاه بوشهر</v>
      </c>
      <c r="F694" s="1">
        <v>12821972</v>
      </c>
      <c r="G694" s="1">
        <v>878106</v>
      </c>
      <c r="H694" s="1">
        <v>0</v>
      </c>
      <c r="I694" s="1">
        <v>9046004</v>
      </c>
      <c r="J694" s="1">
        <v>0</v>
      </c>
      <c r="K694" s="1">
        <v>4620000</v>
      </c>
      <c r="L694" s="1">
        <v>0</v>
      </c>
      <c r="M694" s="1">
        <v>1000000</v>
      </c>
      <c r="N694" s="1">
        <v>2206659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1606000</v>
      </c>
      <c r="U694" s="1">
        <v>0</v>
      </c>
      <c r="V694" s="1">
        <v>10466932</v>
      </c>
      <c r="W694" s="1">
        <v>1900000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1576185</v>
      </c>
      <c r="AF694" s="1">
        <v>0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5362314</v>
      </c>
      <c r="AM694" s="1">
        <v>0</v>
      </c>
      <c r="AN694" s="1">
        <v>0</v>
      </c>
      <c r="AO694" s="1">
        <v>51484172</v>
      </c>
      <c r="AP694" s="1">
        <v>5041320</v>
      </c>
      <c r="AQ694" s="1">
        <v>46442852</v>
      </c>
      <c r="AR694" s="1">
        <v>10296834</v>
      </c>
      <c r="AS694" s="1">
        <v>1544525</v>
      </c>
      <c r="AT694" s="1">
        <f t="shared" si="70"/>
        <v>63325531</v>
      </c>
    </row>
    <row r="695" spans="1:46" x14ac:dyDescent="0.2">
      <c r="A695" s="1" t="str">
        <f>"00794"</f>
        <v>00794</v>
      </c>
      <c r="B695" s="1" t="str">
        <f>"علي"</f>
        <v>علي</v>
      </c>
      <c r="C695" s="1" t="str">
        <f>"نظري سينا"</f>
        <v>نظري سينا</v>
      </c>
      <c r="D695" s="1" t="str">
        <f t="shared" si="75"/>
        <v>قراردادي بهره بردار</v>
      </c>
      <c r="E695" s="1" t="str">
        <f t="shared" si="76"/>
        <v>پروژه بهره برداري نيروگاه بوشهر</v>
      </c>
      <c r="F695" s="1">
        <v>14537264</v>
      </c>
      <c r="G695" s="1">
        <v>9313310</v>
      </c>
      <c r="H695" s="1">
        <v>0</v>
      </c>
      <c r="I695" s="1">
        <v>11872995</v>
      </c>
      <c r="J695" s="1">
        <v>0</v>
      </c>
      <c r="K695" s="1">
        <v>0</v>
      </c>
      <c r="L695" s="1">
        <v>0</v>
      </c>
      <c r="M695" s="1">
        <v>1000000</v>
      </c>
      <c r="N695" s="1">
        <v>2807011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1387000</v>
      </c>
      <c r="U695" s="1">
        <v>0</v>
      </c>
      <c r="V695" s="1">
        <v>9871892</v>
      </c>
      <c r="W695" s="1">
        <v>1900000</v>
      </c>
      <c r="X695" s="1">
        <v>2110248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2005008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11698993</v>
      </c>
      <c r="AM695" s="1">
        <v>0</v>
      </c>
      <c r="AN695" s="1">
        <v>0</v>
      </c>
      <c r="AO695" s="1">
        <v>68503721</v>
      </c>
      <c r="AP695" s="1">
        <v>28730028</v>
      </c>
      <c r="AQ695" s="1">
        <v>39773693</v>
      </c>
      <c r="AR695" s="1">
        <v>13700744</v>
      </c>
      <c r="AS695" s="1">
        <v>2055112</v>
      </c>
      <c r="AT695" s="1">
        <f t="shared" si="70"/>
        <v>84259577</v>
      </c>
    </row>
    <row r="696" spans="1:46" x14ac:dyDescent="0.2">
      <c r="A696" s="1" t="str">
        <f>"00795"</f>
        <v>00795</v>
      </c>
      <c r="B696" s="1" t="str">
        <f>"فرهاد"</f>
        <v>فرهاد</v>
      </c>
      <c r="C696" s="1" t="str">
        <f>"رزمي"</f>
        <v>رزمي</v>
      </c>
      <c r="D696" s="1" t="str">
        <f t="shared" si="75"/>
        <v>قراردادي بهره بردار</v>
      </c>
      <c r="E696" s="1" t="str">
        <f t="shared" si="76"/>
        <v>پروژه بهره برداري نيروگاه بوشهر</v>
      </c>
      <c r="F696" s="1">
        <v>23549667</v>
      </c>
      <c r="G696" s="1">
        <v>6700136</v>
      </c>
      <c r="H696" s="1">
        <v>0</v>
      </c>
      <c r="I696" s="1">
        <v>19172846</v>
      </c>
      <c r="J696" s="1">
        <v>0</v>
      </c>
      <c r="K696" s="1">
        <v>5500000</v>
      </c>
      <c r="L696" s="1">
        <v>0</v>
      </c>
      <c r="M696" s="1">
        <v>1000000</v>
      </c>
      <c r="N696" s="1">
        <v>3570677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1606000</v>
      </c>
      <c r="U696" s="1">
        <v>0</v>
      </c>
      <c r="V696" s="1">
        <v>9769396</v>
      </c>
      <c r="W696" s="1">
        <v>1900000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2550484</v>
      </c>
      <c r="AF696" s="1">
        <v>1516881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4687260</v>
      </c>
      <c r="AM696" s="1">
        <v>0</v>
      </c>
      <c r="AN696" s="1">
        <v>0</v>
      </c>
      <c r="AO696" s="1">
        <v>81523347</v>
      </c>
      <c r="AP696" s="1">
        <v>16986467</v>
      </c>
      <c r="AQ696" s="1">
        <v>64536880</v>
      </c>
      <c r="AR696" s="1">
        <v>16001293</v>
      </c>
      <c r="AS696" s="1">
        <v>2400194</v>
      </c>
      <c r="AT696" s="1">
        <f t="shared" si="70"/>
        <v>99924834</v>
      </c>
    </row>
    <row r="697" spans="1:46" x14ac:dyDescent="0.2">
      <c r="A697" s="1" t="str">
        <f>"00796"</f>
        <v>00796</v>
      </c>
      <c r="B697" s="1" t="str">
        <f>"حميدرضا"</f>
        <v>حميدرضا</v>
      </c>
      <c r="C697" s="1" t="str">
        <f>"محبي"</f>
        <v>محبي</v>
      </c>
      <c r="D697" s="1" t="str">
        <f t="shared" si="75"/>
        <v>قراردادي بهره بردار</v>
      </c>
      <c r="E697" s="1" t="str">
        <f t="shared" si="76"/>
        <v>پروژه بهره برداري نيروگاه بوشهر</v>
      </c>
      <c r="F697" s="1">
        <v>16752028</v>
      </c>
      <c r="G697" s="1">
        <v>5908030</v>
      </c>
      <c r="H697" s="1">
        <v>0</v>
      </c>
      <c r="I697" s="1">
        <v>12320289</v>
      </c>
      <c r="J697" s="1">
        <v>0</v>
      </c>
      <c r="K697" s="1">
        <v>0</v>
      </c>
      <c r="L697" s="1">
        <v>0</v>
      </c>
      <c r="M697" s="1">
        <v>1000000</v>
      </c>
      <c r="N697" s="1">
        <v>2677433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1387000</v>
      </c>
      <c r="U697" s="1">
        <v>0</v>
      </c>
      <c r="V697" s="1">
        <v>7913173</v>
      </c>
      <c r="W697" s="1">
        <v>1900000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1912452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4938639</v>
      </c>
      <c r="AM697" s="1">
        <v>0</v>
      </c>
      <c r="AN697" s="1">
        <v>0</v>
      </c>
      <c r="AO697" s="1">
        <v>56709044</v>
      </c>
      <c r="AP697" s="1">
        <v>14258026</v>
      </c>
      <c r="AQ697" s="1">
        <v>42451018</v>
      </c>
      <c r="AR697" s="1">
        <v>11341809</v>
      </c>
      <c r="AS697" s="1">
        <v>1701271</v>
      </c>
      <c r="AT697" s="1">
        <f t="shared" si="70"/>
        <v>69752124</v>
      </c>
    </row>
    <row r="698" spans="1:46" x14ac:dyDescent="0.2">
      <c r="A698" s="1" t="str">
        <f>"00797"</f>
        <v>00797</v>
      </c>
      <c r="B698" s="1" t="str">
        <f>"مسعود"</f>
        <v>مسعود</v>
      </c>
      <c r="C698" s="1" t="str">
        <f>"احمدپور"</f>
        <v>احمدپور</v>
      </c>
      <c r="D698" s="1" t="str">
        <f t="shared" si="75"/>
        <v>قراردادي بهره بردار</v>
      </c>
      <c r="E698" s="1" t="str">
        <f t="shared" si="76"/>
        <v>پروژه بهره برداري نيروگاه بوشهر</v>
      </c>
      <c r="F698" s="1">
        <v>14217427</v>
      </c>
      <c r="G698" s="1">
        <v>3255304</v>
      </c>
      <c r="H698" s="1">
        <v>0</v>
      </c>
      <c r="I698" s="1">
        <v>12052696</v>
      </c>
      <c r="J698" s="1">
        <v>0</v>
      </c>
      <c r="K698" s="1">
        <v>3465000</v>
      </c>
      <c r="L698" s="1">
        <v>0</v>
      </c>
      <c r="M698" s="1">
        <v>1000000</v>
      </c>
      <c r="N698" s="1">
        <v>2695068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1606000</v>
      </c>
      <c r="U698" s="1">
        <v>0</v>
      </c>
      <c r="V698" s="1">
        <v>12934292</v>
      </c>
      <c r="W698" s="1">
        <v>1900000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1925048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7433589</v>
      </c>
      <c r="AM698" s="1">
        <v>0</v>
      </c>
      <c r="AN698" s="1">
        <v>0</v>
      </c>
      <c r="AO698" s="1">
        <v>62484424</v>
      </c>
      <c r="AP698" s="1">
        <v>7734361</v>
      </c>
      <c r="AQ698" s="1">
        <v>54750063</v>
      </c>
      <c r="AR698" s="1">
        <v>12496885</v>
      </c>
      <c r="AS698" s="1">
        <v>1874533</v>
      </c>
      <c r="AT698" s="1">
        <f t="shared" si="70"/>
        <v>76855842</v>
      </c>
    </row>
    <row r="699" spans="1:46" x14ac:dyDescent="0.2">
      <c r="A699" s="1" t="str">
        <f>"00798"</f>
        <v>00798</v>
      </c>
      <c r="B699" s="1" t="str">
        <f>"محمدصادق"</f>
        <v>محمدصادق</v>
      </c>
      <c r="C699" s="1" t="str">
        <f>"الماسي"</f>
        <v>الماسي</v>
      </c>
      <c r="D699" s="1" t="str">
        <f t="shared" si="75"/>
        <v>قراردادي بهره بردار</v>
      </c>
      <c r="E699" s="1" t="str">
        <f t="shared" si="76"/>
        <v>پروژه بهره برداري نيروگاه بوشهر</v>
      </c>
      <c r="F699" s="1">
        <v>18589997</v>
      </c>
      <c r="G699" s="1">
        <v>12822392</v>
      </c>
      <c r="H699" s="1">
        <v>0</v>
      </c>
      <c r="I699" s="1">
        <v>15415972</v>
      </c>
      <c r="J699" s="1">
        <v>0</v>
      </c>
      <c r="K699" s="1">
        <v>5500000</v>
      </c>
      <c r="L699" s="1">
        <v>0</v>
      </c>
      <c r="M699" s="1">
        <v>1000000</v>
      </c>
      <c r="N699" s="1">
        <v>3148207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1387000</v>
      </c>
      <c r="U699" s="1">
        <v>0</v>
      </c>
      <c r="V699" s="1">
        <v>21588235</v>
      </c>
      <c r="W699" s="1">
        <v>1900000</v>
      </c>
      <c r="X699" s="1">
        <v>2698548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2248719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11693516</v>
      </c>
      <c r="AM699" s="1">
        <v>0</v>
      </c>
      <c r="AN699" s="1">
        <v>0</v>
      </c>
      <c r="AO699" s="1">
        <v>97992586</v>
      </c>
      <c r="AP699" s="1">
        <v>13792397</v>
      </c>
      <c r="AQ699" s="1">
        <v>84200189</v>
      </c>
      <c r="AR699" s="1">
        <v>19598517</v>
      </c>
      <c r="AS699" s="1">
        <v>2939778</v>
      </c>
      <c r="AT699" s="1">
        <f t="shared" si="70"/>
        <v>120530881</v>
      </c>
    </row>
    <row r="700" spans="1:46" x14ac:dyDescent="0.2">
      <c r="A700" s="1" t="str">
        <f>"00799"</f>
        <v>00799</v>
      </c>
      <c r="B700" s="1" t="str">
        <f>"حسين"</f>
        <v>حسين</v>
      </c>
      <c r="C700" s="1" t="str">
        <f>"پرواز"</f>
        <v>پرواز</v>
      </c>
      <c r="D700" s="1" t="str">
        <f t="shared" si="75"/>
        <v>قراردادي بهره بردار</v>
      </c>
      <c r="E700" s="1" t="str">
        <f t="shared" si="76"/>
        <v>پروژه بهره برداري نيروگاه بوشهر</v>
      </c>
      <c r="F700" s="1">
        <v>21080785</v>
      </c>
      <c r="G700" s="1">
        <v>4757673</v>
      </c>
      <c r="H700" s="1">
        <v>0</v>
      </c>
      <c r="I700" s="1">
        <v>18528279</v>
      </c>
      <c r="J700" s="1">
        <v>0</v>
      </c>
      <c r="K700" s="1">
        <v>5500000</v>
      </c>
      <c r="L700" s="1">
        <v>0</v>
      </c>
      <c r="M700" s="1">
        <v>1000000</v>
      </c>
      <c r="N700" s="1">
        <v>3640450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1606000</v>
      </c>
      <c r="U700" s="1">
        <v>0</v>
      </c>
      <c r="V700" s="1">
        <v>25031835</v>
      </c>
      <c r="W700" s="1">
        <v>1900000</v>
      </c>
      <c r="X700" s="1">
        <v>3060114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2600321</v>
      </c>
      <c r="AF700" s="1">
        <v>3033762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13397110</v>
      </c>
      <c r="AM700" s="1">
        <v>0</v>
      </c>
      <c r="AN700" s="1">
        <v>0</v>
      </c>
      <c r="AO700" s="1">
        <v>105136329</v>
      </c>
      <c r="AP700" s="1">
        <v>33245980</v>
      </c>
      <c r="AQ700" s="1">
        <v>71890349</v>
      </c>
      <c r="AR700" s="1">
        <v>20420513</v>
      </c>
      <c r="AS700" s="1">
        <v>3063077</v>
      </c>
      <c r="AT700" s="1">
        <f t="shared" si="70"/>
        <v>128619919</v>
      </c>
    </row>
    <row r="701" spans="1:46" x14ac:dyDescent="0.2">
      <c r="A701" s="1" t="str">
        <f>"00800"</f>
        <v>00800</v>
      </c>
      <c r="B701" s="1" t="str">
        <f>"بهمن"</f>
        <v>بهمن</v>
      </c>
      <c r="C701" s="1" t="str">
        <f>"خدادوستان شهرکي"</f>
        <v>خدادوستان شهرکي</v>
      </c>
      <c r="D701" s="1" t="str">
        <f t="shared" si="75"/>
        <v>قراردادي بهره بردار</v>
      </c>
      <c r="E701" s="1" t="str">
        <f t="shared" si="76"/>
        <v>پروژه بهره برداري نيروگاه بوشهر</v>
      </c>
      <c r="F701" s="1">
        <v>18377503</v>
      </c>
      <c r="G701" s="1">
        <v>7296947</v>
      </c>
      <c r="H701" s="1">
        <v>0</v>
      </c>
      <c r="I701" s="1">
        <v>15449522</v>
      </c>
      <c r="J701" s="1">
        <v>0</v>
      </c>
      <c r="K701" s="1">
        <v>5500000</v>
      </c>
      <c r="L701" s="1">
        <v>0</v>
      </c>
      <c r="M701" s="1">
        <v>1000000</v>
      </c>
      <c r="N701" s="1">
        <v>3073834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1387000</v>
      </c>
      <c r="U701" s="1">
        <v>0</v>
      </c>
      <c r="V701" s="1">
        <v>12819193</v>
      </c>
      <c r="W701" s="1">
        <v>1900000</v>
      </c>
      <c r="X701" s="1">
        <v>2667702</v>
      </c>
      <c r="Y701" s="1">
        <v>0</v>
      </c>
      <c r="Z701" s="1">
        <v>0</v>
      </c>
      <c r="AA701" s="1">
        <v>0</v>
      </c>
      <c r="AB701" s="1">
        <v>0</v>
      </c>
      <c r="AC701" s="1">
        <v>3877480</v>
      </c>
      <c r="AD701" s="1">
        <v>0</v>
      </c>
      <c r="AE701" s="1">
        <v>2195596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18069845</v>
      </c>
      <c r="AM701" s="1">
        <v>0</v>
      </c>
      <c r="AN701" s="1">
        <v>0</v>
      </c>
      <c r="AO701" s="1">
        <v>93614622</v>
      </c>
      <c r="AP701" s="1">
        <v>32255127</v>
      </c>
      <c r="AQ701" s="1">
        <v>61359495</v>
      </c>
      <c r="AR701" s="1">
        <v>18722924</v>
      </c>
      <c r="AS701" s="1">
        <v>2808439</v>
      </c>
      <c r="AT701" s="1">
        <f t="shared" si="70"/>
        <v>115145985</v>
      </c>
    </row>
    <row r="702" spans="1:46" x14ac:dyDescent="0.2">
      <c r="A702" s="1" t="str">
        <f>"00801"</f>
        <v>00801</v>
      </c>
      <c r="B702" s="1" t="str">
        <f>"عليرضا"</f>
        <v>عليرضا</v>
      </c>
      <c r="C702" s="1" t="str">
        <f>"رزمي"</f>
        <v>رزمي</v>
      </c>
      <c r="D702" s="1" t="str">
        <f t="shared" si="75"/>
        <v>قراردادي بهره بردار</v>
      </c>
      <c r="E702" s="1" t="str">
        <f t="shared" si="76"/>
        <v>پروژه بهره برداري نيروگاه بوشهر</v>
      </c>
      <c r="F702" s="1">
        <v>12710248</v>
      </c>
      <c r="G702" s="1">
        <v>5279664</v>
      </c>
      <c r="H702" s="1">
        <v>0</v>
      </c>
      <c r="I702" s="1">
        <v>9291263</v>
      </c>
      <c r="J702" s="1">
        <v>0</v>
      </c>
      <c r="K702" s="1">
        <v>4620000</v>
      </c>
      <c r="L702" s="1">
        <v>0</v>
      </c>
      <c r="M702" s="1">
        <v>1000000</v>
      </c>
      <c r="N702" s="1">
        <v>2167555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1606000</v>
      </c>
      <c r="U702" s="1">
        <v>0</v>
      </c>
      <c r="V702" s="1">
        <v>8157008</v>
      </c>
      <c r="W702" s="1">
        <v>1900000</v>
      </c>
      <c r="X702" s="1">
        <v>1845036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1548254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10137660</v>
      </c>
      <c r="AM702" s="1">
        <v>0</v>
      </c>
      <c r="AN702" s="1">
        <v>0</v>
      </c>
      <c r="AO702" s="1">
        <v>60262688</v>
      </c>
      <c r="AP702" s="1">
        <v>6472218</v>
      </c>
      <c r="AQ702" s="1">
        <v>53790470</v>
      </c>
      <c r="AR702" s="1">
        <v>12052538</v>
      </c>
      <c r="AS702" s="1">
        <v>1807881</v>
      </c>
      <c r="AT702" s="1">
        <f t="shared" si="70"/>
        <v>74123107</v>
      </c>
    </row>
    <row r="703" spans="1:46" x14ac:dyDescent="0.2">
      <c r="A703" s="1" t="str">
        <f>"00802"</f>
        <v>00802</v>
      </c>
      <c r="B703" s="1" t="str">
        <f>"محمدباقر"</f>
        <v>محمدباقر</v>
      </c>
      <c r="C703" s="1" t="str">
        <f>"رنجبر"</f>
        <v>رنجبر</v>
      </c>
      <c r="D703" s="1" t="str">
        <f t="shared" si="75"/>
        <v>قراردادي بهره بردار</v>
      </c>
      <c r="E703" s="1" t="str">
        <f t="shared" si="76"/>
        <v>پروژه بهره برداري نيروگاه بوشهر</v>
      </c>
      <c r="F703" s="1">
        <v>14447447</v>
      </c>
      <c r="G703" s="1">
        <v>1628096</v>
      </c>
      <c r="H703" s="1">
        <v>0</v>
      </c>
      <c r="I703" s="1">
        <v>11366791</v>
      </c>
      <c r="J703" s="1">
        <v>0</v>
      </c>
      <c r="K703" s="1">
        <v>4620000</v>
      </c>
      <c r="L703" s="1">
        <v>0</v>
      </c>
      <c r="M703" s="1">
        <v>1000000</v>
      </c>
      <c r="N703" s="1">
        <v>2775575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1387000</v>
      </c>
      <c r="U703" s="1">
        <v>0</v>
      </c>
      <c r="V703" s="1">
        <v>8552311</v>
      </c>
      <c r="W703" s="1">
        <v>1900000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1982553</v>
      </c>
      <c r="AF703" s="1">
        <v>3033762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7020210</v>
      </c>
      <c r="AM703" s="1">
        <v>0</v>
      </c>
      <c r="AN703" s="1">
        <v>0</v>
      </c>
      <c r="AO703" s="1">
        <v>59713745</v>
      </c>
      <c r="AP703" s="1">
        <v>17607519</v>
      </c>
      <c r="AQ703" s="1">
        <v>42106226</v>
      </c>
      <c r="AR703" s="1">
        <v>11335997</v>
      </c>
      <c r="AS703" s="1">
        <v>1700399</v>
      </c>
      <c r="AT703" s="1">
        <f t="shared" si="70"/>
        <v>72750141</v>
      </c>
    </row>
    <row r="704" spans="1:46" x14ac:dyDescent="0.2">
      <c r="A704" s="1" t="str">
        <f>"00803"</f>
        <v>00803</v>
      </c>
      <c r="B704" s="1" t="str">
        <f>"قادر"</f>
        <v>قادر</v>
      </c>
      <c r="C704" s="1" t="str">
        <f>"شجاعي"</f>
        <v>شجاعي</v>
      </c>
      <c r="D704" s="1" t="str">
        <f t="shared" si="75"/>
        <v>قراردادي بهره بردار</v>
      </c>
      <c r="E704" s="1" t="str">
        <f t="shared" si="76"/>
        <v>پروژه بهره برداري نيروگاه بوشهر</v>
      </c>
      <c r="F704" s="1">
        <v>13809963</v>
      </c>
      <c r="G704" s="1">
        <v>9086648</v>
      </c>
      <c r="H704" s="1">
        <v>0</v>
      </c>
      <c r="I704" s="1">
        <v>11110926</v>
      </c>
      <c r="J704" s="1">
        <v>0</v>
      </c>
      <c r="K704" s="1">
        <v>0</v>
      </c>
      <c r="L704" s="1">
        <v>0</v>
      </c>
      <c r="M704" s="1">
        <v>1000000</v>
      </c>
      <c r="N704" s="1">
        <v>2552455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1606000</v>
      </c>
      <c r="U704" s="1">
        <v>0</v>
      </c>
      <c r="V704" s="1">
        <v>9179181</v>
      </c>
      <c r="W704" s="1">
        <v>1900000</v>
      </c>
      <c r="X704" s="1">
        <v>2004672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1823182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11051519</v>
      </c>
      <c r="AM704" s="1">
        <v>0</v>
      </c>
      <c r="AN704" s="1">
        <v>0</v>
      </c>
      <c r="AO704" s="1">
        <v>65124546</v>
      </c>
      <c r="AP704" s="1">
        <v>9377079</v>
      </c>
      <c r="AQ704" s="1">
        <v>55747467</v>
      </c>
      <c r="AR704" s="1">
        <v>13024909</v>
      </c>
      <c r="AS704" s="1">
        <v>1953736</v>
      </c>
      <c r="AT704" s="1">
        <f t="shared" si="70"/>
        <v>80103191</v>
      </c>
    </row>
    <row r="705" spans="1:46" x14ac:dyDescent="0.2">
      <c r="A705" s="1" t="str">
        <f>"00804"</f>
        <v>00804</v>
      </c>
      <c r="B705" s="1" t="str">
        <f>"علي"</f>
        <v>علي</v>
      </c>
      <c r="C705" s="1" t="str">
        <f>"گلابي"</f>
        <v>گلابي</v>
      </c>
      <c r="D705" s="1" t="str">
        <f t="shared" si="75"/>
        <v>قراردادي بهره بردار</v>
      </c>
      <c r="E705" s="1" t="str">
        <f t="shared" si="76"/>
        <v>پروژه بهره برداري نيروگاه بوشهر</v>
      </c>
      <c r="F705" s="1">
        <v>13893208</v>
      </c>
      <c r="G705" s="1">
        <v>970324</v>
      </c>
      <c r="H705" s="1">
        <v>0</v>
      </c>
      <c r="I705" s="1">
        <v>11420856</v>
      </c>
      <c r="J705" s="1">
        <v>0</v>
      </c>
      <c r="K705" s="1">
        <v>4620000</v>
      </c>
      <c r="L705" s="1">
        <v>0</v>
      </c>
      <c r="M705" s="1">
        <v>1000000</v>
      </c>
      <c r="N705" s="1">
        <v>2581591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1387000</v>
      </c>
      <c r="U705" s="1">
        <v>0</v>
      </c>
      <c r="V705" s="1">
        <v>8495107</v>
      </c>
      <c r="W705" s="1">
        <v>1900000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1843994</v>
      </c>
      <c r="AF705" s="1">
        <v>1516881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7601482</v>
      </c>
      <c r="AM705" s="1">
        <v>0</v>
      </c>
      <c r="AN705" s="1">
        <v>0</v>
      </c>
      <c r="AO705" s="1">
        <v>57230443</v>
      </c>
      <c r="AP705" s="1">
        <v>17298303</v>
      </c>
      <c r="AQ705" s="1">
        <v>39932140</v>
      </c>
      <c r="AR705" s="1">
        <v>11142712</v>
      </c>
      <c r="AS705" s="1">
        <v>1671407</v>
      </c>
      <c r="AT705" s="1">
        <f t="shared" si="70"/>
        <v>70044562</v>
      </c>
    </row>
    <row r="706" spans="1:46" x14ac:dyDescent="0.2">
      <c r="A706" s="1" t="str">
        <f>"00805"</f>
        <v>00805</v>
      </c>
      <c r="B706" s="1" t="str">
        <f>"حميد"</f>
        <v>حميد</v>
      </c>
      <c r="C706" s="1" t="str">
        <f>"محمودي پيام"</f>
        <v>محمودي پيام</v>
      </c>
      <c r="D706" s="1" t="str">
        <f t="shared" si="75"/>
        <v>قراردادي بهره بردار</v>
      </c>
      <c r="E706" s="1" t="str">
        <f t="shared" si="76"/>
        <v>پروژه بهره برداري نيروگاه بوشهر</v>
      </c>
      <c r="F706" s="1">
        <v>13345541</v>
      </c>
      <c r="G706" s="1">
        <v>3186618</v>
      </c>
      <c r="H706" s="1">
        <v>0</v>
      </c>
      <c r="I706" s="1">
        <v>11278660</v>
      </c>
      <c r="J706" s="1">
        <v>0</v>
      </c>
      <c r="K706" s="1">
        <v>4620000</v>
      </c>
      <c r="L706" s="1">
        <v>0</v>
      </c>
      <c r="M706" s="1">
        <v>1000000</v>
      </c>
      <c r="N706" s="1">
        <v>2389908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1606000</v>
      </c>
      <c r="U706" s="1">
        <v>0</v>
      </c>
      <c r="V706" s="1">
        <v>9299532</v>
      </c>
      <c r="W706" s="1">
        <v>1900000</v>
      </c>
      <c r="X706" s="1">
        <v>1937256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1707077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12155878</v>
      </c>
      <c r="AM706" s="1">
        <v>0</v>
      </c>
      <c r="AN706" s="1">
        <v>0</v>
      </c>
      <c r="AO706" s="1">
        <v>64426470</v>
      </c>
      <c r="AP706" s="1">
        <v>18538920</v>
      </c>
      <c r="AQ706" s="1">
        <v>45887550</v>
      </c>
      <c r="AR706" s="1">
        <v>12885294</v>
      </c>
      <c r="AS706" s="1">
        <v>1932794</v>
      </c>
      <c r="AT706" s="1">
        <f t="shared" si="70"/>
        <v>79244558</v>
      </c>
    </row>
    <row r="707" spans="1:46" x14ac:dyDescent="0.2">
      <c r="A707" s="1" t="str">
        <f>"00806"</f>
        <v>00806</v>
      </c>
      <c r="B707" s="1" t="str">
        <f>"مصطفي"</f>
        <v>مصطفي</v>
      </c>
      <c r="C707" s="1" t="str">
        <f>"مرادي"</f>
        <v>مرادي</v>
      </c>
      <c r="D707" s="1" t="str">
        <f t="shared" si="75"/>
        <v>قراردادي بهره بردار</v>
      </c>
      <c r="E707" s="1" t="str">
        <f t="shared" si="76"/>
        <v>پروژه بهره برداري نيروگاه بوشهر</v>
      </c>
      <c r="F707" s="1">
        <v>14177995</v>
      </c>
      <c r="G707" s="1">
        <v>8757355</v>
      </c>
      <c r="H707" s="1">
        <v>0</v>
      </c>
      <c r="I707" s="1">
        <v>12003675</v>
      </c>
      <c r="J707" s="1">
        <v>0</v>
      </c>
      <c r="K707" s="1">
        <v>4620000</v>
      </c>
      <c r="L707" s="1">
        <v>0</v>
      </c>
      <c r="M707" s="1">
        <v>1000000</v>
      </c>
      <c r="N707" s="1">
        <v>2681266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1606000</v>
      </c>
      <c r="U707" s="1">
        <v>0</v>
      </c>
      <c r="V707" s="1">
        <v>9583744</v>
      </c>
      <c r="W707" s="1">
        <v>1900000</v>
      </c>
      <c r="X707" s="1">
        <v>2058096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1915190</v>
      </c>
      <c r="AF707" s="1">
        <v>1516881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11348223</v>
      </c>
      <c r="AM707" s="1">
        <v>0</v>
      </c>
      <c r="AN707" s="1">
        <v>0</v>
      </c>
      <c r="AO707" s="1">
        <v>73168425</v>
      </c>
      <c r="AP707" s="1">
        <v>24814058</v>
      </c>
      <c r="AQ707" s="1">
        <v>48354367</v>
      </c>
      <c r="AR707" s="1">
        <v>14330309</v>
      </c>
      <c r="AS707" s="1">
        <v>2149546</v>
      </c>
      <c r="AT707" s="1">
        <f t="shared" ref="AT707:AT770" si="77">AO707+AR707+AS707</f>
        <v>89648280</v>
      </c>
    </row>
    <row r="708" spans="1:46" x14ac:dyDescent="0.2">
      <c r="A708" s="1" t="str">
        <f>"00807"</f>
        <v>00807</v>
      </c>
      <c r="B708" s="1" t="str">
        <f>"محسن"</f>
        <v>محسن</v>
      </c>
      <c r="C708" s="1" t="str">
        <f>"ملکي"</f>
        <v>ملکي</v>
      </c>
      <c r="D708" s="1" t="str">
        <f t="shared" si="75"/>
        <v>قراردادي بهره بردار</v>
      </c>
      <c r="E708" s="1" t="str">
        <f t="shared" si="76"/>
        <v>پروژه بهره برداري نيروگاه بوشهر</v>
      </c>
      <c r="F708" s="1">
        <v>13713573</v>
      </c>
      <c r="G708" s="1">
        <v>1978817</v>
      </c>
      <c r="H708" s="1">
        <v>0</v>
      </c>
      <c r="I708" s="1">
        <v>11098144</v>
      </c>
      <c r="J708" s="1">
        <v>0</v>
      </c>
      <c r="K708" s="1">
        <v>4620000</v>
      </c>
      <c r="L708" s="1">
        <v>0</v>
      </c>
      <c r="M708" s="1">
        <v>1000000</v>
      </c>
      <c r="N708" s="1">
        <v>2518719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1606000</v>
      </c>
      <c r="U708" s="1">
        <v>0</v>
      </c>
      <c r="V708" s="1">
        <v>16658033</v>
      </c>
      <c r="W708" s="1">
        <v>1900000</v>
      </c>
      <c r="X708" s="1">
        <v>1990680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1799085</v>
      </c>
      <c r="AF708" s="1">
        <v>1516881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10297776</v>
      </c>
      <c r="AM708" s="1">
        <v>0</v>
      </c>
      <c r="AN708" s="1">
        <v>0</v>
      </c>
      <c r="AO708" s="1">
        <v>70697708</v>
      </c>
      <c r="AP708" s="1">
        <v>27057571</v>
      </c>
      <c r="AQ708" s="1">
        <v>43640137</v>
      </c>
      <c r="AR708" s="1">
        <v>13836165</v>
      </c>
      <c r="AS708" s="1">
        <v>2075425</v>
      </c>
      <c r="AT708" s="1">
        <f t="shared" si="77"/>
        <v>86609298</v>
      </c>
    </row>
    <row r="709" spans="1:46" x14ac:dyDescent="0.2">
      <c r="A709" s="1" t="str">
        <f>"00808"</f>
        <v>00808</v>
      </c>
      <c r="B709" s="1" t="str">
        <f>"رضا"</f>
        <v>رضا</v>
      </c>
      <c r="C709" s="1" t="str">
        <f>"نگهبان"</f>
        <v>نگهبان</v>
      </c>
      <c r="D709" s="1" t="str">
        <f t="shared" si="75"/>
        <v>قراردادي بهره بردار</v>
      </c>
      <c r="E709" s="1" t="str">
        <f t="shared" si="76"/>
        <v>پروژه بهره برداري نيروگاه بوشهر</v>
      </c>
      <c r="F709" s="1">
        <v>13450693</v>
      </c>
      <c r="G709" s="1">
        <v>2675448</v>
      </c>
      <c r="H709" s="1">
        <v>0</v>
      </c>
      <c r="I709" s="1">
        <v>10312792</v>
      </c>
      <c r="J709" s="1">
        <v>0</v>
      </c>
      <c r="K709" s="1">
        <v>3465000</v>
      </c>
      <c r="L709" s="1">
        <v>0</v>
      </c>
      <c r="M709" s="1">
        <v>1000000</v>
      </c>
      <c r="N709" s="1">
        <v>2426711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1387000</v>
      </c>
      <c r="U709" s="1">
        <v>0</v>
      </c>
      <c r="V709" s="1">
        <v>16087428</v>
      </c>
      <c r="W709" s="1">
        <v>1900000</v>
      </c>
      <c r="X709" s="1">
        <v>1952520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1733365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10153192</v>
      </c>
      <c r="AM709" s="1">
        <v>0</v>
      </c>
      <c r="AN709" s="1">
        <v>0</v>
      </c>
      <c r="AO709" s="1">
        <v>66544149</v>
      </c>
      <c r="AP709" s="1">
        <v>7523996</v>
      </c>
      <c r="AQ709" s="1">
        <v>59020153</v>
      </c>
      <c r="AR709" s="1">
        <v>13308830</v>
      </c>
      <c r="AS709" s="1">
        <v>1996324</v>
      </c>
      <c r="AT709" s="1">
        <f t="shared" si="77"/>
        <v>81849303</v>
      </c>
    </row>
    <row r="710" spans="1:46" x14ac:dyDescent="0.2">
      <c r="A710" s="1" t="str">
        <f>"00809"</f>
        <v>00809</v>
      </c>
      <c r="B710" s="1" t="str">
        <f>"حسين"</f>
        <v>حسين</v>
      </c>
      <c r="C710" s="1" t="str">
        <f>"سماواتي"</f>
        <v>سماواتي</v>
      </c>
      <c r="D710" s="1" t="str">
        <f t="shared" si="75"/>
        <v>قراردادي بهره بردار</v>
      </c>
      <c r="E710" s="1" t="str">
        <f t="shared" ref="E710:E725" si="78">"پروژه تعميرات نيروگاه بوشهر"</f>
        <v>پروژه تعميرات نيروگاه بوشهر</v>
      </c>
      <c r="F710" s="1">
        <v>25085324</v>
      </c>
      <c r="G710" s="1">
        <v>8783693</v>
      </c>
      <c r="H710" s="1">
        <v>0</v>
      </c>
      <c r="I710" s="1">
        <v>21389258</v>
      </c>
      <c r="J710" s="1">
        <v>0</v>
      </c>
      <c r="K710" s="1">
        <v>5500000</v>
      </c>
      <c r="L710" s="1">
        <v>0</v>
      </c>
      <c r="M710" s="1">
        <v>1000000</v>
      </c>
      <c r="N710" s="1">
        <v>3676486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1387000</v>
      </c>
      <c r="U710" s="1">
        <v>0</v>
      </c>
      <c r="V710" s="1">
        <v>5658067</v>
      </c>
      <c r="W710" s="1">
        <v>1900000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2626062</v>
      </c>
      <c r="AF710" s="1">
        <v>4550643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3803545</v>
      </c>
      <c r="AM710" s="1">
        <v>0</v>
      </c>
      <c r="AN710" s="1">
        <v>0</v>
      </c>
      <c r="AO710" s="1">
        <v>85360078</v>
      </c>
      <c r="AP710" s="1">
        <v>35880907</v>
      </c>
      <c r="AQ710" s="1">
        <v>49479171</v>
      </c>
      <c r="AR710" s="1">
        <v>16161887</v>
      </c>
      <c r="AS710" s="1">
        <v>2424283</v>
      </c>
      <c r="AT710" s="1">
        <f t="shared" si="77"/>
        <v>103946248</v>
      </c>
    </row>
    <row r="711" spans="1:46" x14ac:dyDescent="0.2">
      <c r="A711" s="1" t="str">
        <f>"00811"</f>
        <v>00811</v>
      </c>
      <c r="B711" s="1" t="str">
        <f>"حسين"</f>
        <v>حسين</v>
      </c>
      <c r="C711" s="1" t="str">
        <f>"اسماعيلي مطلق"</f>
        <v>اسماعيلي مطلق</v>
      </c>
      <c r="D711" s="1" t="str">
        <f t="shared" ref="D711:D725" si="79">"قراردادي کارگري"</f>
        <v>قراردادي کارگري</v>
      </c>
      <c r="E711" s="1" t="str">
        <f t="shared" si="78"/>
        <v>پروژه تعميرات نيروگاه بوشهر</v>
      </c>
      <c r="F711" s="1">
        <v>8677542</v>
      </c>
      <c r="G711" s="1">
        <v>0</v>
      </c>
      <c r="H711" s="1">
        <v>0</v>
      </c>
      <c r="I711" s="1">
        <v>5293301</v>
      </c>
      <c r="J711" s="1">
        <v>0</v>
      </c>
      <c r="K711" s="1">
        <v>0</v>
      </c>
      <c r="L711" s="1">
        <v>7672721</v>
      </c>
      <c r="M711" s="1">
        <v>1000000</v>
      </c>
      <c r="N711" s="1">
        <v>4628023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8560964</v>
      </c>
      <c r="W711" s="1">
        <v>1900000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1516881</v>
      </c>
      <c r="AG711" s="1">
        <v>0</v>
      </c>
      <c r="AH711" s="1">
        <v>0</v>
      </c>
      <c r="AI711" s="1">
        <v>0</v>
      </c>
      <c r="AJ711" s="1">
        <v>4719249</v>
      </c>
      <c r="AK711" s="1">
        <v>0</v>
      </c>
      <c r="AL711" s="1">
        <v>0</v>
      </c>
      <c r="AM711" s="1">
        <v>0</v>
      </c>
      <c r="AN711" s="1">
        <v>2627159</v>
      </c>
      <c r="AO711" s="1">
        <v>46595840</v>
      </c>
      <c r="AP711" s="1">
        <v>5149679</v>
      </c>
      <c r="AQ711" s="1">
        <v>41446161</v>
      </c>
      <c r="AR711" s="1">
        <v>9015792</v>
      </c>
      <c r="AS711" s="1">
        <v>1352369</v>
      </c>
      <c r="AT711" s="1">
        <f t="shared" si="77"/>
        <v>56964001</v>
      </c>
    </row>
    <row r="712" spans="1:46" x14ac:dyDescent="0.2">
      <c r="A712" s="1" t="str">
        <f>"00812"</f>
        <v>00812</v>
      </c>
      <c r="B712" s="1" t="str">
        <f>"نجف"</f>
        <v>نجف</v>
      </c>
      <c r="C712" s="1" t="str">
        <f>"انصاري"</f>
        <v>انصاري</v>
      </c>
      <c r="D712" s="1" t="str">
        <f t="shared" si="79"/>
        <v>قراردادي کارگري</v>
      </c>
      <c r="E712" s="1" t="str">
        <f t="shared" si="78"/>
        <v>پروژه تعميرات نيروگاه بوشهر</v>
      </c>
      <c r="F712" s="1">
        <v>6996914</v>
      </c>
      <c r="G712" s="1">
        <v>12951802</v>
      </c>
      <c r="H712" s="1">
        <v>0</v>
      </c>
      <c r="I712" s="1">
        <v>4408055</v>
      </c>
      <c r="J712" s="1">
        <v>0</v>
      </c>
      <c r="K712" s="1">
        <v>0</v>
      </c>
      <c r="L712" s="1">
        <v>7672721</v>
      </c>
      <c r="M712" s="1">
        <v>1000000</v>
      </c>
      <c r="N712" s="1">
        <v>3475288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5684797</v>
      </c>
      <c r="W712" s="1">
        <v>1900000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3033762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47123339</v>
      </c>
      <c r="AP712" s="1">
        <v>4305977</v>
      </c>
      <c r="AQ712" s="1">
        <v>42817362</v>
      </c>
      <c r="AR712" s="1">
        <v>8817915</v>
      </c>
      <c r="AS712" s="1">
        <v>1322687</v>
      </c>
      <c r="AT712" s="1">
        <f t="shared" si="77"/>
        <v>57263941</v>
      </c>
    </row>
    <row r="713" spans="1:46" x14ac:dyDescent="0.2">
      <c r="A713" s="1" t="str">
        <f>"00813"</f>
        <v>00813</v>
      </c>
      <c r="B713" s="1" t="str">
        <f>"غلامرضا"</f>
        <v>غلامرضا</v>
      </c>
      <c r="C713" s="1" t="str">
        <f>"برخ"</f>
        <v>برخ</v>
      </c>
      <c r="D713" s="1" t="str">
        <f t="shared" si="79"/>
        <v>قراردادي کارگري</v>
      </c>
      <c r="E713" s="1" t="str">
        <f t="shared" si="78"/>
        <v>پروژه تعميرات نيروگاه بوشهر</v>
      </c>
      <c r="F713" s="1">
        <v>6187783</v>
      </c>
      <c r="G713" s="1">
        <v>1408562</v>
      </c>
      <c r="H713" s="1">
        <v>0</v>
      </c>
      <c r="I713" s="1">
        <v>3898304</v>
      </c>
      <c r="J713" s="1">
        <v>0</v>
      </c>
      <c r="K713" s="1">
        <v>0</v>
      </c>
      <c r="L713" s="1">
        <v>7672721</v>
      </c>
      <c r="M713" s="1">
        <v>1000000</v>
      </c>
      <c r="N713" s="1">
        <v>3300153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7457243</v>
      </c>
      <c r="W713" s="1">
        <v>1900000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3033762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35858528</v>
      </c>
      <c r="AP713" s="1">
        <v>3530056</v>
      </c>
      <c r="AQ713" s="1">
        <v>32328472</v>
      </c>
      <c r="AR713" s="1">
        <v>6564953</v>
      </c>
      <c r="AS713" s="1">
        <v>984743</v>
      </c>
      <c r="AT713" s="1">
        <f t="shared" si="77"/>
        <v>43408224</v>
      </c>
    </row>
    <row r="714" spans="1:46" x14ac:dyDescent="0.2">
      <c r="A714" s="1" t="str">
        <f>"00814"</f>
        <v>00814</v>
      </c>
      <c r="B714" s="1" t="str">
        <f>"مرتضي"</f>
        <v>مرتضي</v>
      </c>
      <c r="C714" s="1" t="str">
        <f>"پيش خورد"</f>
        <v>پيش خورد</v>
      </c>
      <c r="D714" s="1" t="str">
        <f t="shared" si="79"/>
        <v>قراردادي کارگري</v>
      </c>
      <c r="E714" s="1" t="str">
        <f t="shared" si="78"/>
        <v>پروژه تعميرات نيروگاه بوشهر</v>
      </c>
      <c r="F714" s="1">
        <v>10025429</v>
      </c>
      <c r="G714" s="1">
        <v>6650516</v>
      </c>
      <c r="H714" s="1">
        <v>0</v>
      </c>
      <c r="I714" s="1">
        <v>7017800</v>
      </c>
      <c r="J714" s="1">
        <v>0</v>
      </c>
      <c r="K714" s="1">
        <v>0</v>
      </c>
      <c r="L714" s="1">
        <v>7628143</v>
      </c>
      <c r="M714" s="1">
        <v>1000000</v>
      </c>
      <c r="N714" s="1">
        <v>5311485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6266110</v>
      </c>
      <c r="W714" s="1">
        <v>1900000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4550643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50350126</v>
      </c>
      <c r="AP714" s="1">
        <v>14963119</v>
      </c>
      <c r="AQ714" s="1">
        <v>35387007</v>
      </c>
      <c r="AR714" s="1">
        <v>9159897</v>
      </c>
      <c r="AS714" s="1">
        <v>1373984</v>
      </c>
      <c r="AT714" s="1">
        <f t="shared" si="77"/>
        <v>60884007</v>
      </c>
    </row>
    <row r="715" spans="1:46" x14ac:dyDescent="0.2">
      <c r="A715" s="1" t="str">
        <f>"00815"</f>
        <v>00815</v>
      </c>
      <c r="B715" s="1" t="str">
        <f>"امير"</f>
        <v>امير</v>
      </c>
      <c r="C715" s="1" t="str">
        <f>"جاودانيان"</f>
        <v>جاودانيان</v>
      </c>
      <c r="D715" s="1" t="str">
        <f t="shared" si="79"/>
        <v>قراردادي کارگري</v>
      </c>
      <c r="E715" s="1" t="str">
        <f t="shared" si="78"/>
        <v>پروژه تعميرات نيروگاه بوشهر</v>
      </c>
      <c r="F715" s="1">
        <v>6517310</v>
      </c>
      <c r="G715" s="1">
        <v>4951088</v>
      </c>
      <c r="H715" s="1">
        <v>0</v>
      </c>
      <c r="I715" s="1">
        <v>3910385</v>
      </c>
      <c r="J715" s="1">
        <v>0</v>
      </c>
      <c r="K715" s="1">
        <v>0</v>
      </c>
      <c r="L715" s="1">
        <v>7672721</v>
      </c>
      <c r="M715" s="1">
        <v>1000000</v>
      </c>
      <c r="N715" s="1">
        <v>3258656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4627590</v>
      </c>
      <c r="W715" s="1">
        <v>1900000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1516881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35354631</v>
      </c>
      <c r="AP715" s="1">
        <v>10408140</v>
      </c>
      <c r="AQ715" s="1">
        <v>24946491</v>
      </c>
      <c r="AR715" s="1">
        <v>6767550</v>
      </c>
      <c r="AS715" s="1">
        <v>1015133</v>
      </c>
      <c r="AT715" s="1">
        <f t="shared" si="77"/>
        <v>43137314</v>
      </c>
    </row>
    <row r="716" spans="1:46" x14ac:dyDescent="0.2">
      <c r="A716" s="1" t="str">
        <f>"00816"</f>
        <v>00816</v>
      </c>
      <c r="B716" s="1" t="str">
        <f>"علي"</f>
        <v>علي</v>
      </c>
      <c r="C716" s="1" t="str">
        <f>"جاودانيان"</f>
        <v>جاودانيان</v>
      </c>
      <c r="D716" s="1" t="str">
        <f t="shared" si="79"/>
        <v>قراردادي کارگري</v>
      </c>
      <c r="E716" s="1" t="str">
        <f t="shared" si="78"/>
        <v>پروژه تعميرات نيروگاه بوشهر</v>
      </c>
      <c r="F716" s="1">
        <v>10563168</v>
      </c>
      <c r="G716" s="1">
        <v>0</v>
      </c>
      <c r="H716" s="1">
        <v>0</v>
      </c>
      <c r="I716" s="1">
        <v>7711113</v>
      </c>
      <c r="J716" s="1">
        <v>0</v>
      </c>
      <c r="K716" s="1">
        <v>0</v>
      </c>
      <c r="L716" s="1">
        <v>7628143</v>
      </c>
      <c r="M716" s="1">
        <v>1000000</v>
      </c>
      <c r="N716" s="1">
        <v>5633690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7856207</v>
      </c>
      <c r="W716" s="1">
        <v>1900000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3033762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45326083</v>
      </c>
      <c r="AP716" s="1">
        <v>10254422</v>
      </c>
      <c r="AQ716" s="1">
        <v>35071661</v>
      </c>
      <c r="AR716" s="1">
        <v>8458464</v>
      </c>
      <c r="AS716" s="1">
        <v>1268770</v>
      </c>
      <c r="AT716" s="1">
        <f t="shared" si="77"/>
        <v>55053317</v>
      </c>
    </row>
    <row r="717" spans="1:46" x14ac:dyDescent="0.2">
      <c r="A717" s="1" t="str">
        <f>"00817"</f>
        <v>00817</v>
      </c>
      <c r="B717" s="1" t="str">
        <f>"علي"</f>
        <v>علي</v>
      </c>
      <c r="C717" s="1" t="str">
        <f>"دهقاندوست"</f>
        <v>دهقاندوست</v>
      </c>
      <c r="D717" s="1" t="str">
        <f t="shared" si="79"/>
        <v>قراردادي کارگري</v>
      </c>
      <c r="E717" s="1" t="str">
        <f t="shared" si="78"/>
        <v>پروژه تعميرات نيروگاه بوشهر</v>
      </c>
      <c r="F717" s="1">
        <v>6413325</v>
      </c>
      <c r="G717" s="1">
        <v>1438669</v>
      </c>
      <c r="H717" s="1">
        <v>0</v>
      </c>
      <c r="I717" s="1">
        <v>4040395</v>
      </c>
      <c r="J717" s="1">
        <v>0</v>
      </c>
      <c r="K717" s="1">
        <v>0</v>
      </c>
      <c r="L717" s="1">
        <v>7672721</v>
      </c>
      <c r="M717" s="1">
        <v>1000000</v>
      </c>
      <c r="N717" s="1">
        <v>3397788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7601478</v>
      </c>
      <c r="W717" s="1">
        <v>1900000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4550643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38015019</v>
      </c>
      <c r="AP717" s="1">
        <v>2725757</v>
      </c>
      <c r="AQ717" s="1">
        <v>35289262</v>
      </c>
      <c r="AR717" s="1">
        <v>6692875</v>
      </c>
      <c r="AS717" s="1">
        <v>1003931</v>
      </c>
      <c r="AT717" s="1">
        <f t="shared" si="77"/>
        <v>45711825</v>
      </c>
    </row>
    <row r="718" spans="1:46" x14ac:dyDescent="0.2">
      <c r="A718" s="1" t="str">
        <f>"00819"</f>
        <v>00819</v>
      </c>
      <c r="B718" s="1" t="str">
        <f>"عبدالرضا"</f>
        <v>عبدالرضا</v>
      </c>
      <c r="C718" s="1" t="str">
        <f>"سليماني"</f>
        <v>سليماني</v>
      </c>
      <c r="D718" s="1" t="str">
        <f t="shared" si="79"/>
        <v>قراردادي کارگري</v>
      </c>
      <c r="E718" s="1" t="str">
        <f t="shared" si="78"/>
        <v>پروژه تعميرات نيروگاه بوشهر</v>
      </c>
      <c r="F718" s="1">
        <v>8848408</v>
      </c>
      <c r="G718" s="1">
        <v>0</v>
      </c>
      <c r="H718" s="1">
        <v>0</v>
      </c>
      <c r="I718" s="1">
        <v>6459338</v>
      </c>
      <c r="J718" s="1">
        <v>0</v>
      </c>
      <c r="K718" s="1">
        <v>0</v>
      </c>
      <c r="L718" s="1">
        <v>7628143</v>
      </c>
      <c r="M718" s="1">
        <v>1000000</v>
      </c>
      <c r="N718" s="1">
        <v>4719150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9502029</v>
      </c>
      <c r="W718" s="1">
        <v>1900000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6067524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46124592</v>
      </c>
      <c r="AP718" s="1">
        <v>3952055</v>
      </c>
      <c r="AQ718" s="1">
        <v>42172537</v>
      </c>
      <c r="AR718" s="1">
        <v>8011414</v>
      </c>
      <c r="AS718" s="1">
        <v>1201712</v>
      </c>
      <c r="AT718" s="1">
        <f t="shared" si="77"/>
        <v>55337718</v>
      </c>
    </row>
    <row r="719" spans="1:46" x14ac:dyDescent="0.2">
      <c r="A719" s="1" t="str">
        <f>"00821"</f>
        <v>00821</v>
      </c>
      <c r="B719" s="1" t="str">
        <f>"حمادي"</f>
        <v>حمادي</v>
      </c>
      <c r="C719" s="1" t="str">
        <f>"شعباني"</f>
        <v>شعباني</v>
      </c>
      <c r="D719" s="1" t="str">
        <f t="shared" si="79"/>
        <v>قراردادي کارگري</v>
      </c>
      <c r="E719" s="1" t="str">
        <f t="shared" si="78"/>
        <v>پروژه تعميرات نيروگاه بوشهر</v>
      </c>
      <c r="F719" s="1">
        <v>10815317</v>
      </c>
      <c r="G719" s="1">
        <v>1312546</v>
      </c>
      <c r="H719" s="1">
        <v>0</v>
      </c>
      <c r="I719" s="1">
        <v>7787028</v>
      </c>
      <c r="J719" s="1">
        <v>0</v>
      </c>
      <c r="K719" s="1">
        <v>0</v>
      </c>
      <c r="L719" s="1">
        <v>7628143</v>
      </c>
      <c r="M719" s="1">
        <v>1000000</v>
      </c>
      <c r="N719" s="1">
        <v>5692272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14578861</v>
      </c>
      <c r="W719" s="1">
        <v>1900000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6067524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56781691</v>
      </c>
      <c r="AP719" s="1">
        <v>5689162</v>
      </c>
      <c r="AQ719" s="1">
        <v>51092529</v>
      </c>
      <c r="AR719" s="1">
        <v>10142833</v>
      </c>
      <c r="AS719" s="1">
        <v>1521425</v>
      </c>
      <c r="AT719" s="1">
        <f t="shared" si="77"/>
        <v>68445949</v>
      </c>
    </row>
    <row r="720" spans="1:46" x14ac:dyDescent="0.2">
      <c r="A720" s="1" t="str">
        <f>"00822"</f>
        <v>00822</v>
      </c>
      <c r="B720" s="1" t="str">
        <f>"محمد"</f>
        <v>محمد</v>
      </c>
      <c r="C720" s="1" t="str">
        <f>"مقاتلي"</f>
        <v>مقاتلي</v>
      </c>
      <c r="D720" s="1" t="str">
        <f t="shared" si="79"/>
        <v>قراردادي کارگري</v>
      </c>
      <c r="E720" s="1" t="str">
        <f t="shared" si="78"/>
        <v>پروژه تعميرات نيروگاه بوشهر</v>
      </c>
      <c r="F720" s="1">
        <v>10093287</v>
      </c>
      <c r="G720" s="1">
        <v>2589558</v>
      </c>
      <c r="H720" s="1">
        <v>0</v>
      </c>
      <c r="I720" s="1">
        <v>6257838</v>
      </c>
      <c r="J720" s="1">
        <v>0</v>
      </c>
      <c r="K720" s="1">
        <v>0</v>
      </c>
      <c r="L720" s="1">
        <v>7672721</v>
      </c>
      <c r="M720" s="1">
        <v>1000000</v>
      </c>
      <c r="N720" s="1">
        <v>5383088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7290809</v>
      </c>
      <c r="W720" s="1">
        <v>1900000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3033762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45221063</v>
      </c>
      <c r="AP720" s="1">
        <v>7007210</v>
      </c>
      <c r="AQ720" s="1">
        <v>38213853</v>
      </c>
      <c r="AR720" s="1">
        <v>8437460</v>
      </c>
      <c r="AS720" s="1">
        <v>1265619</v>
      </c>
      <c r="AT720" s="1">
        <f t="shared" si="77"/>
        <v>54924142</v>
      </c>
    </row>
    <row r="721" spans="1:46" x14ac:dyDescent="0.2">
      <c r="A721" s="1" t="str">
        <f>"00827"</f>
        <v>00827</v>
      </c>
      <c r="B721" s="1" t="str">
        <f>"رضا"</f>
        <v>رضا</v>
      </c>
      <c r="C721" s="1" t="str">
        <f>"غفاري"</f>
        <v>غفاري</v>
      </c>
      <c r="D721" s="1" t="str">
        <f t="shared" si="79"/>
        <v>قراردادي کارگري</v>
      </c>
      <c r="E721" s="1" t="str">
        <f t="shared" si="78"/>
        <v>پروژه تعميرات نيروگاه بوشهر</v>
      </c>
      <c r="F721" s="1">
        <v>9153525</v>
      </c>
      <c r="G721" s="1">
        <v>2646897</v>
      </c>
      <c r="H721" s="1">
        <v>0</v>
      </c>
      <c r="I721" s="1">
        <v>6499003</v>
      </c>
      <c r="J721" s="1">
        <v>0</v>
      </c>
      <c r="K721" s="1">
        <v>0</v>
      </c>
      <c r="L721" s="1">
        <v>7628143</v>
      </c>
      <c r="M721" s="1">
        <v>1000000</v>
      </c>
      <c r="N721" s="1">
        <v>4881880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9347765</v>
      </c>
      <c r="W721" s="1">
        <v>1900000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3033762</v>
      </c>
      <c r="AG721" s="1">
        <v>0</v>
      </c>
      <c r="AH721" s="1">
        <v>0</v>
      </c>
      <c r="AI721" s="1">
        <v>0</v>
      </c>
      <c r="AJ721" s="1">
        <v>5082043</v>
      </c>
      <c r="AK721" s="1">
        <v>0</v>
      </c>
      <c r="AL721" s="1">
        <v>0</v>
      </c>
      <c r="AM721" s="1">
        <v>0</v>
      </c>
      <c r="AN721" s="1">
        <v>2816255</v>
      </c>
      <c r="AO721" s="1">
        <v>53989273</v>
      </c>
      <c r="AP721" s="1">
        <v>6320349</v>
      </c>
      <c r="AQ721" s="1">
        <v>47668924</v>
      </c>
      <c r="AR721" s="1">
        <v>10191102</v>
      </c>
      <c r="AS721" s="1">
        <v>1528665</v>
      </c>
      <c r="AT721" s="1">
        <f t="shared" si="77"/>
        <v>65709040</v>
      </c>
    </row>
    <row r="722" spans="1:46" x14ac:dyDescent="0.2">
      <c r="A722" s="1" t="str">
        <f>"00828"</f>
        <v>00828</v>
      </c>
      <c r="B722" s="1" t="str">
        <f>"علي"</f>
        <v>علي</v>
      </c>
      <c r="C722" s="1" t="str">
        <f>"كابلي"</f>
        <v>كابلي</v>
      </c>
      <c r="D722" s="1" t="str">
        <f t="shared" si="79"/>
        <v>قراردادي کارگري</v>
      </c>
      <c r="E722" s="1" t="str">
        <f t="shared" si="78"/>
        <v>پروژه تعميرات نيروگاه بوشهر</v>
      </c>
      <c r="F722" s="1">
        <v>10300767</v>
      </c>
      <c r="G722" s="1">
        <v>2306390</v>
      </c>
      <c r="H722" s="1">
        <v>0</v>
      </c>
      <c r="I722" s="1">
        <v>7313545</v>
      </c>
      <c r="J722" s="1">
        <v>0</v>
      </c>
      <c r="K722" s="1">
        <v>0</v>
      </c>
      <c r="L722" s="1">
        <v>7628143</v>
      </c>
      <c r="M722" s="1">
        <v>1000000</v>
      </c>
      <c r="N722" s="1">
        <v>5493743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10119859</v>
      </c>
      <c r="W722" s="1">
        <v>1900000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4550643</v>
      </c>
      <c r="AG722" s="1">
        <v>0</v>
      </c>
      <c r="AH722" s="1">
        <v>0</v>
      </c>
      <c r="AI722" s="1">
        <v>0</v>
      </c>
      <c r="AJ722" s="1">
        <v>5535337</v>
      </c>
      <c r="AK722" s="1">
        <v>0</v>
      </c>
      <c r="AL722" s="1">
        <v>0</v>
      </c>
      <c r="AM722" s="1">
        <v>0</v>
      </c>
      <c r="AN722" s="1">
        <v>3073620</v>
      </c>
      <c r="AO722" s="1">
        <v>59222047</v>
      </c>
      <c r="AP722" s="1">
        <v>7170598</v>
      </c>
      <c r="AQ722" s="1">
        <v>52051449</v>
      </c>
      <c r="AR722" s="1">
        <v>10934281</v>
      </c>
      <c r="AS722" s="1">
        <v>1640142</v>
      </c>
      <c r="AT722" s="1">
        <f t="shared" si="77"/>
        <v>71796470</v>
      </c>
    </row>
    <row r="723" spans="1:46" x14ac:dyDescent="0.2">
      <c r="A723" s="1" t="str">
        <f>"00831"</f>
        <v>00831</v>
      </c>
      <c r="B723" s="1" t="str">
        <f>"مرتضي"</f>
        <v>مرتضي</v>
      </c>
      <c r="C723" s="1" t="str">
        <f>"كهن"</f>
        <v>كهن</v>
      </c>
      <c r="D723" s="1" t="str">
        <f t="shared" si="79"/>
        <v>قراردادي کارگري</v>
      </c>
      <c r="E723" s="1" t="str">
        <f t="shared" si="78"/>
        <v>پروژه تعميرات نيروگاه بوشهر</v>
      </c>
      <c r="F723" s="1">
        <v>8360220</v>
      </c>
      <c r="G723" s="1">
        <v>0</v>
      </c>
      <c r="H723" s="1">
        <v>0</v>
      </c>
      <c r="I723" s="1">
        <v>6019358</v>
      </c>
      <c r="J723" s="1">
        <v>0</v>
      </c>
      <c r="K723" s="1">
        <v>0</v>
      </c>
      <c r="L723" s="1">
        <v>7628143</v>
      </c>
      <c r="M723" s="1">
        <v>1000000</v>
      </c>
      <c r="N723" s="1">
        <v>4458783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6629214</v>
      </c>
      <c r="W723" s="1">
        <v>1900000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3033762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39029480</v>
      </c>
      <c r="AP723" s="1">
        <v>3711973</v>
      </c>
      <c r="AQ723" s="1">
        <v>35317507</v>
      </c>
      <c r="AR723" s="1">
        <v>7199144</v>
      </c>
      <c r="AS723" s="1">
        <v>1079872</v>
      </c>
      <c r="AT723" s="1">
        <f t="shared" si="77"/>
        <v>47308496</v>
      </c>
    </row>
    <row r="724" spans="1:46" x14ac:dyDescent="0.2">
      <c r="A724" s="1" t="str">
        <f>"00832"</f>
        <v>00832</v>
      </c>
      <c r="B724" s="1" t="str">
        <f>"ابراهيم"</f>
        <v>ابراهيم</v>
      </c>
      <c r="C724" s="1" t="str">
        <f>"عبدالهي"</f>
        <v>عبدالهي</v>
      </c>
      <c r="D724" s="1" t="str">
        <f t="shared" si="79"/>
        <v>قراردادي کارگري</v>
      </c>
      <c r="E724" s="1" t="str">
        <f t="shared" si="78"/>
        <v>پروژه تعميرات نيروگاه بوشهر</v>
      </c>
      <c r="F724" s="1">
        <v>8433448</v>
      </c>
      <c r="G724" s="1">
        <v>0</v>
      </c>
      <c r="H724" s="1">
        <v>0</v>
      </c>
      <c r="I724" s="1">
        <v>5987748</v>
      </c>
      <c r="J724" s="1">
        <v>0</v>
      </c>
      <c r="K724" s="1">
        <v>0</v>
      </c>
      <c r="L724" s="1">
        <v>7628143</v>
      </c>
      <c r="M724" s="1">
        <v>1000000</v>
      </c>
      <c r="N724" s="1">
        <v>4497840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9232451</v>
      </c>
      <c r="W724" s="1">
        <v>1900000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1516881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40196511</v>
      </c>
      <c r="AP724" s="1">
        <v>3272468</v>
      </c>
      <c r="AQ724" s="1">
        <v>36924043</v>
      </c>
      <c r="AR724" s="1">
        <v>7735926</v>
      </c>
      <c r="AS724" s="1">
        <v>1160389</v>
      </c>
      <c r="AT724" s="1">
        <f t="shared" si="77"/>
        <v>49092826</v>
      </c>
    </row>
    <row r="725" spans="1:46" x14ac:dyDescent="0.2">
      <c r="A725" s="1" t="str">
        <f>"00834"</f>
        <v>00834</v>
      </c>
      <c r="B725" s="1" t="str">
        <f>"محمد"</f>
        <v>محمد</v>
      </c>
      <c r="C725" s="1" t="str">
        <f>"عساکره"</f>
        <v>عساکره</v>
      </c>
      <c r="D725" s="1" t="str">
        <f t="shared" si="79"/>
        <v>قراردادي کارگري</v>
      </c>
      <c r="E725" s="1" t="str">
        <f t="shared" si="78"/>
        <v>پروژه تعميرات نيروگاه بوشهر</v>
      </c>
      <c r="F725" s="1">
        <v>5989456</v>
      </c>
      <c r="G725" s="1">
        <v>0</v>
      </c>
      <c r="H725" s="1">
        <v>0</v>
      </c>
      <c r="I725" s="1">
        <v>3773357</v>
      </c>
      <c r="J725" s="1">
        <v>0</v>
      </c>
      <c r="K725" s="1">
        <v>0</v>
      </c>
      <c r="L725" s="1">
        <v>7672721</v>
      </c>
      <c r="M725" s="1">
        <v>1000000</v>
      </c>
      <c r="N725" s="1">
        <v>2974897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7314718</v>
      </c>
      <c r="W725" s="1">
        <v>1900000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4550643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35175792</v>
      </c>
      <c r="AP725" s="1">
        <v>2262963</v>
      </c>
      <c r="AQ725" s="1">
        <v>32912829</v>
      </c>
      <c r="AR725" s="1">
        <v>6125030</v>
      </c>
      <c r="AS725" s="1">
        <v>918754</v>
      </c>
      <c r="AT725" s="1">
        <f t="shared" si="77"/>
        <v>42219576</v>
      </c>
    </row>
    <row r="726" spans="1:46" x14ac:dyDescent="0.2">
      <c r="A726" s="1" t="str">
        <f>"00835"</f>
        <v>00835</v>
      </c>
      <c r="B726" s="1" t="str">
        <f>"صادق"</f>
        <v>صادق</v>
      </c>
      <c r="C726" s="1" t="str">
        <f>"عباسي"</f>
        <v>عباسي</v>
      </c>
      <c r="D726" s="1" t="str">
        <f>"قراردادي بهره بردار"</f>
        <v>قراردادي بهره بردار</v>
      </c>
      <c r="E726" s="1" t="str">
        <f>"پروژه بهره برداري نيروگاه بوشهر"</f>
        <v>پروژه بهره برداري نيروگاه بوشهر</v>
      </c>
      <c r="F726" s="1">
        <v>21139933</v>
      </c>
      <c r="G726" s="1">
        <v>4387486</v>
      </c>
      <c r="H726" s="1">
        <v>0</v>
      </c>
      <c r="I726" s="1">
        <v>16620348</v>
      </c>
      <c r="J726" s="1">
        <v>0</v>
      </c>
      <c r="K726" s="1">
        <v>5500000</v>
      </c>
      <c r="L726" s="1">
        <v>0</v>
      </c>
      <c r="M726" s="1">
        <v>1000000</v>
      </c>
      <c r="N726" s="1">
        <v>2971092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1387000</v>
      </c>
      <c r="U726" s="1">
        <v>0</v>
      </c>
      <c r="V726" s="1">
        <v>4710375</v>
      </c>
      <c r="W726" s="1">
        <v>1900000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2122208</v>
      </c>
      <c r="AF726" s="1">
        <v>1516881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4250167</v>
      </c>
      <c r="AM726" s="1">
        <v>0</v>
      </c>
      <c r="AN726" s="1">
        <v>0</v>
      </c>
      <c r="AO726" s="1">
        <v>67505490</v>
      </c>
      <c r="AP726" s="1">
        <v>7585132</v>
      </c>
      <c r="AQ726" s="1">
        <v>59920358</v>
      </c>
      <c r="AR726" s="1">
        <v>13197722</v>
      </c>
      <c r="AS726" s="1">
        <v>1979658</v>
      </c>
      <c r="AT726" s="1">
        <f t="shared" si="77"/>
        <v>82682870</v>
      </c>
    </row>
    <row r="727" spans="1:46" x14ac:dyDescent="0.2">
      <c r="A727" s="1" t="str">
        <f>"00836"</f>
        <v>00836</v>
      </c>
      <c r="B727" s="1" t="str">
        <f>"حميد"</f>
        <v>حميد</v>
      </c>
      <c r="C727" s="1" t="str">
        <f>"گزدرازي"</f>
        <v>گزدرازي</v>
      </c>
      <c r="D727" s="1" t="str">
        <f>"قراردادي کارگري"</f>
        <v>قراردادي کارگري</v>
      </c>
      <c r="E727" s="1" t="str">
        <f>"پروژه تعميرات نيروگاه بوشهر"</f>
        <v>پروژه تعميرات نيروگاه بوشهر</v>
      </c>
      <c r="F727" s="1">
        <v>10123799</v>
      </c>
      <c r="G727" s="1">
        <v>2596815</v>
      </c>
      <c r="H727" s="1">
        <v>0</v>
      </c>
      <c r="I727" s="1">
        <v>7289135</v>
      </c>
      <c r="J727" s="1">
        <v>0</v>
      </c>
      <c r="K727" s="1">
        <v>0</v>
      </c>
      <c r="L727" s="1">
        <v>7628143</v>
      </c>
      <c r="M727" s="1">
        <v>1000000</v>
      </c>
      <c r="N727" s="1">
        <v>5399359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10449095</v>
      </c>
      <c r="W727" s="1">
        <v>1900000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4550643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50936989</v>
      </c>
      <c r="AP727" s="1">
        <v>7129585</v>
      </c>
      <c r="AQ727" s="1">
        <v>43807404</v>
      </c>
      <c r="AR727" s="1">
        <v>9277269</v>
      </c>
      <c r="AS727" s="1">
        <v>1391590</v>
      </c>
      <c r="AT727" s="1">
        <f t="shared" si="77"/>
        <v>61605848</v>
      </c>
    </row>
    <row r="728" spans="1:46" x14ac:dyDescent="0.2">
      <c r="A728" s="1" t="str">
        <f>"00837"</f>
        <v>00837</v>
      </c>
      <c r="B728" s="1" t="str">
        <f>"فرشيد"</f>
        <v>فرشيد</v>
      </c>
      <c r="C728" s="1" t="str">
        <f>"عباسيان"</f>
        <v>عباسيان</v>
      </c>
      <c r="D728" s="1" t="str">
        <f>"قراردادي کارگري"</f>
        <v>قراردادي کارگري</v>
      </c>
      <c r="E728" s="1" t="str">
        <f>"پروژه تعميرات نيروگاه بوشهر"</f>
        <v>پروژه تعميرات نيروگاه بوشهر</v>
      </c>
      <c r="F728" s="1">
        <v>6126759</v>
      </c>
      <c r="G728" s="1">
        <v>1040899</v>
      </c>
      <c r="H728" s="1">
        <v>0</v>
      </c>
      <c r="I728" s="1">
        <v>4901408</v>
      </c>
      <c r="J728" s="1">
        <v>0</v>
      </c>
      <c r="K728" s="1">
        <v>0</v>
      </c>
      <c r="L728" s="1">
        <v>7672721</v>
      </c>
      <c r="M728" s="1">
        <v>1000000</v>
      </c>
      <c r="N728" s="1">
        <v>3063380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7737792</v>
      </c>
      <c r="W728" s="1">
        <v>1900000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3033762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36476721</v>
      </c>
      <c r="AP728" s="1">
        <v>5459498</v>
      </c>
      <c r="AQ728" s="1">
        <v>31017223</v>
      </c>
      <c r="AR728" s="1">
        <v>6688592</v>
      </c>
      <c r="AS728" s="1">
        <v>1003289</v>
      </c>
      <c r="AT728" s="1">
        <f t="shared" si="77"/>
        <v>44168602</v>
      </c>
    </row>
    <row r="729" spans="1:46" x14ac:dyDescent="0.2">
      <c r="A729" s="1" t="str">
        <f>"00838"</f>
        <v>00838</v>
      </c>
      <c r="B729" s="1" t="str">
        <f>"حسن"</f>
        <v>حسن</v>
      </c>
      <c r="C729" s="1" t="str">
        <f>"رستمي"</f>
        <v>رستمي</v>
      </c>
      <c r="D729" s="1" t="str">
        <f>"قراردادي کارگري"</f>
        <v>قراردادي کارگري</v>
      </c>
      <c r="E729" s="1" t="str">
        <f>"پروژه تعميرات نيروگاه بوشهر"</f>
        <v>پروژه تعميرات نيروگاه بوشهر</v>
      </c>
      <c r="F729" s="1">
        <v>9896426</v>
      </c>
      <c r="G729" s="1">
        <v>0</v>
      </c>
      <c r="H729" s="1">
        <v>0</v>
      </c>
      <c r="I729" s="1">
        <v>7125426</v>
      </c>
      <c r="J729" s="1">
        <v>0</v>
      </c>
      <c r="K729" s="1">
        <v>0</v>
      </c>
      <c r="L729" s="1">
        <v>7628143</v>
      </c>
      <c r="M729" s="1">
        <v>1000000</v>
      </c>
      <c r="N729" s="1">
        <v>5243140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10278062</v>
      </c>
      <c r="W729" s="1">
        <v>1900000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4550643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0</v>
      </c>
      <c r="AO729" s="1">
        <v>47621840</v>
      </c>
      <c r="AP729" s="1">
        <v>7003965</v>
      </c>
      <c r="AQ729" s="1">
        <v>40617875</v>
      </c>
      <c r="AR729" s="1">
        <v>8614239</v>
      </c>
      <c r="AS729" s="1">
        <v>1292136</v>
      </c>
      <c r="AT729" s="1">
        <f t="shared" si="77"/>
        <v>57528215</v>
      </c>
    </row>
    <row r="730" spans="1:46" x14ac:dyDescent="0.2">
      <c r="A730" s="1" t="str">
        <f>"00839"</f>
        <v>00839</v>
      </c>
      <c r="B730" s="1" t="str">
        <f>"اکبر"</f>
        <v>اکبر</v>
      </c>
      <c r="C730" s="1" t="str">
        <f>"يزدان پناه"</f>
        <v>يزدان پناه</v>
      </c>
      <c r="D730" s="1" t="str">
        <f>"قراردادي کارگري"</f>
        <v>قراردادي کارگري</v>
      </c>
      <c r="E730" s="1" t="str">
        <f>"پروژه تعميرات نيروگاه بوشهر"</f>
        <v>پروژه تعميرات نيروگاه بوشهر</v>
      </c>
      <c r="F730" s="1">
        <v>8592109</v>
      </c>
      <c r="G730" s="1">
        <v>0</v>
      </c>
      <c r="H730" s="1">
        <v>0</v>
      </c>
      <c r="I730" s="1">
        <v>6186319</v>
      </c>
      <c r="J730" s="1">
        <v>0</v>
      </c>
      <c r="K730" s="1">
        <v>0</v>
      </c>
      <c r="L730" s="1">
        <v>7628143</v>
      </c>
      <c r="M730" s="1">
        <v>1000000</v>
      </c>
      <c r="N730" s="1">
        <v>4582458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9370530</v>
      </c>
      <c r="W730" s="1">
        <v>1900000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3033762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0</v>
      </c>
      <c r="AO730" s="1">
        <v>42293321</v>
      </c>
      <c r="AP730" s="1">
        <v>3518684</v>
      </c>
      <c r="AQ730" s="1">
        <v>38774637</v>
      </c>
      <c r="AR730" s="1">
        <v>7851912</v>
      </c>
      <c r="AS730" s="1">
        <v>1177787</v>
      </c>
      <c r="AT730" s="1">
        <f t="shared" si="77"/>
        <v>51323020</v>
      </c>
    </row>
    <row r="731" spans="1:46" x14ac:dyDescent="0.2">
      <c r="A731" s="1" t="str">
        <f>"00840"</f>
        <v>00840</v>
      </c>
      <c r="B731" s="1" t="str">
        <f>"سعيد"</f>
        <v>سعيد</v>
      </c>
      <c r="C731" s="1" t="str">
        <f>"اکبري"</f>
        <v>اکبري</v>
      </c>
      <c r="D731" s="1" t="str">
        <f t="shared" ref="D731:D751" si="80">"قراردادي بهره بردار"</f>
        <v>قراردادي بهره بردار</v>
      </c>
      <c r="E731" s="1" t="str">
        <f>"پروژه بهره برداري نيروگاه بوشهر"</f>
        <v>پروژه بهره برداري نيروگاه بوشهر</v>
      </c>
      <c r="F731" s="1">
        <v>18752107</v>
      </c>
      <c r="G731" s="1">
        <v>9063869</v>
      </c>
      <c r="H731" s="1">
        <v>0</v>
      </c>
      <c r="I731" s="1">
        <v>16104714</v>
      </c>
      <c r="J731" s="1">
        <v>0</v>
      </c>
      <c r="K731" s="1">
        <v>4125000</v>
      </c>
      <c r="L731" s="1">
        <v>0</v>
      </c>
      <c r="M731" s="1">
        <v>1000000</v>
      </c>
      <c r="N731" s="1">
        <v>3204945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1606000</v>
      </c>
      <c r="U731" s="1">
        <v>0</v>
      </c>
      <c r="V731" s="1">
        <v>13113308</v>
      </c>
      <c r="W731" s="1">
        <v>1900000</v>
      </c>
      <c r="X731" s="1">
        <v>2722080</v>
      </c>
      <c r="Y731" s="1">
        <v>0</v>
      </c>
      <c r="Z731" s="1">
        <v>0</v>
      </c>
      <c r="AA731" s="1">
        <v>0</v>
      </c>
      <c r="AB731" s="1">
        <v>0</v>
      </c>
      <c r="AC731" s="1">
        <v>3877480</v>
      </c>
      <c r="AD731" s="1">
        <v>0</v>
      </c>
      <c r="AE731" s="1">
        <v>2289247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18215831</v>
      </c>
      <c r="AM731" s="1">
        <v>0</v>
      </c>
      <c r="AN731" s="1">
        <v>0</v>
      </c>
      <c r="AO731" s="1">
        <v>95974581</v>
      </c>
      <c r="AP731" s="1">
        <v>39516535</v>
      </c>
      <c r="AQ731" s="1">
        <v>56458046</v>
      </c>
      <c r="AR731" s="1">
        <v>19194916</v>
      </c>
      <c r="AS731" s="1">
        <v>2879237</v>
      </c>
      <c r="AT731" s="1">
        <f t="shared" si="77"/>
        <v>118048734</v>
      </c>
    </row>
    <row r="732" spans="1:46" x14ac:dyDescent="0.2">
      <c r="A732" s="1" t="str">
        <f>"00841"</f>
        <v>00841</v>
      </c>
      <c r="B732" s="1" t="str">
        <f>"يوسف"</f>
        <v>يوسف</v>
      </c>
      <c r="C732" s="1" t="str">
        <f>"آهنين جان"</f>
        <v>آهنين جان</v>
      </c>
      <c r="D732" s="1" t="str">
        <f t="shared" si="80"/>
        <v>قراردادي بهره بردار</v>
      </c>
      <c r="E732" s="1" t="str">
        <f t="shared" ref="E732:E751" si="81">"پروژه تعميرات نيروگاه بوشهر"</f>
        <v>پروژه تعميرات نيروگاه بوشهر</v>
      </c>
      <c r="F732" s="1">
        <v>13231627</v>
      </c>
      <c r="G732" s="1">
        <v>0</v>
      </c>
      <c r="H732" s="1">
        <v>0</v>
      </c>
      <c r="I732" s="1">
        <v>10055447</v>
      </c>
      <c r="J732" s="1">
        <v>0</v>
      </c>
      <c r="K732" s="1">
        <v>4620000</v>
      </c>
      <c r="L732" s="1">
        <v>0</v>
      </c>
      <c r="M732" s="1">
        <v>1000000</v>
      </c>
      <c r="N732" s="1">
        <v>2350038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1387000</v>
      </c>
      <c r="U732" s="1">
        <v>0</v>
      </c>
      <c r="V732" s="1">
        <v>6658042</v>
      </c>
      <c r="W732" s="1">
        <v>1900000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1678598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5974496</v>
      </c>
      <c r="AM732" s="1">
        <v>0</v>
      </c>
      <c r="AN732" s="1">
        <v>0</v>
      </c>
      <c r="AO732" s="1">
        <v>48855248</v>
      </c>
      <c r="AP732" s="1">
        <v>19991113</v>
      </c>
      <c r="AQ732" s="1">
        <v>28864135</v>
      </c>
      <c r="AR732" s="1">
        <v>9771050</v>
      </c>
      <c r="AS732" s="1">
        <v>1465657</v>
      </c>
      <c r="AT732" s="1">
        <f t="shared" si="77"/>
        <v>60091955</v>
      </c>
    </row>
    <row r="733" spans="1:46" x14ac:dyDescent="0.2">
      <c r="A733" s="1" t="str">
        <f>"00842"</f>
        <v>00842</v>
      </c>
      <c r="B733" s="1" t="str">
        <f>"نعمت اله"</f>
        <v>نعمت اله</v>
      </c>
      <c r="C733" s="1" t="str">
        <f>"احمدي ديرين"</f>
        <v>احمدي ديرين</v>
      </c>
      <c r="D733" s="1" t="str">
        <f t="shared" si="80"/>
        <v>قراردادي بهره بردار</v>
      </c>
      <c r="E733" s="1" t="str">
        <f t="shared" si="81"/>
        <v>پروژه تعميرات نيروگاه بوشهر</v>
      </c>
      <c r="F733" s="1">
        <v>13352113</v>
      </c>
      <c r="G733" s="1">
        <v>0</v>
      </c>
      <c r="H733" s="1">
        <v>0</v>
      </c>
      <c r="I733" s="1">
        <v>10686686</v>
      </c>
      <c r="J733" s="1">
        <v>0</v>
      </c>
      <c r="K733" s="1">
        <v>3465000</v>
      </c>
      <c r="L733" s="1">
        <v>0</v>
      </c>
      <c r="M733" s="1">
        <v>1000000</v>
      </c>
      <c r="N733" s="1">
        <v>2392208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1387000</v>
      </c>
      <c r="U733" s="1">
        <v>0</v>
      </c>
      <c r="V733" s="1">
        <v>13786493</v>
      </c>
      <c r="W733" s="1">
        <v>1900000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1708720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8140517</v>
      </c>
      <c r="AM733" s="1">
        <v>0</v>
      </c>
      <c r="AN733" s="1">
        <v>0</v>
      </c>
      <c r="AO733" s="1">
        <v>57818737</v>
      </c>
      <c r="AP733" s="1">
        <v>23318843</v>
      </c>
      <c r="AQ733" s="1">
        <v>34499894</v>
      </c>
      <c r="AR733" s="1">
        <v>11563747</v>
      </c>
      <c r="AS733" s="1">
        <v>1734562</v>
      </c>
      <c r="AT733" s="1">
        <f t="shared" si="77"/>
        <v>71117046</v>
      </c>
    </row>
    <row r="734" spans="1:46" x14ac:dyDescent="0.2">
      <c r="A734" s="1" t="str">
        <f>"00843"</f>
        <v>00843</v>
      </c>
      <c r="B734" s="1" t="str">
        <f>"رضا"</f>
        <v>رضا</v>
      </c>
      <c r="C734" s="1" t="str">
        <f>"الياسي"</f>
        <v>الياسي</v>
      </c>
      <c r="D734" s="1" t="str">
        <f t="shared" si="80"/>
        <v>قراردادي بهره بردار</v>
      </c>
      <c r="E734" s="1" t="str">
        <f t="shared" si="81"/>
        <v>پروژه تعميرات نيروگاه بوشهر</v>
      </c>
      <c r="F734" s="1">
        <v>15873571</v>
      </c>
      <c r="G734" s="1">
        <v>1641835</v>
      </c>
      <c r="H734" s="1">
        <v>0</v>
      </c>
      <c r="I734" s="1">
        <v>13039387</v>
      </c>
      <c r="J734" s="1">
        <v>0</v>
      </c>
      <c r="K734" s="1">
        <v>0</v>
      </c>
      <c r="L734" s="1">
        <v>0</v>
      </c>
      <c r="M734" s="1">
        <v>1000000</v>
      </c>
      <c r="N734" s="1">
        <v>3033197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1387000</v>
      </c>
      <c r="U734" s="1">
        <v>0</v>
      </c>
      <c r="V734" s="1">
        <v>16017240</v>
      </c>
      <c r="W734" s="1">
        <v>1900000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2166569</v>
      </c>
      <c r="AF734" s="1">
        <v>1516881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8037906</v>
      </c>
      <c r="AM734" s="1">
        <v>0</v>
      </c>
      <c r="AN734" s="1">
        <v>0</v>
      </c>
      <c r="AO734" s="1">
        <v>65613586</v>
      </c>
      <c r="AP734" s="1">
        <v>31316861</v>
      </c>
      <c r="AQ734" s="1">
        <v>34296725</v>
      </c>
      <c r="AR734" s="1">
        <v>12819341</v>
      </c>
      <c r="AS734" s="1">
        <v>1922901</v>
      </c>
      <c r="AT734" s="1">
        <f t="shared" si="77"/>
        <v>80355828</v>
      </c>
    </row>
    <row r="735" spans="1:46" x14ac:dyDescent="0.2">
      <c r="A735" s="1" t="str">
        <f>"00844"</f>
        <v>00844</v>
      </c>
      <c r="B735" s="1" t="str">
        <f>"محمدرضا"</f>
        <v>محمدرضا</v>
      </c>
      <c r="C735" s="1" t="str">
        <f>"چاووشيان نائيني"</f>
        <v>چاووشيان نائيني</v>
      </c>
      <c r="D735" s="1" t="str">
        <f t="shared" si="80"/>
        <v>قراردادي بهره بردار</v>
      </c>
      <c r="E735" s="1" t="str">
        <f t="shared" si="81"/>
        <v>پروژه تعميرات نيروگاه بوشهر</v>
      </c>
      <c r="F735" s="1">
        <v>21139933</v>
      </c>
      <c r="G735" s="1">
        <v>0</v>
      </c>
      <c r="H735" s="1">
        <v>0</v>
      </c>
      <c r="I735" s="1">
        <v>16432191</v>
      </c>
      <c r="J735" s="1">
        <v>0</v>
      </c>
      <c r="K735" s="1">
        <v>5500000</v>
      </c>
      <c r="L735" s="1">
        <v>0</v>
      </c>
      <c r="M735" s="1">
        <v>1000000</v>
      </c>
      <c r="N735" s="1">
        <v>3661152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1387000</v>
      </c>
      <c r="U735" s="1">
        <v>0</v>
      </c>
      <c r="V735" s="1">
        <v>11097874</v>
      </c>
      <c r="W735" s="1">
        <v>1900000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2615108</v>
      </c>
      <c r="AF735" s="1">
        <v>1516881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4403240</v>
      </c>
      <c r="AM735" s="1">
        <v>0</v>
      </c>
      <c r="AN735" s="1">
        <v>0</v>
      </c>
      <c r="AO735" s="1">
        <v>70653379</v>
      </c>
      <c r="AP735" s="1">
        <v>29538044</v>
      </c>
      <c r="AQ735" s="1">
        <v>41115335</v>
      </c>
      <c r="AR735" s="1">
        <v>13827300</v>
      </c>
      <c r="AS735" s="1">
        <v>2074095</v>
      </c>
      <c r="AT735" s="1">
        <f t="shared" si="77"/>
        <v>86554774</v>
      </c>
    </row>
    <row r="736" spans="1:46" x14ac:dyDescent="0.2">
      <c r="A736" s="1" t="str">
        <f>"00846"</f>
        <v>00846</v>
      </c>
      <c r="B736" s="1" t="str">
        <f>"حميد"</f>
        <v>حميد</v>
      </c>
      <c r="C736" s="1" t="str">
        <f>"رضايي"</f>
        <v>رضايي</v>
      </c>
      <c r="D736" s="1" t="str">
        <f t="shared" si="80"/>
        <v>قراردادي بهره بردار</v>
      </c>
      <c r="E736" s="1" t="str">
        <f t="shared" si="81"/>
        <v>پروژه تعميرات نيروگاه بوشهر</v>
      </c>
      <c r="F736" s="1">
        <v>13056373</v>
      </c>
      <c r="G736" s="1">
        <v>0</v>
      </c>
      <c r="H736" s="1">
        <v>0</v>
      </c>
      <c r="I736" s="1">
        <v>10348359</v>
      </c>
      <c r="J736" s="1">
        <v>0</v>
      </c>
      <c r="K736" s="1">
        <v>3465000</v>
      </c>
      <c r="L736" s="1">
        <v>0</v>
      </c>
      <c r="M736" s="1">
        <v>1000000</v>
      </c>
      <c r="N736" s="1">
        <v>2288699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1387000</v>
      </c>
      <c r="U736" s="1">
        <v>0</v>
      </c>
      <c r="V736" s="1">
        <v>13406528</v>
      </c>
      <c r="W736" s="1">
        <v>1900000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1634785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7952120</v>
      </c>
      <c r="AM736" s="1">
        <v>0</v>
      </c>
      <c r="AN736" s="1">
        <v>0</v>
      </c>
      <c r="AO736" s="1">
        <v>56438864</v>
      </c>
      <c r="AP736" s="1">
        <v>12875839</v>
      </c>
      <c r="AQ736" s="1">
        <v>43563025</v>
      </c>
      <c r="AR736" s="1">
        <v>11287773</v>
      </c>
      <c r="AS736" s="1">
        <v>1693166</v>
      </c>
      <c r="AT736" s="1">
        <f t="shared" si="77"/>
        <v>69419803</v>
      </c>
    </row>
    <row r="737" spans="1:46" x14ac:dyDescent="0.2">
      <c r="A737" s="1" t="str">
        <f>"00847"</f>
        <v>00847</v>
      </c>
      <c r="B737" s="1" t="str">
        <f>"امين"</f>
        <v>امين</v>
      </c>
      <c r="C737" s="1" t="str">
        <f>"رودحله پور"</f>
        <v>رودحله پور</v>
      </c>
      <c r="D737" s="1" t="str">
        <f t="shared" si="80"/>
        <v>قراردادي بهره بردار</v>
      </c>
      <c r="E737" s="1" t="str">
        <f t="shared" si="81"/>
        <v>پروژه تعميرات نيروگاه بوشهر</v>
      </c>
      <c r="F737" s="1">
        <v>18478273</v>
      </c>
      <c r="G737" s="1">
        <v>0</v>
      </c>
      <c r="H737" s="1">
        <v>0</v>
      </c>
      <c r="I737" s="1">
        <v>14091135</v>
      </c>
      <c r="J737" s="1">
        <v>0</v>
      </c>
      <c r="K737" s="1">
        <v>5500000</v>
      </c>
      <c r="L737" s="1">
        <v>0</v>
      </c>
      <c r="M737" s="1">
        <v>1000000</v>
      </c>
      <c r="N737" s="1">
        <v>3109104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1387000</v>
      </c>
      <c r="U737" s="1">
        <v>0</v>
      </c>
      <c r="V737" s="1">
        <v>10196247</v>
      </c>
      <c r="W737" s="1">
        <v>1900000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2220788</v>
      </c>
      <c r="AF737" s="1">
        <v>0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4585065</v>
      </c>
      <c r="AM737" s="1">
        <v>0</v>
      </c>
      <c r="AN737" s="1">
        <v>0</v>
      </c>
      <c r="AO737" s="1">
        <v>62467612</v>
      </c>
      <c r="AP737" s="1">
        <v>14447015</v>
      </c>
      <c r="AQ737" s="1">
        <v>48020597</v>
      </c>
      <c r="AR737" s="1">
        <v>12493522</v>
      </c>
      <c r="AS737" s="1">
        <v>1874028</v>
      </c>
      <c r="AT737" s="1">
        <f t="shared" si="77"/>
        <v>76835162</v>
      </c>
    </row>
    <row r="738" spans="1:46" x14ac:dyDescent="0.2">
      <c r="A738" s="1" t="str">
        <f>"00848"</f>
        <v>00848</v>
      </c>
      <c r="B738" s="1" t="str">
        <f>"سلمان"</f>
        <v>سلمان</v>
      </c>
      <c r="C738" s="1" t="str">
        <f>"شجاعي خو"</f>
        <v>شجاعي خو</v>
      </c>
      <c r="D738" s="1" t="str">
        <f t="shared" si="80"/>
        <v>قراردادي بهره بردار</v>
      </c>
      <c r="E738" s="1" t="str">
        <f t="shared" si="81"/>
        <v>پروژه تعميرات نيروگاه بوشهر</v>
      </c>
      <c r="F738" s="1">
        <v>12405745</v>
      </c>
      <c r="G738" s="1">
        <v>0</v>
      </c>
      <c r="H738" s="1">
        <v>0</v>
      </c>
      <c r="I738" s="1">
        <v>9347069</v>
      </c>
      <c r="J738" s="1">
        <v>0</v>
      </c>
      <c r="K738" s="1">
        <v>4620000</v>
      </c>
      <c r="L738" s="1">
        <v>0</v>
      </c>
      <c r="M738" s="1">
        <v>1000000</v>
      </c>
      <c r="N738" s="1">
        <v>2060979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1387000</v>
      </c>
      <c r="U738" s="1">
        <v>0</v>
      </c>
      <c r="V738" s="1">
        <v>6765702</v>
      </c>
      <c r="W738" s="1">
        <v>1900000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1472128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6931707</v>
      </c>
      <c r="AM738" s="1">
        <v>0</v>
      </c>
      <c r="AN738" s="1">
        <v>0</v>
      </c>
      <c r="AO738" s="1">
        <v>47890330</v>
      </c>
      <c r="AP738" s="1">
        <v>5661075</v>
      </c>
      <c r="AQ738" s="1">
        <v>42229255</v>
      </c>
      <c r="AR738" s="1">
        <v>9578066</v>
      </c>
      <c r="AS738" s="1">
        <v>1436710</v>
      </c>
      <c r="AT738" s="1">
        <f t="shared" si="77"/>
        <v>58905106</v>
      </c>
    </row>
    <row r="739" spans="1:46" x14ac:dyDescent="0.2">
      <c r="A739" s="1" t="str">
        <f>"00849"</f>
        <v>00849</v>
      </c>
      <c r="B739" s="1" t="str">
        <f>"مرتضي"</f>
        <v>مرتضي</v>
      </c>
      <c r="C739" s="1" t="str">
        <f>"شريفيان"</f>
        <v>شريفيان</v>
      </c>
      <c r="D739" s="1" t="str">
        <f t="shared" si="80"/>
        <v>قراردادي بهره بردار</v>
      </c>
      <c r="E739" s="1" t="str">
        <f t="shared" si="81"/>
        <v>پروژه تعميرات نيروگاه بوشهر</v>
      </c>
      <c r="F739" s="1">
        <v>14423349</v>
      </c>
      <c r="G739" s="1">
        <v>0</v>
      </c>
      <c r="H739" s="1">
        <v>0</v>
      </c>
      <c r="I739" s="1">
        <v>12076916</v>
      </c>
      <c r="J739" s="1">
        <v>0</v>
      </c>
      <c r="K739" s="1">
        <v>4620000</v>
      </c>
      <c r="L739" s="1">
        <v>0</v>
      </c>
      <c r="M739" s="1">
        <v>1000000</v>
      </c>
      <c r="N739" s="1">
        <v>2767141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1387000</v>
      </c>
      <c r="U739" s="1">
        <v>0</v>
      </c>
      <c r="V739" s="1">
        <v>8710239</v>
      </c>
      <c r="W739" s="1">
        <v>1900000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1976529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8348061</v>
      </c>
      <c r="AM739" s="1">
        <v>0</v>
      </c>
      <c r="AN739" s="1">
        <v>0</v>
      </c>
      <c r="AO739" s="1">
        <v>57209235</v>
      </c>
      <c r="AP739" s="1">
        <v>6002405</v>
      </c>
      <c r="AQ739" s="1">
        <v>51206830</v>
      </c>
      <c r="AR739" s="1">
        <v>11441847</v>
      </c>
      <c r="AS739" s="1">
        <v>1716277</v>
      </c>
      <c r="AT739" s="1">
        <f t="shared" si="77"/>
        <v>70367359</v>
      </c>
    </row>
    <row r="740" spans="1:46" x14ac:dyDescent="0.2">
      <c r="A740" s="1" t="str">
        <f>"00850"</f>
        <v>00850</v>
      </c>
      <c r="B740" s="1" t="str">
        <f>"رضا"</f>
        <v>رضا</v>
      </c>
      <c r="C740" s="1" t="str">
        <f>"شکرانه"</f>
        <v>شکرانه</v>
      </c>
      <c r="D740" s="1" t="str">
        <f t="shared" si="80"/>
        <v>قراردادي بهره بردار</v>
      </c>
      <c r="E740" s="1" t="str">
        <f t="shared" si="81"/>
        <v>پروژه تعميرات نيروگاه بوشهر</v>
      </c>
      <c r="F740" s="1">
        <v>13512032</v>
      </c>
      <c r="G740" s="1">
        <v>3684326</v>
      </c>
      <c r="H740" s="1">
        <v>0</v>
      </c>
      <c r="I740" s="1">
        <v>13683373</v>
      </c>
      <c r="J740" s="1">
        <v>0</v>
      </c>
      <c r="K740" s="1">
        <v>4620000</v>
      </c>
      <c r="L740" s="1">
        <v>0</v>
      </c>
      <c r="M740" s="1">
        <v>1000000</v>
      </c>
      <c r="N740" s="1">
        <v>2448180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1387000</v>
      </c>
      <c r="U740" s="1">
        <v>0</v>
      </c>
      <c r="V740" s="1">
        <v>13247862</v>
      </c>
      <c r="W740" s="1">
        <v>1900000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1748700</v>
      </c>
      <c r="AF740" s="1">
        <v>1516881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7572018</v>
      </c>
      <c r="AM740" s="1">
        <v>0</v>
      </c>
      <c r="AN740" s="1">
        <v>0</v>
      </c>
      <c r="AO740" s="1">
        <v>66320372</v>
      </c>
      <c r="AP740" s="1">
        <v>11780791</v>
      </c>
      <c r="AQ740" s="1">
        <v>54539581</v>
      </c>
      <c r="AR740" s="1">
        <v>12960698</v>
      </c>
      <c r="AS740" s="1">
        <v>1944105</v>
      </c>
      <c r="AT740" s="1">
        <f t="shared" si="77"/>
        <v>81225175</v>
      </c>
    </row>
    <row r="741" spans="1:46" x14ac:dyDescent="0.2">
      <c r="A741" s="1" t="str">
        <f>"00851"</f>
        <v>00851</v>
      </c>
      <c r="B741" s="1" t="str">
        <f>"حسن"</f>
        <v>حسن</v>
      </c>
      <c r="C741" s="1" t="str">
        <f>"شيخياني"</f>
        <v>شيخياني</v>
      </c>
      <c r="D741" s="1" t="str">
        <f t="shared" si="80"/>
        <v>قراردادي بهره بردار</v>
      </c>
      <c r="E741" s="1" t="str">
        <f t="shared" si="81"/>
        <v>پروژه تعميرات نيروگاه بوشهر</v>
      </c>
      <c r="F741" s="1">
        <v>18502371</v>
      </c>
      <c r="G741" s="1">
        <v>6909524</v>
      </c>
      <c r="H741" s="1">
        <v>0</v>
      </c>
      <c r="I741" s="1">
        <v>13616950</v>
      </c>
      <c r="J741" s="1">
        <v>0</v>
      </c>
      <c r="K741" s="1">
        <v>5500000</v>
      </c>
      <c r="L741" s="1">
        <v>0</v>
      </c>
      <c r="M741" s="1">
        <v>1000000</v>
      </c>
      <c r="N741" s="1">
        <v>3117538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1387000</v>
      </c>
      <c r="U741" s="1">
        <v>0</v>
      </c>
      <c r="V741" s="1">
        <v>7113688</v>
      </c>
      <c r="W741" s="1">
        <v>1900000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2226813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4381552</v>
      </c>
      <c r="AM741" s="1">
        <v>0</v>
      </c>
      <c r="AN741" s="1">
        <v>0</v>
      </c>
      <c r="AO741" s="1">
        <v>65655436</v>
      </c>
      <c r="AP741" s="1">
        <v>22563143</v>
      </c>
      <c r="AQ741" s="1">
        <v>43092293</v>
      </c>
      <c r="AR741" s="1">
        <v>13131087</v>
      </c>
      <c r="AS741" s="1">
        <v>1969663</v>
      </c>
      <c r="AT741" s="1">
        <f t="shared" si="77"/>
        <v>80756186</v>
      </c>
    </row>
    <row r="742" spans="1:46" x14ac:dyDescent="0.2">
      <c r="A742" s="1" t="str">
        <f>"00852"</f>
        <v>00852</v>
      </c>
      <c r="B742" s="1" t="str">
        <f>"علي"</f>
        <v>علي</v>
      </c>
      <c r="C742" s="1" t="str">
        <f>"صالحي"</f>
        <v>صالحي</v>
      </c>
      <c r="D742" s="1" t="str">
        <f t="shared" si="80"/>
        <v>قراردادي بهره بردار</v>
      </c>
      <c r="E742" s="1" t="str">
        <f t="shared" si="81"/>
        <v>پروژه تعميرات نيروگاه بوشهر</v>
      </c>
      <c r="F742" s="1">
        <v>13593087</v>
      </c>
      <c r="G742" s="1">
        <v>2091784</v>
      </c>
      <c r="H742" s="1">
        <v>0</v>
      </c>
      <c r="I742" s="1">
        <v>10935584</v>
      </c>
      <c r="J742" s="1">
        <v>0</v>
      </c>
      <c r="K742" s="1">
        <v>4620000</v>
      </c>
      <c r="L742" s="1">
        <v>0</v>
      </c>
      <c r="M742" s="1">
        <v>1000000</v>
      </c>
      <c r="N742" s="1">
        <v>2476549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1387000</v>
      </c>
      <c r="U742" s="1">
        <v>0</v>
      </c>
      <c r="V742" s="1">
        <v>13604533</v>
      </c>
      <c r="W742" s="1">
        <v>1900000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1768963</v>
      </c>
      <c r="AF742" s="1">
        <v>1516881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7027221</v>
      </c>
      <c r="AM742" s="1">
        <v>0</v>
      </c>
      <c r="AN742" s="1">
        <v>0</v>
      </c>
      <c r="AO742" s="1">
        <v>61921602</v>
      </c>
      <c r="AP742" s="1">
        <v>27333979</v>
      </c>
      <c r="AQ742" s="1">
        <v>34587623</v>
      </c>
      <c r="AR742" s="1">
        <v>12080944</v>
      </c>
      <c r="AS742" s="1">
        <v>1812142</v>
      </c>
      <c r="AT742" s="1">
        <f t="shared" si="77"/>
        <v>75814688</v>
      </c>
    </row>
    <row r="743" spans="1:46" x14ac:dyDescent="0.2">
      <c r="A743" s="1" t="str">
        <f>"00853"</f>
        <v>00853</v>
      </c>
      <c r="B743" s="1" t="str">
        <f>"مهدي"</f>
        <v>مهدي</v>
      </c>
      <c r="C743" s="1" t="str">
        <f>"صفري"</f>
        <v>صفري</v>
      </c>
      <c r="D743" s="1" t="str">
        <f t="shared" si="80"/>
        <v>قراردادي بهره بردار</v>
      </c>
      <c r="E743" s="1" t="str">
        <f t="shared" si="81"/>
        <v>پروژه تعميرات نيروگاه بوشهر</v>
      </c>
      <c r="F743" s="1">
        <v>14462781</v>
      </c>
      <c r="G743" s="1">
        <v>1044296</v>
      </c>
      <c r="H743" s="1">
        <v>0</v>
      </c>
      <c r="I743" s="1">
        <v>10916981</v>
      </c>
      <c r="J743" s="1">
        <v>0</v>
      </c>
      <c r="K743" s="1">
        <v>4620000</v>
      </c>
      <c r="L743" s="1">
        <v>0</v>
      </c>
      <c r="M743" s="1">
        <v>1000000</v>
      </c>
      <c r="N743" s="1">
        <v>2539421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1387000</v>
      </c>
      <c r="U743" s="1">
        <v>0</v>
      </c>
      <c r="V743" s="1">
        <v>13058085</v>
      </c>
      <c r="W743" s="1">
        <v>1900000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1813872</v>
      </c>
      <c r="AF743" s="1">
        <v>1516881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6539402</v>
      </c>
      <c r="AM743" s="1">
        <v>0</v>
      </c>
      <c r="AN743" s="1">
        <v>0</v>
      </c>
      <c r="AO743" s="1">
        <v>60798719</v>
      </c>
      <c r="AP743" s="1">
        <v>25177727</v>
      </c>
      <c r="AQ743" s="1">
        <v>35620992</v>
      </c>
      <c r="AR743" s="1">
        <v>11856368</v>
      </c>
      <c r="AS743" s="1">
        <v>1778455</v>
      </c>
      <c r="AT743" s="1">
        <f t="shared" si="77"/>
        <v>74433542</v>
      </c>
    </row>
    <row r="744" spans="1:46" x14ac:dyDescent="0.2">
      <c r="A744" s="1" t="str">
        <f>"00854"</f>
        <v>00854</v>
      </c>
      <c r="B744" s="1" t="str">
        <f>"علي"</f>
        <v>علي</v>
      </c>
      <c r="C744" s="1" t="str">
        <f>"عطاپوريان"</f>
        <v>عطاپوريان</v>
      </c>
      <c r="D744" s="1" t="str">
        <f t="shared" si="80"/>
        <v>قراردادي بهره بردار</v>
      </c>
      <c r="E744" s="1" t="str">
        <f t="shared" si="81"/>
        <v>پروژه تعميرات نيروگاه بوشهر</v>
      </c>
      <c r="F744" s="1">
        <v>15704889</v>
      </c>
      <c r="G744" s="1">
        <v>0</v>
      </c>
      <c r="H744" s="1">
        <v>0</v>
      </c>
      <c r="I744" s="1">
        <v>13917996</v>
      </c>
      <c r="J744" s="1">
        <v>0</v>
      </c>
      <c r="K744" s="1">
        <v>4620000</v>
      </c>
      <c r="L744" s="1">
        <v>0</v>
      </c>
      <c r="M744" s="1">
        <v>1000000</v>
      </c>
      <c r="N744" s="1">
        <v>2974159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1387000</v>
      </c>
      <c r="U744" s="1">
        <v>0</v>
      </c>
      <c r="V744" s="1">
        <v>13266598</v>
      </c>
      <c r="W744" s="1">
        <v>1900000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2124399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9135080</v>
      </c>
      <c r="AM744" s="1">
        <v>0</v>
      </c>
      <c r="AN744" s="1">
        <v>0</v>
      </c>
      <c r="AO744" s="1">
        <v>66030121</v>
      </c>
      <c r="AP744" s="1">
        <v>15402055</v>
      </c>
      <c r="AQ744" s="1">
        <v>50628066</v>
      </c>
      <c r="AR744" s="1">
        <v>13206024</v>
      </c>
      <c r="AS744" s="1">
        <v>1980904</v>
      </c>
      <c r="AT744" s="1">
        <f t="shared" si="77"/>
        <v>81217049</v>
      </c>
    </row>
    <row r="745" spans="1:46" x14ac:dyDescent="0.2">
      <c r="A745" s="1" t="str">
        <f>"00855"</f>
        <v>00855</v>
      </c>
      <c r="B745" s="1" t="str">
        <f>"ايوب"</f>
        <v>ايوب</v>
      </c>
      <c r="C745" s="1" t="str">
        <f>"عليزاده"</f>
        <v>عليزاده</v>
      </c>
      <c r="D745" s="1" t="str">
        <f t="shared" si="80"/>
        <v>قراردادي بهره بردار</v>
      </c>
      <c r="E745" s="1" t="str">
        <f t="shared" si="81"/>
        <v>پروژه تعميرات نيروگاه بوشهر</v>
      </c>
      <c r="F745" s="1">
        <v>15785944</v>
      </c>
      <c r="G745" s="1">
        <v>0</v>
      </c>
      <c r="H745" s="1">
        <v>0</v>
      </c>
      <c r="I745" s="1">
        <v>12130636</v>
      </c>
      <c r="J745" s="1">
        <v>0</v>
      </c>
      <c r="K745" s="1">
        <v>3465000</v>
      </c>
      <c r="L745" s="1">
        <v>0</v>
      </c>
      <c r="M745" s="1">
        <v>1000000</v>
      </c>
      <c r="N745" s="1">
        <v>3002528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1387000</v>
      </c>
      <c r="U745" s="1">
        <v>0</v>
      </c>
      <c r="V745" s="1">
        <v>8910790</v>
      </c>
      <c r="W745" s="1">
        <v>1900000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2144663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6984722</v>
      </c>
      <c r="AM745" s="1">
        <v>0</v>
      </c>
      <c r="AN745" s="1">
        <v>0</v>
      </c>
      <c r="AO745" s="1">
        <v>56711283</v>
      </c>
      <c r="AP745" s="1">
        <v>22300248</v>
      </c>
      <c r="AQ745" s="1">
        <v>34411035</v>
      </c>
      <c r="AR745" s="1">
        <v>11342257</v>
      </c>
      <c r="AS745" s="1">
        <v>1701338</v>
      </c>
      <c r="AT745" s="1">
        <f t="shared" si="77"/>
        <v>69754878</v>
      </c>
    </row>
    <row r="746" spans="1:46" x14ac:dyDescent="0.2">
      <c r="A746" s="1" t="str">
        <f>"00856"</f>
        <v>00856</v>
      </c>
      <c r="B746" s="1" t="str">
        <f>"محمد"</f>
        <v>محمد</v>
      </c>
      <c r="C746" s="1" t="str">
        <f>"غلامي مندلي"</f>
        <v>غلامي مندلي</v>
      </c>
      <c r="D746" s="1" t="str">
        <f t="shared" si="80"/>
        <v>قراردادي بهره بردار</v>
      </c>
      <c r="E746" s="1" t="str">
        <f t="shared" si="81"/>
        <v>پروژه تعميرات نيروگاه بوشهر</v>
      </c>
      <c r="F746" s="1">
        <v>13111140</v>
      </c>
      <c r="G746" s="1">
        <v>0</v>
      </c>
      <c r="H746" s="1">
        <v>0</v>
      </c>
      <c r="I746" s="1">
        <v>10411012</v>
      </c>
      <c r="J746" s="1">
        <v>0</v>
      </c>
      <c r="K746" s="1">
        <v>4620000</v>
      </c>
      <c r="L746" s="1">
        <v>0</v>
      </c>
      <c r="M746" s="1">
        <v>1000000</v>
      </c>
      <c r="N746" s="1">
        <v>2307867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1387000</v>
      </c>
      <c r="U746" s="1">
        <v>0</v>
      </c>
      <c r="V746" s="1">
        <v>7845339</v>
      </c>
      <c r="W746" s="1">
        <v>1900000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1648477</v>
      </c>
      <c r="AF746" s="1">
        <v>1516881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8182140</v>
      </c>
      <c r="AM746" s="1">
        <v>0</v>
      </c>
      <c r="AN746" s="1">
        <v>0</v>
      </c>
      <c r="AO746" s="1">
        <v>53929856</v>
      </c>
      <c r="AP746" s="1">
        <v>33072086</v>
      </c>
      <c r="AQ746" s="1">
        <v>20857770</v>
      </c>
      <c r="AR746" s="1">
        <v>10482595</v>
      </c>
      <c r="AS746" s="1">
        <v>1572389</v>
      </c>
      <c r="AT746" s="1">
        <f t="shared" si="77"/>
        <v>65984840</v>
      </c>
    </row>
    <row r="747" spans="1:46" x14ac:dyDescent="0.2">
      <c r="A747" s="1" t="str">
        <f>"00858"</f>
        <v>00858</v>
      </c>
      <c r="B747" s="1" t="str">
        <f>"عرفان"</f>
        <v>عرفان</v>
      </c>
      <c r="C747" s="1" t="str">
        <f>"محمدي"</f>
        <v>محمدي</v>
      </c>
      <c r="D747" s="1" t="str">
        <f t="shared" si="80"/>
        <v>قراردادي بهره بردار</v>
      </c>
      <c r="E747" s="1" t="str">
        <f t="shared" si="81"/>
        <v>پروژه تعميرات نيروگاه بوشهر</v>
      </c>
      <c r="F747" s="1">
        <v>18675433</v>
      </c>
      <c r="G747" s="1">
        <v>1321710</v>
      </c>
      <c r="H747" s="1">
        <v>0</v>
      </c>
      <c r="I747" s="1">
        <v>15117186</v>
      </c>
      <c r="J747" s="1">
        <v>0</v>
      </c>
      <c r="K747" s="1">
        <v>4125000</v>
      </c>
      <c r="L747" s="1">
        <v>0</v>
      </c>
      <c r="M747" s="1">
        <v>1000000</v>
      </c>
      <c r="N747" s="1">
        <v>3178110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1387000</v>
      </c>
      <c r="U747" s="1">
        <v>0</v>
      </c>
      <c r="V747" s="1">
        <v>17192262</v>
      </c>
      <c r="W747" s="1">
        <v>1900000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2270078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6001989</v>
      </c>
      <c r="AM747" s="1">
        <v>0</v>
      </c>
      <c r="AN747" s="1">
        <v>0</v>
      </c>
      <c r="AO747" s="1">
        <v>72168768</v>
      </c>
      <c r="AP747" s="1">
        <v>45562601</v>
      </c>
      <c r="AQ747" s="1">
        <v>26606167</v>
      </c>
      <c r="AR747" s="1">
        <v>14433754</v>
      </c>
      <c r="AS747" s="1">
        <v>2165063</v>
      </c>
      <c r="AT747" s="1">
        <f t="shared" si="77"/>
        <v>88767585</v>
      </c>
    </row>
    <row r="748" spans="1:46" x14ac:dyDescent="0.2">
      <c r="A748" s="1" t="str">
        <f>"00860"</f>
        <v>00860</v>
      </c>
      <c r="B748" s="1" t="str">
        <f>"سيد عبدالحميد"</f>
        <v>سيد عبدالحميد</v>
      </c>
      <c r="C748" s="1" t="str">
        <f>"موسوي"</f>
        <v>موسوي</v>
      </c>
      <c r="D748" s="1" t="str">
        <f t="shared" si="80"/>
        <v>قراردادي بهره بردار</v>
      </c>
      <c r="E748" s="1" t="str">
        <f t="shared" si="81"/>
        <v>پروژه تعميرات نيروگاه بوشهر</v>
      </c>
      <c r="F748" s="1">
        <v>21383097</v>
      </c>
      <c r="G748" s="1">
        <v>8093792</v>
      </c>
      <c r="H748" s="1">
        <v>0</v>
      </c>
      <c r="I748" s="1">
        <v>18170695</v>
      </c>
      <c r="J748" s="1">
        <v>0</v>
      </c>
      <c r="K748" s="1">
        <v>5500000</v>
      </c>
      <c r="L748" s="1">
        <v>0</v>
      </c>
      <c r="M748" s="1">
        <v>1000000</v>
      </c>
      <c r="N748" s="1">
        <v>3746259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1387000</v>
      </c>
      <c r="U748" s="1">
        <v>0</v>
      </c>
      <c r="V748" s="1">
        <v>9208790</v>
      </c>
      <c r="W748" s="1">
        <v>1900000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2675899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5183994</v>
      </c>
      <c r="AM748" s="1">
        <v>0</v>
      </c>
      <c r="AN748" s="1">
        <v>0</v>
      </c>
      <c r="AO748" s="1">
        <v>78249526</v>
      </c>
      <c r="AP748" s="1">
        <v>14708228</v>
      </c>
      <c r="AQ748" s="1">
        <v>63541298</v>
      </c>
      <c r="AR748" s="1">
        <v>15649905</v>
      </c>
      <c r="AS748" s="1">
        <v>2347486</v>
      </c>
      <c r="AT748" s="1">
        <f t="shared" si="77"/>
        <v>96246917</v>
      </c>
    </row>
    <row r="749" spans="1:46" x14ac:dyDescent="0.2">
      <c r="A749" s="1" t="str">
        <f>"00861"</f>
        <v>00861</v>
      </c>
      <c r="B749" s="1" t="str">
        <f>"زين العابدين"</f>
        <v>زين العابدين</v>
      </c>
      <c r="C749" s="1" t="str">
        <f>"ميرکي"</f>
        <v>ميرکي</v>
      </c>
      <c r="D749" s="1" t="str">
        <f t="shared" si="80"/>
        <v>قراردادي بهره بردار</v>
      </c>
      <c r="E749" s="1" t="str">
        <f t="shared" si="81"/>
        <v>پروژه تعميرات نيروگاه بوشهر</v>
      </c>
      <c r="F749" s="1">
        <v>13912924</v>
      </c>
      <c r="G749" s="1">
        <v>0</v>
      </c>
      <c r="H749" s="1">
        <v>0</v>
      </c>
      <c r="I749" s="1">
        <v>11714443</v>
      </c>
      <c r="J749" s="1">
        <v>0</v>
      </c>
      <c r="K749" s="1">
        <v>4620000</v>
      </c>
      <c r="L749" s="1">
        <v>0</v>
      </c>
      <c r="M749" s="1">
        <v>1000000</v>
      </c>
      <c r="N749" s="1">
        <v>2588492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1387000</v>
      </c>
      <c r="U749" s="1">
        <v>0</v>
      </c>
      <c r="V749" s="1">
        <v>11690300</v>
      </c>
      <c r="W749" s="1">
        <v>1900000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1848923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8580841</v>
      </c>
      <c r="AM749" s="1">
        <v>0</v>
      </c>
      <c r="AN749" s="1">
        <v>0</v>
      </c>
      <c r="AO749" s="1">
        <v>59242923</v>
      </c>
      <c r="AP749" s="1">
        <v>19596748</v>
      </c>
      <c r="AQ749" s="1">
        <v>39646175</v>
      </c>
      <c r="AR749" s="1">
        <v>11848585</v>
      </c>
      <c r="AS749" s="1">
        <v>1777288</v>
      </c>
      <c r="AT749" s="1">
        <f t="shared" si="77"/>
        <v>72868796</v>
      </c>
    </row>
    <row r="750" spans="1:46" x14ac:dyDescent="0.2">
      <c r="A750" s="1" t="str">
        <f>"00862"</f>
        <v>00862</v>
      </c>
      <c r="B750" s="1" t="str">
        <f>"محمدجواد"</f>
        <v>محمدجواد</v>
      </c>
      <c r="C750" s="1" t="str">
        <f>"يزدان پناه"</f>
        <v>يزدان پناه</v>
      </c>
      <c r="D750" s="1" t="str">
        <f t="shared" si="80"/>
        <v>قراردادي بهره بردار</v>
      </c>
      <c r="E750" s="1" t="str">
        <f t="shared" si="81"/>
        <v>پروژه تعميرات نيروگاه بوشهر</v>
      </c>
      <c r="F750" s="1">
        <v>17945941</v>
      </c>
      <c r="G750" s="1">
        <v>0</v>
      </c>
      <c r="H750" s="1">
        <v>0</v>
      </c>
      <c r="I750" s="1">
        <v>12709225</v>
      </c>
      <c r="J750" s="1">
        <v>0</v>
      </c>
      <c r="K750" s="1">
        <v>5500000</v>
      </c>
      <c r="L750" s="1">
        <v>0</v>
      </c>
      <c r="M750" s="1">
        <v>1000000</v>
      </c>
      <c r="N750" s="1">
        <v>2922787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1387000</v>
      </c>
      <c r="U750" s="1">
        <v>0</v>
      </c>
      <c r="V750" s="1">
        <v>7961979</v>
      </c>
      <c r="W750" s="1">
        <v>1900000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2087705</v>
      </c>
      <c r="AF750" s="1">
        <v>1516881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4648157</v>
      </c>
      <c r="AM750" s="1">
        <v>0</v>
      </c>
      <c r="AN750" s="1">
        <v>0</v>
      </c>
      <c r="AO750" s="1">
        <v>59579675</v>
      </c>
      <c r="AP750" s="1">
        <v>27426746</v>
      </c>
      <c r="AQ750" s="1">
        <v>32152929</v>
      </c>
      <c r="AR750" s="1">
        <v>11612559</v>
      </c>
      <c r="AS750" s="1">
        <v>1741884</v>
      </c>
      <c r="AT750" s="1">
        <f t="shared" si="77"/>
        <v>72934118</v>
      </c>
    </row>
    <row r="751" spans="1:46" x14ac:dyDescent="0.2">
      <c r="A751" s="1" t="str">
        <f>"00863"</f>
        <v>00863</v>
      </c>
      <c r="B751" s="1" t="str">
        <f>"هادي"</f>
        <v>هادي</v>
      </c>
      <c r="C751" s="1" t="str">
        <f>"آب رخت"</f>
        <v>آب رخت</v>
      </c>
      <c r="D751" s="1" t="str">
        <f t="shared" si="80"/>
        <v>قراردادي بهره بردار</v>
      </c>
      <c r="E751" s="1" t="str">
        <f t="shared" si="81"/>
        <v>پروژه تعميرات نيروگاه بوشهر</v>
      </c>
      <c r="F751" s="1">
        <v>15328095</v>
      </c>
      <c r="G751" s="1">
        <v>0</v>
      </c>
      <c r="H751" s="1">
        <v>0</v>
      </c>
      <c r="I751" s="1">
        <v>13455486</v>
      </c>
      <c r="J751" s="1">
        <v>0</v>
      </c>
      <c r="K751" s="1">
        <v>3465000</v>
      </c>
      <c r="L751" s="1">
        <v>0</v>
      </c>
      <c r="M751" s="1">
        <v>1000000</v>
      </c>
      <c r="N751" s="1">
        <v>2842280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1387000</v>
      </c>
      <c r="U751" s="1">
        <v>0</v>
      </c>
      <c r="V751" s="1">
        <v>16041698</v>
      </c>
      <c r="W751" s="1">
        <v>1900000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2030200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8558935</v>
      </c>
      <c r="AM751" s="1">
        <v>0</v>
      </c>
      <c r="AN751" s="1">
        <v>0</v>
      </c>
      <c r="AO751" s="1">
        <v>66008694</v>
      </c>
      <c r="AP751" s="1">
        <v>27934619</v>
      </c>
      <c r="AQ751" s="1">
        <v>38074075</v>
      </c>
      <c r="AR751" s="1">
        <v>13201739</v>
      </c>
      <c r="AS751" s="1">
        <v>1980261</v>
      </c>
      <c r="AT751" s="1">
        <f t="shared" si="77"/>
        <v>81190694</v>
      </c>
    </row>
    <row r="752" spans="1:46" x14ac:dyDescent="0.2">
      <c r="A752" s="1" t="str">
        <f>"00864"</f>
        <v>00864</v>
      </c>
      <c r="B752" s="1" t="str">
        <f>"مهرداد"</f>
        <v>مهرداد</v>
      </c>
      <c r="C752" s="1" t="str">
        <f>"رحيمي"</f>
        <v>رحيمي</v>
      </c>
      <c r="D752" s="1" t="str">
        <f>"قراردادي کارگري"</f>
        <v>قراردادي کارگري</v>
      </c>
      <c r="E752" s="1" t="str">
        <f>"پروژه بهره برداري نيروگاه بوشهر"</f>
        <v>پروژه بهره برداري نيروگاه بوشهر</v>
      </c>
      <c r="F752" s="1">
        <v>14320388</v>
      </c>
      <c r="G752" s="1">
        <v>2806956</v>
      </c>
      <c r="H752" s="1">
        <v>0</v>
      </c>
      <c r="I752" s="1">
        <v>7146491</v>
      </c>
      <c r="J752" s="1">
        <v>0</v>
      </c>
      <c r="K752" s="1">
        <v>0</v>
      </c>
      <c r="L752" s="1">
        <v>0</v>
      </c>
      <c r="M752" s="1">
        <v>1000000</v>
      </c>
      <c r="N752" s="1">
        <v>1826359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2781719</v>
      </c>
      <c r="W752" s="1">
        <v>1900000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1304542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3219404</v>
      </c>
      <c r="AM752" s="1">
        <v>0</v>
      </c>
      <c r="AN752" s="1">
        <v>0</v>
      </c>
      <c r="AO752" s="1">
        <v>36305859</v>
      </c>
      <c r="AP752" s="1">
        <v>3383855</v>
      </c>
      <c r="AQ752" s="1">
        <v>32922004</v>
      </c>
      <c r="AR752" s="1">
        <v>7261172</v>
      </c>
      <c r="AS752" s="1">
        <v>1089176</v>
      </c>
      <c r="AT752" s="1">
        <f t="shared" si="77"/>
        <v>44656207</v>
      </c>
    </row>
    <row r="753" spans="1:46" x14ac:dyDescent="0.2">
      <c r="A753" s="1" t="str">
        <f>"00865"</f>
        <v>00865</v>
      </c>
      <c r="B753" s="1" t="str">
        <f>"محمد"</f>
        <v>محمد</v>
      </c>
      <c r="C753" s="1" t="str">
        <f>"احمدي"</f>
        <v>احمدي</v>
      </c>
      <c r="D753" s="1" t="str">
        <f t="shared" ref="D753:D770" si="82">"قراردادي بهره بردار"</f>
        <v>قراردادي بهره بردار</v>
      </c>
      <c r="E753" s="1" t="str">
        <f>"پروژه تعميرات نيروگاه بوشهر"</f>
        <v>پروژه تعميرات نيروگاه بوشهر</v>
      </c>
      <c r="F753" s="1">
        <v>18436651</v>
      </c>
      <c r="G753" s="1">
        <v>0</v>
      </c>
      <c r="H753" s="1">
        <v>0</v>
      </c>
      <c r="I753" s="1">
        <v>13933695</v>
      </c>
      <c r="J753" s="1">
        <v>0</v>
      </c>
      <c r="K753" s="1">
        <v>5500000</v>
      </c>
      <c r="L753" s="1">
        <v>0</v>
      </c>
      <c r="M753" s="1">
        <v>1000000</v>
      </c>
      <c r="N753" s="1">
        <v>3094536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1387000</v>
      </c>
      <c r="U753" s="1">
        <v>0</v>
      </c>
      <c r="V753" s="1">
        <v>10247812</v>
      </c>
      <c r="W753" s="1">
        <v>1900000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2210383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4583751</v>
      </c>
      <c r="AM753" s="1">
        <v>0</v>
      </c>
      <c r="AN753" s="1">
        <v>0</v>
      </c>
      <c r="AO753" s="1">
        <v>62293828</v>
      </c>
      <c r="AP753" s="1">
        <v>22015200</v>
      </c>
      <c r="AQ753" s="1">
        <v>40278628</v>
      </c>
      <c r="AR753" s="1">
        <v>12458766</v>
      </c>
      <c r="AS753" s="1">
        <v>1868815</v>
      </c>
      <c r="AT753" s="1">
        <f t="shared" si="77"/>
        <v>76621409</v>
      </c>
    </row>
    <row r="754" spans="1:46" x14ac:dyDescent="0.2">
      <c r="A754" s="1" t="str">
        <f>"00866"</f>
        <v>00866</v>
      </c>
      <c r="B754" s="1" t="str">
        <f>"اميدرضا"</f>
        <v>اميدرضا</v>
      </c>
      <c r="C754" s="1" t="str">
        <f>"ايزدي"</f>
        <v>ايزدي</v>
      </c>
      <c r="D754" s="1" t="str">
        <f t="shared" si="82"/>
        <v>قراردادي بهره بردار</v>
      </c>
      <c r="E754" s="1" t="str">
        <f>"پروژه تعميرات نيروگاه بوشهر"</f>
        <v>پروژه تعميرات نيروگاه بوشهر</v>
      </c>
      <c r="F754" s="1">
        <v>18758679</v>
      </c>
      <c r="G754" s="1">
        <v>0</v>
      </c>
      <c r="H754" s="1">
        <v>0</v>
      </c>
      <c r="I754" s="1">
        <v>14310147</v>
      </c>
      <c r="J754" s="1">
        <v>0</v>
      </c>
      <c r="K754" s="1">
        <v>5500000</v>
      </c>
      <c r="L754" s="1">
        <v>0</v>
      </c>
      <c r="M754" s="1">
        <v>1000000</v>
      </c>
      <c r="N754" s="1">
        <v>3207246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1387000</v>
      </c>
      <c r="U754" s="1">
        <v>0</v>
      </c>
      <c r="V754" s="1">
        <v>8558089</v>
      </c>
      <c r="W754" s="1">
        <v>1900000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2290890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4765138</v>
      </c>
      <c r="AM754" s="1">
        <v>0</v>
      </c>
      <c r="AN754" s="1">
        <v>0</v>
      </c>
      <c r="AO754" s="1">
        <v>61677189</v>
      </c>
      <c r="AP754" s="1">
        <v>8052461</v>
      </c>
      <c r="AQ754" s="1">
        <v>53624728</v>
      </c>
      <c r="AR754" s="1">
        <v>12335438</v>
      </c>
      <c r="AS754" s="1">
        <v>1850316</v>
      </c>
      <c r="AT754" s="1">
        <f t="shared" si="77"/>
        <v>75862943</v>
      </c>
    </row>
    <row r="755" spans="1:46" x14ac:dyDescent="0.2">
      <c r="A755" s="1" t="str">
        <f>"00867"</f>
        <v>00867</v>
      </c>
      <c r="B755" s="1" t="str">
        <f>"سيد محمد علي"</f>
        <v>سيد محمد علي</v>
      </c>
      <c r="C755" s="1" t="str">
        <f>"باقري"</f>
        <v>باقري</v>
      </c>
      <c r="D755" s="1" t="str">
        <f t="shared" si="82"/>
        <v>قراردادي بهره بردار</v>
      </c>
      <c r="E755" s="1" t="str">
        <f>"پروژه تعميرات نيروگاه بوشهر"</f>
        <v>پروژه تعميرات نيروگاه بوشهر</v>
      </c>
      <c r="F755" s="1">
        <v>13196576</v>
      </c>
      <c r="G755" s="1">
        <v>2977197</v>
      </c>
      <c r="H755" s="1">
        <v>0</v>
      </c>
      <c r="I755" s="1">
        <v>10546778</v>
      </c>
      <c r="J755" s="1">
        <v>0</v>
      </c>
      <c r="K755" s="1">
        <v>4620000</v>
      </c>
      <c r="L755" s="1">
        <v>0</v>
      </c>
      <c r="M755" s="1">
        <v>1000000</v>
      </c>
      <c r="N755" s="1">
        <v>2337770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1387000</v>
      </c>
      <c r="U755" s="1">
        <v>0</v>
      </c>
      <c r="V755" s="1">
        <v>14522311</v>
      </c>
      <c r="W755" s="1">
        <v>1900000</v>
      </c>
      <c r="X755" s="1">
        <v>1915632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1669836</v>
      </c>
      <c r="AF755" s="1">
        <v>1516881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10465648</v>
      </c>
      <c r="AM755" s="1">
        <v>0</v>
      </c>
      <c r="AN755" s="1">
        <v>0</v>
      </c>
      <c r="AO755" s="1">
        <v>68055629</v>
      </c>
      <c r="AP755" s="1">
        <v>7674804</v>
      </c>
      <c r="AQ755" s="1">
        <v>60380825</v>
      </c>
      <c r="AR755" s="1">
        <v>13307750</v>
      </c>
      <c r="AS755" s="1">
        <v>1996162</v>
      </c>
      <c r="AT755" s="1">
        <f t="shared" si="77"/>
        <v>83359541</v>
      </c>
    </row>
    <row r="756" spans="1:46" x14ac:dyDescent="0.2">
      <c r="A756" s="1" t="str">
        <f>"00869"</f>
        <v>00869</v>
      </c>
      <c r="B756" s="1" t="str">
        <f>"موسي"</f>
        <v>موسي</v>
      </c>
      <c r="C756" s="1" t="str">
        <f>"خدري"</f>
        <v>خدري</v>
      </c>
      <c r="D756" s="1" t="str">
        <f t="shared" si="82"/>
        <v>قراردادي بهره بردار</v>
      </c>
      <c r="E756" s="1" t="str">
        <f>"پروژه تعميرات نيروگاه بوشهر"</f>
        <v>پروژه تعميرات نيروگاه بوشهر</v>
      </c>
      <c r="F756" s="1">
        <v>18217584</v>
      </c>
      <c r="G756" s="1">
        <v>0</v>
      </c>
      <c r="H756" s="1">
        <v>0</v>
      </c>
      <c r="I756" s="1">
        <v>15419884</v>
      </c>
      <c r="J756" s="1">
        <v>0</v>
      </c>
      <c r="K756" s="1">
        <v>5500000</v>
      </c>
      <c r="L756" s="1">
        <v>0</v>
      </c>
      <c r="M756" s="1">
        <v>1000000</v>
      </c>
      <c r="N756" s="1">
        <v>3017862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1387000</v>
      </c>
      <c r="U756" s="1">
        <v>0</v>
      </c>
      <c r="V756" s="1">
        <v>10272169</v>
      </c>
      <c r="W756" s="1">
        <v>1900000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2155616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8417418</v>
      </c>
      <c r="AM756" s="1">
        <v>0</v>
      </c>
      <c r="AN756" s="1">
        <v>0</v>
      </c>
      <c r="AO756" s="1">
        <v>67287533</v>
      </c>
      <c r="AP756" s="1">
        <v>27245903</v>
      </c>
      <c r="AQ756" s="1">
        <v>40041630</v>
      </c>
      <c r="AR756" s="1">
        <v>13457507</v>
      </c>
      <c r="AS756" s="1">
        <v>2018626</v>
      </c>
      <c r="AT756" s="1">
        <f t="shared" si="77"/>
        <v>82763666</v>
      </c>
    </row>
    <row r="757" spans="1:46" x14ac:dyDescent="0.2">
      <c r="A757" s="1" t="str">
        <f>"00870"</f>
        <v>00870</v>
      </c>
      <c r="B757" s="1" t="str">
        <f>"سينا"</f>
        <v>سينا</v>
      </c>
      <c r="C757" s="1" t="str">
        <f>"دشتستاني نژاد"</f>
        <v>دشتستاني نژاد</v>
      </c>
      <c r="D757" s="1" t="str">
        <f t="shared" si="82"/>
        <v>قراردادي بهره بردار</v>
      </c>
      <c r="E757" s="1" t="str">
        <f>"پروژه تعميرات نيروگاه بوشهر"</f>
        <v>پروژه تعميرات نيروگاه بوشهر</v>
      </c>
      <c r="F757" s="1">
        <v>17796976</v>
      </c>
      <c r="G757" s="1">
        <v>0</v>
      </c>
      <c r="H757" s="1">
        <v>0</v>
      </c>
      <c r="I757" s="1">
        <v>13007224</v>
      </c>
      <c r="J757" s="1">
        <v>0</v>
      </c>
      <c r="K757" s="1">
        <v>4125000</v>
      </c>
      <c r="L757" s="1">
        <v>0</v>
      </c>
      <c r="M757" s="1">
        <v>1000000</v>
      </c>
      <c r="N757" s="1">
        <v>2870650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1387000</v>
      </c>
      <c r="U757" s="1">
        <v>0</v>
      </c>
      <c r="V757" s="1">
        <v>10662962</v>
      </c>
      <c r="W757" s="1">
        <v>1900000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2050464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5286079</v>
      </c>
      <c r="AM757" s="1">
        <v>0</v>
      </c>
      <c r="AN757" s="1">
        <v>0</v>
      </c>
      <c r="AO757" s="1">
        <v>60086355</v>
      </c>
      <c r="AP757" s="1">
        <v>23172476</v>
      </c>
      <c r="AQ757" s="1">
        <v>36913879</v>
      </c>
      <c r="AR757" s="1">
        <v>12017271</v>
      </c>
      <c r="AS757" s="1">
        <v>1802591</v>
      </c>
      <c r="AT757" s="1">
        <f t="shared" si="77"/>
        <v>73906217</v>
      </c>
    </row>
    <row r="758" spans="1:46" x14ac:dyDescent="0.2">
      <c r="A758" s="1" t="str">
        <f>"00871"</f>
        <v>00871</v>
      </c>
      <c r="B758" s="1" t="str">
        <f>"مسعود"</f>
        <v>مسعود</v>
      </c>
      <c r="C758" s="1" t="str">
        <f>"سهرابي تيمورلو"</f>
        <v>سهرابي تيمورلو</v>
      </c>
      <c r="D758" s="1" t="str">
        <f t="shared" si="82"/>
        <v>قراردادي بهره بردار</v>
      </c>
      <c r="E758" s="1" t="str">
        <f>"پروژه بهره برداري نيروگاه بوشهر"</f>
        <v>پروژه بهره برداري نيروگاه بوشهر</v>
      </c>
      <c r="F758" s="1">
        <v>16583347</v>
      </c>
      <c r="G758" s="1">
        <v>7425958</v>
      </c>
      <c r="H758" s="1">
        <v>0</v>
      </c>
      <c r="I758" s="1">
        <v>13044335</v>
      </c>
      <c r="J758" s="1">
        <v>0</v>
      </c>
      <c r="K758" s="1">
        <v>4125000</v>
      </c>
      <c r="L758" s="1">
        <v>0</v>
      </c>
      <c r="M758" s="1">
        <v>1000000</v>
      </c>
      <c r="N758" s="1">
        <v>2618394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1387000</v>
      </c>
      <c r="U758" s="1">
        <v>0</v>
      </c>
      <c r="V758" s="1">
        <v>8001169</v>
      </c>
      <c r="W758" s="1">
        <v>1900000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3384580</v>
      </c>
      <c r="AD758" s="1">
        <v>0</v>
      </c>
      <c r="AE758" s="1">
        <v>1870282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4610477</v>
      </c>
      <c r="AM758" s="1">
        <v>0</v>
      </c>
      <c r="AN758" s="1">
        <v>0</v>
      </c>
      <c r="AO758" s="1">
        <v>65950542</v>
      </c>
      <c r="AP758" s="1">
        <v>25759683</v>
      </c>
      <c r="AQ758" s="1">
        <v>40190859</v>
      </c>
      <c r="AR758" s="1">
        <v>13190108</v>
      </c>
      <c r="AS758" s="1">
        <v>1978516</v>
      </c>
      <c r="AT758" s="1">
        <f t="shared" si="77"/>
        <v>81119166</v>
      </c>
    </row>
    <row r="759" spans="1:46" x14ac:dyDescent="0.2">
      <c r="A759" s="1" t="str">
        <f>"00872"</f>
        <v>00872</v>
      </c>
      <c r="B759" s="1" t="str">
        <f>"سيدرضا"</f>
        <v>سيدرضا</v>
      </c>
      <c r="C759" s="1" t="str">
        <f>"شجاع الدين"</f>
        <v>شجاع الدين</v>
      </c>
      <c r="D759" s="1" t="str">
        <f t="shared" si="82"/>
        <v>قراردادي بهره بردار</v>
      </c>
      <c r="E759" s="1" t="str">
        <f t="shared" ref="E759:E776" si="83">"پروژه تعميرات نيروگاه بوشهر"</f>
        <v>پروژه تعميرات نيروگاه بوشهر</v>
      </c>
      <c r="F759" s="1">
        <v>18158436</v>
      </c>
      <c r="G759" s="1">
        <v>0</v>
      </c>
      <c r="H759" s="1">
        <v>0</v>
      </c>
      <c r="I759" s="1">
        <v>13109691</v>
      </c>
      <c r="J759" s="1">
        <v>0</v>
      </c>
      <c r="K759" s="1">
        <v>5500000</v>
      </c>
      <c r="L759" s="1">
        <v>0</v>
      </c>
      <c r="M759" s="1">
        <v>1000000</v>
      </c>
      <c r="N759" s="1">
        <v>2997161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1387000</v>
      </c>
      <c r="U759" s="1">
        <v>0</v>
      </c>
      <c r="V759" s="1">
        <v>8218654</v>
      </c>
      <c r="W759" s="1">
        <v>1900000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2140829</v>
      </c>
      <c r="AF759" s="1">
        <v>1516881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4687150</v>
      </c>
      <c r="AM759" s="1">
        <v>0</v>
      </c>
      <c r="AN759" s="1">
        <v>0</v>
      </c>
      <c r="AO759" s="1">
        <v>60615802</v>
      </c>
      <c r="AP759" s="1">
        <v>26542025</v>
      </c>
      <c r="AQ759" s="1">
        <v>34073777</v>
      </c>
      <c r="AR759" s="1">
        <v>11819784</v>
      </c>
      <c r="AS759" s="1">
        <v>1772968</v>
      </c>
      <c r="AT759" s="1">
        <f t="shared" si="77"/>
        <v>74208554</v>
      </c>
    </row>
    <row r="760" spans="1:46" x14ac:dyDescent="0.2">
      <c r="A760" s="1" t="str">
        <f>"00873"</f>
        <v>00873</v>
      </c>
      <c r="B760" s="1" t="str">
        <f>"علي"</f>
        <v>علي</v>
      </c>
      <c r="C760" s="1" t="str">
        <f>"شهرياري"</f>
        <v>شهرياري</v>
      </c>
      <c r="D760" s="1" t="str">
        <f t="shared" si="82"/>
        <v>قراردادي بهره بردار</v>
      </c>
      <c r="E760" s="1" t="str">
        <f t="shared" si="83"/>
        <v>پروژه تعميرات نيروگاه بوشهر</v>
      </c>
      <c r="F760" s="1">
        <v>15713652</v>
      </c>
      <c r="G760" s="1">
        <v>0</v>
      </c>
      <c r="H760" s="1">
        <v>0</v>
      </c>
      <c r="I760" s="1">
        <v>12341919</v>
      </c>
      <c r="J760" s="1">
        <v>0</v>
      </c>
      <c r="K760" s="1">
        <v>4620000</v>
      </c>
      <c r="L760" s="1">
        <v>0</v>
      </c>
      <c r="M760" s="1">
        <v>1000000</v>
      </c>
      <c r="N760" s="1">
        <v>2977226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1387000</v>
      </c>
      <c r="U760" s="1">
        <v>0</v>
      </c>
      <c r="V760" s="1">
        <v>8776664</v>
      </c>
      <c r="W760" s="1">
        <v>1900000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2126590</v>
      </c>
      <c r="AF760" s="1">
        <v>1516881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8634250</v>
      </c>
      <c r="AM760" s="1">
        <v>0</v>
      </c>
      <c r="AN760" s="1">
        <v>0</v>
      </c>
      <c r="AO760" s="1">
        <v>60994182</v>
      </c>
      <c r="AP760" s="1">
        <v>21372861</v>
      </c>
      <c r="AQ760" s="1">
        <v>39621321</v>
      </c>
      <c r="AR760" s="1">
        <v>11895460</v>
      </c>
      <c r="AS760" s="1">
        <v>1784319</v>
      </c>
      <c r="AT760" s="1">
        <f t="shared" si="77"/>
        <v>74673961</v>
      </c>
    </row>
    <row r="761" spans="1:46" x14ac:dyDescent="0.2">
      <c r="A761" s="1" t="str">
        <f>"00874"</f>
        <v>00874</v>
      </c>
      <c r="B761" s="1" t="str">
        <f>"مجيد"</f>
        <v>مجيد</v>
      </c>
      <c r="C761" s="1" t="str">
        <f>"صادقي"</f>
        <v>صادقي</v>
      </c>
      <c r="D761" s="1" t="str">
        <f t="shared" si="82"/>
        <v>قراردادي بهره بردار</v>
      </c>
      <c r="E761" s="1" t="str">
        <f t="shared" si="83"/>
        <v>پروژه تعميرات نيروگاه بوشهر</v>
      </c>
      <c r="F761" s="1">
        <v>17893365</v>
      </c>
      <c r="G761" s="1">
        <v>821858</v>
      </c>
      <c r="H761" s="1">
        <v>0</v>
      </c>
      <c r="I761" s="1">
        <v>13387015</v>
      </c>
      <c r="J761" s="1">
        <v>0</v>
      </c>
      <c r="K761" s="1">
        <v>4125000</v>
      </c>
      <c r="L761" s="1">
        <v>0</v>
      </c>
      <c r="M761" s="1">
        <v>1000000</v>
      </c>
      <c r="N761" s="1">
        <v>2904386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1387000</v>
      </c>
      <c r="U761" s="1">
        <v>0</v>
      </c>
      <c r="V761" s="1">
        <v>16035592</v>
      </c>
      <c r="W761" s="1">
        <v>1900000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2074561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5939598</v>
      </c>
      <c r="AM761" s="1">
        <v>0</v>
      </c>
      <c r="AN761" s="1">
        <v>0</v>
      </c>
      <c r="AO761" s="1">
        <v>67468375</v>
      </c>
      <c r="AP761" s="1">
        <v>28396377</v>
      </c>
      <c r="AQ761" s="1">
        <v>39071998</v>
      </c>
      <c r="AR761" s="1">
        <v>13493675</v>
      </c>
      <c r="AS761" s="1">
        <v>2024051</v>
      </c>
      <c r="AT761" s="1">
        <f t="shared" si="77"/>
        <v>82986101</v>
      </c>
    </row>
    <row r="762" spans="1:46" x14ac:dyDescent="0.2">
      <c r="A762" s="1" t="str">
        <f>"00875"</f>
        <v>00875</v>
      </c>
      <c r="B762" s="1" t="str">
        <f>"امين"</f>
        <v>امين</v>
      </c>
      <c r="C762" s="1" t="str">
        <f>"عطايي"</f>
        <v>عطايي</v>
      </c>
      <c r="D762" s="1" t="str">
        <f t="shared" si="82"/>
        <v>قراردادي بهره بردار</v>
      </c>
      <c r="E762" s="1" t="str">
        <f t="shared" si="83"/>
        <v>پروژه تعميرات نيروگاه بوشهر</v>
      </c>
      <c r="F762" s="1">
        <v>20736851</v>
      </c>
      <c r="G762" s="1">
        <v>4287728</v>
      </c>
      <c r="H762" s="1">
        <v>4452000</v>
      </c>
      <c r="I762" s="1">
        <v>15927183</v>
      </c>
      <c r="J762" s="1">
        <v>0</v>
      </c>
      <c r="K762" s="1">
        <v>5500000</v>
      </c>
      <c r="L762" s="1">
        <v>0</v>
      </c>
      <c r="M762" s="1">
        <v>1000000</v>
      </c>
      <c r="N762" s="1">
        <v>3520073</v>
      </c>
      <c r="O762" s="1">
        <v>0</v>
      </c>
      <c r="P762" s="1">
        <v>0</v>
      </c>
      <c r="Q762" s="1">
        <v>0</v>
      </c>
      <c r="R762" s="1">
        <v>0</v>
      </c>
      <c r="S762" s="1">
        <v>1908000</v>
      </c>
      <c r="T762" s="1">
        <v>1387000</v>
      </c>
      <c r="U762" s="1">
        <v>0</v>
      </c>
      <c r="V762" s="1">
        <v>8026223</v>
      </c>
      <c r="W762" s="1">
        <v>1900000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2514338</v>
      </c>
      <c r="AF762" s="1">
        <v>1516881</v>
      </c>
      <c r="AG762" s="1">
        <v>0</v>
      </c>
      <c r="AH762" s="1">
        <v>0</v>
      </c>
      <c r="AI762" s="1">
        <v>0</v>
      </c>
      <c r="AJ762" s="1">
        <v>0</v>
      </c>
      <c r="AK762" s="1">
        <v>8000000</v>
      </c>
      <c r="AL762" s="1">
        <v>4514635</v>
      </c>
      <c r="AM762" s="1">
        <v>0</v>
      </c>
      <c r="AN762" s="1">
        <v>0</v>
      </c>
      <c r="AO762" s="1">
        <v>85190912</v>
      </c>
      <c r="AP762" s="1">
        <v>28607183</v>
      </c>
      <c r="AQ762" s="1">
        <v>56583729</v>
      </c>
      <c r="AR762" s="1">
        <v>13862806</v>
      </c>
      <c r="AS762" s="1">
        <v>2079421</v>
      </c>
      <c r="AT762" s="1">
        <f t="shared" si="77"/>
        <v>101133139</v>
      </c>
    </row>
    <row r="763" spans="1:46" x14ac:dyDescent="0.2">
      <c r="A763" s="1" t="str">
        <f>"00876"</f>
        <v>00876</v>
      </c>
      <c r="B763" s="1" t="str">
        <f>"يحيي"</f>
        <v>يحيي</v>
      </c>
      <c r="C763" s="1" t="str">
        <f>"غلامي"</f>
        <v>غلامي</v>
      </c>
      <c r="D763" s="1" t="str">
        <f t="shared" si="82"/>
        <v>قراردادي بهره بردار</v>
      </c>
      <c r="E763" s="1" t="str">
        <f t="shared" si="83"/>
        <v>پروژه تعميرات نيروگاه بوشهر</v>
      </c>
      <c r="F763" s="1">
        <v>18204440</v>
      </c>
      <c r="G763" s="1">
        <v>0</v>
      </c>
      <c r="H763" s="1">
        <v>0</v>
      </c>
      <c r="I763" s="1">
        <v>14845260</v>
      </c>
      <c r="J763" s="1">
        <v>0</v>
      </c>
      <c r="K763" s="1">
        <v>5500000</v>
      </c>
      <c r="L763" s="1">
        <v>0</v>
      </c>
      <c r="M763" s="1">
        <v>1000000</v>
      </c>
      <c r="N763" s="1">
        <v>3013262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1387000</v>
      </c>
      <c r="U763" s="1">
        <v>0</v>
      </c>
      <c r="V763" s="1">
        <v>9937063</v>
      </c>
      <c r="W763" s="1">
        <v>1900000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2152330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6953176</v>
      </c>
      <c r="AM763" s="1">
        <v>0</v>
      </c>
      <c r="AN763" s="1">
        <v>0</v>
      </c>
      <c r="AO763" s="1">
        <v>64892531</v>
      </c>
      <c r="AP763" s="1">
        <v>34348697</v>
      </c>
      <c r="AQ763" s="1">
        <v>30543834</v>
      </c>
      <c r="AR763" s="1">
        <v>12978506</v>
      </c>
      <c r="AS763" s="1">
        <v>1946776</v>
      </c>
      <c r="AT763" s="1">
        <f t="shared" si="77"/>
        <v>79817813</v>
      </c>
    </row>
    <row r="764" spans="1:46" x14ac:dyDescent="0.2">
      <c r="A764" s="1" t="str">
        <f>"00877"</f>
        <v>00877</v>
      </c>
      <c r="B764" s="1" t="str">
        <f>"مجتبي"</f>
        <v>مجتبي</v>
      </c>
      <c r="C764" s="1" t="str">
        <f>"محمدپور شورباخلو"</f>
        <v>محمدپور شورباخلو</v>
      </c>
      <c r="D764" s="1" t="str">
        <f t="shared" si="82"/>
        <v>قراردادي بهره بردار</v>
      </c>
      <c r="E764" s="1" t="str">
        <f t="shared" si="83"/>
        <v>پروژه تعميرات نيروگاه بوشهر</v>
      </c>
      <c r="F764" s="1">
        <v>18594379</v>
      </c>
      <c r="G764" s="1">
        <v>5699137</v>
      </c>
      <c r="H764" s="1">
        <v>0</v>
      </c>
      <c r="I764" s="1">
        <v>14674185</v>
      </c>
      <c r="J764" s="1">
        <v>0</v>
      </c>
      <c r="K764" s="1">
        <v>4125000</v>
      </c>
      <c r="L764" s="1">
        <v>0</v>
      </c>
      <c r="M764" s="1">
        <v>1000000</v>
      </c>
      <c r="N764" s="1">
        <v>3149741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1387000</v>
      </c>
      <c r="U764" s="1">
        <v>0</v>
      </c>
      <c r="V764" s="1">
        <v>9709443</v>
      </c>
      <c r="W764" s="1">
        <v>1900000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2249815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5465713</v>
      </c>
      <c r="AM764" s="1">
        <v>0</v>
      </c>
      <c r="AN764" s="1">
        <v>0</v>
      </c>
      <c r="AO764" s="1">
        <v>67954413</v>
      </c>
      <c r="AP764" s="1">
        <v>7753869</v>
      </c>
      <c r="AQ764" s="1">
        <v>60200544</v>
      </c>
      <c r="AR764" s="1">
        <v>13590883</v>
      </c>
      <c r="AS764" s="1">
        <v>2038632</v>
      </c>
      <c r="AT764" s="1">
        <f t="shared" si="77"/>
        <v>83583928</v>
      </c>
    </row>
    <row r="765" spans="1:46" x14ac:dyDescent="0.2">
      <c r="A765" s="1" t="str">
        <f>"00878"</f>
        <v>00878</v>
      </c>
      <c r="B765" s="1" t="str">
        <f>"سجاد"</f>
        <v>سجاد</v>
      </c>
      <c r="C765" s="1" t="str">
        <f>"محمدي"</f>
        <v>محمدي</v>
      </c>
      <c r="D765" s="1" t="str">
        <f t="shared" si="82"/>
        <v>قراردادي بهره بردار</v>
      </c>
      <c r="E765" s="1" t="str">
        <f t="shared" si="83"/>
        <v>پروژه تعميرات نيروگاه بوشهر</v>
      </c>
      <c r="F765" s="1">
        <v>18241681</v>
      </c>
      <c r="G765" s="1">
        <v>0</v>
      </c>
      <c r="H765" s="1">
        <v>0</v>
      </c>
      <c r="I765" s="1">
        <v>13040798</v>
      </c>
      <c r="J765" s="1">
        <v>0</v>
      </c>
      <c r="K765" s="1">
        <v>4125000</v>
      </c>
      <c r="L765" s="1">
        <v>0</v>
      </c>
      <c r="M765" s="1">
        <v>1000000</v>
      </c>
      <c r="N765" s="1">
        <v>3026296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1387000</v>
      </c>
      <c r="U765" s="1">
        <v>0</v>
      </c>
      <c r="V765" s="1">
        <v>8132600</v>
      </c>
      <c r="W765" s="1">
        <v>1900000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2161640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4707305</v>
      </c>
      <c r="AM765" s="1">
        <v>0</v>
      </c>
      <c r="AN765" s="1">
        <v>0</v>
      </c>
      <c r="AO765" s="1">
        <v>57722320</v>
      </c>
      <c r="AP765" s="1">
        <v>24164602</v>
      </c>
      <c r="AQ765" s="1">
        <v>33557718</v>
      </c>
      <c r="AR765" s="1">
        <v>11544464</v>
      </c>
      <c r="AS765" s="1">
        <v>1731670</v>
      </c>
      <c r="AT765" s="1">
        <f t="shared" si="77"/>
        <v>70998454</v>
      </c>
    </row>
    <row r="766" spans="1:46" x14ac:dyDescent="0.2">
      <c r="A766" s="1" t="str">
        <f>"00879"</f>
        <v>00879</v>
      </c>
      <c r="B766" s="1" t="str">
        <f>"ايوب"</f>
        <v>ايوب</v>
      </c>
      <c r="C766" s="1" t="str">
        <f>"محمودآبادي"</f>
        <v>محمودآبادي</v>
      </c>
      <c r="D766" s="1" t="str">
        <f t="shared" si="82"/>
        <v>قراردادي بهره بردار</v>
      </c>
      <c r="E766" s="1" t="str">
        <f t="shared" si="83"/>
        <v>پروژه تعميرات نيروگاه بوشهر</v>
      </c>
      <c r="F766" s="1">
        <v>13926068</v>
      </c>
      <c r="G766" s="1">
        <v>322507</v>
      </c>
      <c r="H766" s="1">
        <v>0</v>
      </c>
      <c r="I766" s="1">
        <v>11258050</v>
      </c>
      <c r="J766" s="1">
        <v>0</v>
      </c>
      <c r="K766" s="1">
        <v>3465000</v>
      </c>
      <c r="L766" s="1">
        <v>0</v>
      </c>
      <c r="M766" s="1">
        <v>1000000</v>
      </c>
      <c r="N766" s="1">
        <v>2593092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1387000</v>
      </c>
      <c r="U766" s="1">
        <v>0</v>
      </c>
      <c r="V766" s="1">
        <v>8241682</v>
      </c>
      <c r="W766" s="1">
        <v>1900000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1852209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7832772</v>
      </c>
      <c r="AM766" s="1">
        <v>0</v>
      </c>
      <c r="AN766" s="1">
        <v>0</v>
      </c>
      <c r="AO766" s="1">
        <v>53778380</v>
      </c>
      <c r="AP766" s="1">
        <v>18331181</v>
      </c>
      <c r="AQ766" s="1">
        <v>35447199</v>
      </c>
      <c r="AR766" s="1">
        <v>10755676</v>
      </c>
      <c r="AS766" s="1">
        <v>1613351</v>
      </c>
      <c r="AT766" s="1">
        <f t="shared" si="77"/>
        <v>66147407</v>
      </c>
    </row>
    <row r="767" spans="1:46" x14ac:dyDescent="0.2">
      <c r="A767" s="1" t="str">
        <f>"00880"</f>
        <v>00880</v>
      </c>
      <c r="B767" s="1" t="str">
        <f>"جاويد"</f>
        <v>جاويد</v>
      </c>
      <c r="C767" s="1" t="str">
        <f>"ميرشکاري"</f>
        <v>ميرشکاري</v>
      </c>
      <c r="D767" s="1" t="str">
        <f t="shared" si="82"/>
        <v>قراردادي بهره بردار</v>
      </c>
      <c r="E767" s="1" t="str">
        <f t="shared" si="83"/>
        <v>پروژه تعميرات نيروگاه بوشهر</v>
      </c>
      <c r="F767" s="1">
        <v>13157144</v>
      </c>
      <c r="G767" s="1">
        <v>2224934</v>
      </c>
      <c r="H767" s="1">
        <v>0</v>
      </c>
      <c r="I767" s="1">
        <v>10502405</v>
      </c>
      <c r="J767" s="1">
        <v>0</v>
      </c>
      <c r="K767" s="1">
        <v>3465000</v>
      </c>
      <c r="L767" s="1">
        <v>0</v>
      </c>
      <c r="M767" s="1">
        <v>1000000</v>
      </c>
      <c r="N767" s="1">
        <v>2323969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1387000</v>
      </c>
      <c r="U767" s="1">
        <v>0</v>
      </c>
      <c r="V767" s="1">
        <v>14470519</v>
      </c>
      <c r="W767" s="1">
        <v>1900000</v>
      </c>
      <c r="X767" s="1">
        <v>1909908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1659978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10436818</v>
      </c>
      <c r="AM767" s="1">
        <v>0</v>
      </c>
      <c r="AN767" s="1">
        <v>0</v>
      </c>
      <c r="AO767" s="1">
        <v>64437675</v>
      </c>
      <c r="AP767" s="1">
        <v>22364647</v>
      </c>
      <c r="AQ767" s="1">
        <v>42073028</v>
      </c>
      <c r="AR767" s="1">
        <v>12887535</v>
      </c>
      <c r="AS767" s="1">
        <v>1933130</v>
      </c>
      <c r="AT767" s="1">
        <f t="shared" si="77"/>
        <v>79258340</v>
      </c>
    </row>
    <row r="768" spans="1:46" x14ac:dyDescent="0.2">
      <c r="A768" s="1" t="str">
        <f>"00882"</f>
        <v>00882</v>
      </c>
      <c r="B768" s="1" t="str">
        <f>"امين"</f>
        <v>امين</v>
      </c>
      <c r="C768" s="1" t="str">
        <f>"يزدي"</f>
        <v>يزدي</v>
      </c>
      <c r="D768" s="1" t="str">
        <f t="shared" si="82"/>
        <v>قراردادي بهره بردار</v>
      </c>
      <c r="E768" s="1" t="str">
        <f t="shared" si="83"/>
        <v>پروژه تعميرات نيروگاه بوشهر</v>
      </c>
      <c r="F768" s="1">
        <v>18570281</v>
      </c>
      <c r="G768" s="1">
        <v>0</v>
      </c>
      <c r="H768" s="1">
        <v>0</v>
      </c>
      <c r="I768" s="1">
        <v>13359540</v>
      </c>
      <c r="J768" s="1">
        <v>0</v>
      </c>
      <c r="K768" s="1">
        <v>5500000</v>
      </c>
      <c r="L768" s="1">
        <v>0</v>
      </c>
      <c r="M768" s="1">
        <v>1000000</v>
      </c>
      <c r="N768" s="1">
        <v>3141306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1387000</v>
      </c>
      <c r="U768" s="1">
        <v>0</v>
      </c>
      <c r="V768" s="1">
        <v>8418026</v>
      </c>
      <c r="W768" s="1">
        <v>1900000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2243790</v>
      </c>
      <c r="AF768" s="1">
        <v>3033762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4775215</v>
      </c>
      <c r="AM768" s="1">
        <v>0</v>
      </c>
      <c r="AN768" s="1">
        <v>0</v>
      </c>
      <c r="AO768" s="1">
        <v>63328920</v>
      </c>
      <c r="AP768" s="1">
        <v>26968817</v>
      </c>
      <c r="AQ768" s="1">
        <v>36360103</v>
      </c>
      <c r="AR768" s="1">
        <v>12059032</v>
      </c>
      <c r="AS768" s="1">
        <v>1808855</v>
      </c>
      <c r="AT768" s="1">
        <f t="shared" si="77"/>
        <v>77196807</v>
      </c>
    </row>
    <row r="769" spans="1:46" x14ac:dyDescent="0.2">
      <c r="A769" s="1" t="str">
        <f>"00883"</f>
        <v>00883</v>
      </c>
      <c r="B769" s="1" t="str">
        <f>"حميد"</f>
        <v>حميد</v>
      </c>
      <c r="C769" s="1" t="str">
        <f>"بادروح"</f>
        <v>بادروح</v>
      </c>
      <c r="D769" s="1" t="str">
        <f t="shared" si="82"/>
        <v>قراردادي بهره بردار</v>
      </c>
      <c r="E769" s="1" t="str">
        <f t="shared" si="83"/>
        <v>پروژه تعميرات نيروگاه بوشهر</v>
      </c>
      <c r="F769" s="1">
        <v>18191296</v>
      </c>
      <c r="G769" s="1">
        <v>5102856</v>
      </c>
      <c r="H769" s="1">
        <v>0</v>
      </c>
      <c r="I769" s="1">
        <v>13160685</v>
      </c>
      <c r="J769" s="1">
        <v>0</v>
      </c>
      <c r="K769" s="1">
        <v>4125000</v>
      </c>
      <c r="L769" s="1">
        <v>0</v>
      </c>
      <c r="M769" s="1">
        <v>1000000</v>
      </c>
      <c r="N769" s="1">
        <v>3008662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1387000</v>
      </c>
      <c r="U769" s="1">
        <v>0</v>
      </c>
      <c r="V769" s="1">
        <v>6916616</v>
      </c>
      <c r="W769" s="1">
        <v>1900000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2149044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4783540</v>
      </c>
      <c r="AM769" s="1">
        <v>0</v>
      </c>
      <c r="AN769" s="1">
        <v>0</v>
      </c>
      <c r="AO769" s="1">
        <v>61724699</v>
      </c>
      <c r="AP769" s="1">
        <v>23137331</v>
      </c>
      <c r="AQ769" s="1">
        <v>38587368</v>
      </c>
      <c r="AR769" s="1">
        <v>12344940</v>
      </c>
      <c r="AS769" s="1">
        <v>1851741</v>
      </c>
      <c r="AT769" s="1">
        <f t="shared" si="77"/>
        <v>75921380</v>
      </c>
    </row>
    <row r="770" spans="1:46" x14ac:dyDescent="0.2">
      <c r="A770" s="1" t="str">
        <f>"00884"</f>
        <v>00884</v>
      </c>
      <c r="B770" s="1" t="str">
        <f>"صادق"</f>
        <v>صادق</v>
      </c>
      <c r="C770" s="1" t="str">
        <f>"بناري"</f>
        <v>بناري</v>
      </c>
      <c r="D770" s="1" t="str">
        <f t="shared" si="82"/>
        <v>قراردادي بهره بردار</v>
      </c>
      <c r="E770" s="1" t="str">
        <f t="shared" si="83"/>
        <v>پروژه تعميرات نيروگاه بوشهر</v>
      </c>
      <c r="F770" s="1">
        <v>18866021</v>
      </c>
      <c r="G770" s="1">
        <v>5437222</v>
      </c>
      <c r="H770" s="1">
        <v>0</v>
      </c>
      <c r="I770" s="1">
        <v>14619945</v>
      </c>
      <c r="J770" s="1">
        <v>0</v>
      </c>
      <c r="K770" s="1">
        <v>4125000</v>
      </c>
      <c r="L770" s="1">
        <v>0</v>
      </c>
      <c r="M770" s="1">
        <v>1000000</v>
      </c>
      <c r="N770" s="1">
        <v>3244815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1387000</v>
      </c>
      <c r="U770" s="1">
        <v>0</v>
      </c>
      <c r="V770" s="1">
        <v>7369828</v>
      </c>
      <c r="W770" s="1">
        <v>1900000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2317725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4950469</v>
      </c>
      <c r="AM770" s="1">
        <v>0</v>
      </c>
      <c r="AN770" s="1">
        <v>0</v>
      </c>
      <c r="AO770" s="1">
        <v>65218025</v>
      </c>
      <c r="AP770" s="1">
        <v>25761321</v>
      </c>
      <c r="AQ770" s="1">
        <v>39456704</v>
      </c>
      <c r="AR770" s="1">
        <v>13043605</v>
      </c>
      <c r="AS770" s="1">
        <v>1956541</v>
      </c>
      <c r="AT770" s="1">
        <f t="shared" si="77"/>
        <v>80218171</v>
      </c>
    </row>
    <row r="771" spans="1:46" x14ac:dyDescent="0.2">
      <c r="A771" s="1" t="str">
        <f>"00886"</f>
        <v>00886</v>
      </c>
      <c r="B771" s="1" t="str">
        <f>"سيد محمد علي"</f>
        <v>سيد محمد علي</v>
      </c>
      <c r="C771" s="1" t="str">
        <f>"مير بهرسي"</f>
        <v>مير بهرسي</v>
      </c>
      <c r="D771" s="1" t="str">
        <f>"قراردادي کارگري"</f>
        <v>قراردادي کارگري</v>
      </c>
      <c r="E771" s="1" t="str">
        <f t="shared" si="83"/>
        <v>پروژه تعميرات نيروگاه بوشهر</v>
      </c>
      <c r="F771" s="1">
        <v>7989359</v>
      </c>
      <c r="G771" s="1">
        <v>0</v>
      </c>
      <c r="H771" s="1">
        <v>0</v>
      </c>
      <c r="I771" s="1">
        <v>5752338</v>
      </c>
      <c r="J771" s="1">
        <v>0</v>
      </c>
      <c r="K771" s="1">
        <v>0</v>
      </c>
      <c r="L771" s="1">
        <v>7628143</v>
      </c>
      <c r="M771" s="1">
        <v>1000000</v>
      </c>
      <c r="N771" s="1">
        <v>4204926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8928574</v>
      </c>
      <c r="W771" s="1">
        <v>1900000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3033762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40437102</v>
      </c>
      <c r="AP771" s="1">
        <v>9221885</v>
      </c>
      <c r="AQ771" s="1">
        <v>31215217</v>
      </c>
      <c r="AR771" s="1">
        <v>7480668</v>
      </c>
      <c r="AS771" s="1">
        <v>1122100</v>
      </c>
      <c r="AT771" s="1">
        <f t="shared" ref="AT771:AT834" si="84">AO771+AR771+AS771</f>
        <v>49039870</v>
      </c>
    </row>
    <row r="772" spans="1:46" x14ac:dyDescent="0.2">
      <c r="A772" s="1" t="str">
        <f>"00887"</f>
        <v>00887</v>
      </c>
      <c r="B772" s="1" t="str">
        <f>"عبدالحسين"</f>
        <v>عبدالحسين</v>
      </c>
      <c r="C772" s="1" t="str">
        <f>"بچاچري نژاد"</f>
        <v>بچاچري نژاد</v>
      </c>
      <c r="D772" s="1" t="str">
        <f>"قراردادي کارگري"</f>
        <v>قراردادي کارگري</v>
      </c>
      <c r="E772" s="1" t="str">
        <f t="shared" si="83"/>
        <v>پروژه تعميرات نيروگاه بوشهر</v>
      </c>
      <c r="F772" s="1">
        <v>9586792</v>
      </c>
      <c r="G772" s="1">
        <v>0</v>
      </c>
      <c r="H772" s="1">
        <v>0</v>
      </c>
      <c r="I772" s="1">
        <v>6902490</v>
      </c>
      <c r="J772" s="1">
        <v>0</v>
      </c>
      <c r="K772" s="1">
        <v>0</v>
      </c>
      <c r="L772" s="1">
        <v>7628143</v>
      </c>
      <c r="M772" s="1">
        <v>1000000</v>
      </c>
      <c r="N772" s="1">
        <v>5112956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9668115</v>
      </c>
      <c r="W772" s="1">
        <v>1900000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4550643</v>
      </c>
      <c r="AG772" s="1">
        <v>0</v>
      </c>
      <c r="AH772" s="1">
        <v>0</v>
      </c>
      <c r="AI772" s="1">
        <v>0</v>
      </c>
      <c r="AJ772" s="1">
        <v>5270119</v>
      </c>
      <c r="AK772" s="1">
        <v>0</v>
      </c>
      <c r="AL772" s="1">
        <v>0</v>
      </c>
      <c r="AM772" s="1">
        <v>0</v>
      </c>
      <c r="AN772" s="1">
        <v>2923038</v>
      </c>
      <c r="AO772" s="1">
        <v>54542296</v>
      </c>
      <c r="AP772" s="1">
        <v>5419704</v>
      </c>
      <c r="AQ772" s="1">
        <v>49122592</v>
      </c>
      <c r="AR772" s="1">
        <v>9998331</v>
      </c>
      <c r="AS772" s="1">
        <v>1499750</v>
      </c>
      <c r="AT772" s="1">
        <f t="shared" si="84"/>
        <v>66040377</v>
      </c>
    </row>
    <row r="773" spans="1:46" x14ac:dyDescent="0.2">
      <c r="A773" s="1" t="str">
        <f>"00888"</f>
        <v>00888</v>
      </c>
      <c r="B773" s="1" t="str">
        <f>"جواد"</f>
        <v>جواد</v>
      </c>
      <c r="C773" s="1" t="str">
        <f>"رحيم زاده کچوئي"</f>
        <v>رحيم زاده کچوئي</v>
      </c>
      <c r="D773" s="1" t="str">
        <f>"قراردادي بهره بردار"</f>
        <v>قراردادي بهره بردار</v>
      </c>
      <c r="E773" s="1" t="str">
        <f t="shared" si="83"/>
        <v>پروژه تعميرات نيروگاه بوشهر</v>
      </c>
      <c r="F773" s="1">
        <v>15363145</v>
      </c>
      <c r="G773" s="1">
        <v>0</v>
      </c>
      <c r="H773" s="1">
        <v>0</v>
      </c>
      <c r="I773" s="1">
        <v>10877088</v>
      </c>
      <c r="J773" s="1">
        <v>0</v>
      </c>
      <c r="K773" s="1">
        <v>4620000</v>
      </c>
      <c r="L773" s="1">
        <v>0</v>
      </c>
      <c r="M773" s="1">
        <v>1000000</v>
      </c>
      <c r="N773" s="1">
        <v>2498017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1387000</v>
      </c>
      <c r="U773" s="1">
        <v>0</v>
      </c>
      <c r="V773" s="1">
        <v>8071014</v>
      </c>
      <c r="W773" s="1">
        <v>1900000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1784298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6163879</v>
      </c>
      <c r="AM773" s="1">
        <v>0</v>
      </c>
      <c r="AN773" s="1">
        <v>0</v>
      </c>
      <c r="AO773" s="1">
        <v>53664441</v>
      </c>
      <c r="AP773" s="1">
        <v>21946520</v>
      </c>
      <c r="AQ773" s="1">
        <v>31717921</v>
      </c>
      <c r="AR773" s="1">
        <v>10732888</v>
      </c>
      <c r="AS773" s="1">
        <v>1609933</v>
      </c>
      <c r="AT773" s="1">
        <f t="shared" si="84"/>
        <v>66007262</v>
      </c>
    </row>
    <row r="774" spans="1:46" x14ac:dyDescent="0.2">
      <c r="A774" s="1" t="str">
        <f>"00890"</f>
        <v>00890</v>
      </c>
      <c r="B774" s="1" t="str">
        <f>"محمدرضا"</f>
        <v>محمدرضا</v>
      </c>
      <c r="C774" s="1" t="str">
        <f>"راه پيماي فرد حقيقي"</f>
        <v>راه پيماي فرد حقيقي</v>
      </c>
      <c r="D774" s="1" t="str">
        <f>"قراردادي کارگري"</f>
        <v>قراردادي کارگري</v>
      </c>
      <c r="E774" s="1" t="str">
        <f t="shared" si="83"/>
        <v>پروژه تعميرات نيروگاه بوشهر</v>
      </c>
      <c r="F774" s="1">
        <v>9558559</v>
      </c>
      <c r="G774" s="1">
        <v>2707389</v>
      </c>
      <c r="H774" s="1">
        <v>0</v>
      </c>
      <c r="I774" s="1">
        <v>5735135</v>
      </c>
      <c r="J774" s="1">
        <v>0</v>
      </c>
      <c r="K774" s="1">
        <v>0</v>
      </c>
      <c r="L774" s="1">
        <v>7628143</v>
      </c>
      <c r="M774" s="1">
        <v>1000000</v>
      </c>
      <c r="N774" s="1">
        <v>5064137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6893637</v>
      </c>
      <c r="W774" s="1">
        <v>1900000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0</v>
      </c>
      <c r="AF774" s="1">
        <v>1516881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42003881</v>
      </c>
      <c r="AP774" s="1">
        <v>6533281</v>
      </c>
      <c r="AQ774" s="1">
        <v>35470600</v>
      </c>
      <c r="AR774" s="1">
        <v>8097400</v>
      </c>
      <c r="AS774" s="1">
        <v>1214610</v>
      </c>
      <c r="AT774" s="1">
        <f t="shared" si="84"/>
        <v>51315891</v>
      </c>
    </row>
    <row r="775" spans="1:46" x14ac:dyDescent="0.2">
      <c r="A775" s="1" t="str">
        <f>"00891"</f>
        <v>00891</v>
      </c>
      <c r="B775" s="1" t="str">
        <f>"غلامرضا"</f>
        <v>غلامرضا</v>
      </c>
      <c r="C775" s="1" t="str">
        <f>"مسافر"</f>
        <v>مسافر</v>
      </c>
      <c r="D775" s="1" t="str">
        <f>"قراردادي کارگري"</f>
        <v>قراردادي کارگري</v>
      </c>
      <c r="E775" s="1" t="str">
        <f t="shared" si="83"/>
        <v>پروژه تعميرات نيروگاه بوشهر</v>
      </c>
      <c r="F775" s="1">
        <v>5663876</v>
      </c>
      <c r="G775" s="1">
        <v>0</v>
      </c>
      <c r="H775" s="1">
        <v>0</v>
      </c>
      <c r="I775" s="1">
        <v>3398325</v>
      </c>
      <c r="J775" s="1">
        <v>0</v>
      </c>
      <c r="K775" s="1">
        <v>0</v>
      </c>
      <c r="L775" s="1">
        <v>7672721</v>
      </c>
      <c r="M775" s="1">
        <v>1000000</v>
      </c>
      <c r="N775" s="1">
        <v>2813182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6988880</v>
      </c>
      <c r="W775" s="1">
        <v>1900000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1516881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30953865</v>
      </c>
      <c r="AP775" s="1">
        <v>3126589</v>
      </c>
      <c r="AQ775" s="1">
        <v>27827276</v>
      </c>
      <c r="AR775" s="1">
        <v>5887397</v>
      </c>
      <c r="AS775" s="1">
        <v>883110</v>
      </c>
      <c r="AT775" s="1">
        <f t="shared" si="84"/>
        <v>37724372</v>
      </c>
    </row>
    <row r="776" spans="1:46" x14ac:dyDescent="0.2">
      <c r="A776" s="1" t="str">
        <f>"00892"</f>
        <v>00892</v>
      </c>
      <c r="B776" s="1" t="str">
        <f>"اسلام"</f>
        <v>اسلام</v>
      </c>
      <c r="C776" s="1" t="str">
        <f>"دست نشان"</f>
        <v>دست نشان</v>
      </c>
      <c r="D776" s="1" t="str">
        <f>"قراردادي کارگري"</f>
        <v>قراردادي کارگري</v>
      </c>
      <c r="E776" s="1" t="str">
        <f t="shared" si="83"/>
        <v>پروژه تعميرات نيروگاه بوشهر</v>
      </c>
      <c r="F776" s="1">
        <v>8712854</v>
      </c>
      <c r="G776" s="1">
        <v>993302</v>
      </c>
      <c r="H776" s="1">
        <v>0</v>
      </c>
      <c r="I776" s="1">
        <v>5227712</v>
      </c>
      <c r="J776" s="1">
        <v>0</v>
      </c>
      <c r="K776" s="1">
        <v>0</v>
      </c>
      <c r="L776" s="1">
        <v>7628143</v>
      </c>
      <c r="M776" s="1">
        <v>1000000</v>
      </c>
      <c r="N776" s="1">
        <v>4585712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9036838</v>
      </c>
      <c r="W776" s="1">
        <v>1900000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0</v>
      </c>
      <c r="AF776" s="1">
        <v>3033762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42118323</v>
      </c>
      <c r="AP776" s="1">
        <v>12840158</v>
      </c>
      <c r="AQ776" s="1">
        <v>29278165</v>
      </c>
      <c r="AR776" s="1">
        <v>7816912</v>
      </c>
      <c r="AS776" s="1">
        <v>1172537</v>
      </c>
      <c r="AT776" s="1">
        <f t="shared" si="84"/>
        <v>51107772</v>
      </c>
    </row>
    <row r="777" spans="1:46" x14ac:dyDescent="0.2">
      <c r="A777" s="1" t="str">
        <f>"00893"</f>
        <v>00893</v>
      </c>
      <c r="B777" s="1" t="str">
        <f>"يعقوب"</f>
        <v>يعقوب</v>
      </c>
      <c r="C777" s="1" t="str">
        <f>"صفوي"</f>
        <v>صفوي</v>
      </c>
      <c r="D777" s="1" t="str">
        <f t="shared" ref="D777:D795" si="85">"قراردادي بهره بردار"</f>
        <v>قراردادي بهره بردار</v>
      </c>
      <c r="E777" s="1" t="str">
        <f t="shared" ref="E777:E795" si="86">"پروژه بهره برداري نيروگاه بوشهر"</f>
        <v>پروژه بهره برداري نيروگاه بوشهر</v>
      </c>
      <c r="F777" s="1">
        <v>17873649</v>
      </c>
      <c r="G777" s="1">
        <v>8071488</v>
      </c>
      <c r="H777" s="1">
        <v>0</v>
      </c>
      <c r="I777" s="1">
        <v>14485846</v>
      </c>
      <c r="J777" s="1">
        <v>0</v>
      </c>
      <c r="K777" s="1">
        <v>5500000</v>
      </c>
      <c r="L777" s="1">
        <v>0</v>
      </c>
      <c r="M777" s="1">
        <v>1000000</v>
      </c>
      <c r="N777" s="1">
        <v>2897485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1606000</v>
      </c>
      <c r="U777" s="1">
        <v>0</v>
      </c>
      <c r="V777" s="1">
        <v>12407412</v>
      </c>
      <c r="W777" s="1">
        <v>1900000</v>
      </c>
      <c r="X777" s="1">
        <v>2594562</v>
      </c>
      <c r="Y777" s="1">
        <v>0</v>
      </c>
      <c r="Z777" s="1">
        <v>0</v>
      </c>
      <c r="AA777" s="1">
        <v>0</v>
      </c>
      <c r="AB777" s="1">
        <v>0</v>
      </c>
      <c r="AC777" s="1">
        <v>3877480</v>
      </c>
      <c r="AD777" s="1">
        <v>0</v>
      </c>
      <c r="AE777" s="1">
        <v>2069632</v>
      </c>
      <c r="AF777" s="1">
        <v>3033762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17878819</v>
      </c>
      <c r="AM777" s="1">
        <v>0</v>
      </c>
      <c r="AN777" s="1">
        <v>0</v>
      </c>
      <c r="AO777" s="1">
        <v>95196135</v>
      </c>
      <c r="AP777" s="1">
        <v>12487181</v>
      </c>
      <c r="AQ777" s="1">
        <v>82708954</v>
      </c>
      <c r="AR777" s="1">
        <v>18432475</v>
      </c>
      <c r="AS777" s="1">
        <v>2764871</v>
      </c>
      <c r="AT777" s="1">
        <f t="shared" si="84"/>
        <v>116393481</v>
      </c>
    </row>
    <row r="778" spans="1:46" x14ac:dyDescent="0.2">
      <c r="A778" s="1" t="str">
        <f>"00895"</f>
        <v>00895</v>
      </c>
      <c r="B778" s="1" t="str">
        <f>"رضا"</f>
        <v>رضا</v>
      </c>
      <c r="C778" s="1" t="str">
        <f>"ولي"</f>
        <v>ولي</v>
      </c>
      <c r="D778" s="1" t="str">
        <f t="shared" si="85"/>
        <v>قراردادي بهره بردار</v>
      </c>
      <c r="E778" s="1" t="str">
        <f t="shared" si="86"/>
        <v>پروژه بهره برداري نيروگاه بوشهر</v>
      </c>
      <c r="F778" s="1">
        <v>17799167</v>
      </c>
      <c r="G778" s="1">
        <v>3631418</v>
      </c>
      <c r="H778" s="1">
        <v>0</v>
      </c>
      <c r="I778" s="1">
        <v>13293511</v>
      </c>
      <c r="J778" s="1">
        <v>0</v>
      </c>
      <c r="K778" s="1">
        <v>5500000</v>
      </c>
      <c r="L778" s="1">
        <v>0</v>
      </c>
      <c r="M778" s="1">
        <v>1000000</v>
      </c>
      <c r="N778" s="1">
        <v>2871416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1387000</v>
      </c>
      <c r="U778" s="1">
        <v>0</v>
      </c>
      <c r="V778" s="1">
        <v>18542941</v>
      </c>
      <c r="W778" s="1">
        <v>1900000</v>
      </c>
      <c r="X778" s="1">
        <v>2583750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2051012</v>
      </c>
      <c r="AF778" s="1">
        <v>1516881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9769935</v>
      </c>
      <c r="AM778" s="1">
        <v>0</v>
      </c>
      <c r="AN778" s="1">
        <v>0</v>
      </c>
      <c r="AO778" s="1">
        <v>81847031</v>
      </c>
      <c r="AP778" s="1">
        <v>24581292</v>
      </c>
      <c r="AQ778" s="1">
        <v>57265739</v>
      </c>
      <c r="AR778" s="1">
        <v>16066030</v>
      </c>
      <c r="AS778" s="1">
        <v>2409905</v>
      </c>
      <c r="AT778" s="1">
        <f t="shared" si="84"/>
        <v>100322966</v>
      </c>
    </row>
    <row r="779" spans="1:46" x14ac:dyDescent="0.2">
      <c r="A779" s="1" t="str">
        <f>"00896"</f>
        <v>00896</v>
      </c>
      <c r="B779" s="1" t="str">
        <f>"سيدجاسم"</f>
        <v>سيدجاسم</v>
      </c>
      <c r="C779" s="1" t="str">
        <f>"حسيني"</f>
        <v>حسيني</v>
      </c>
      <c r="D779" s="1" t="str">
        <f t="shared" si="85"/>
        <v>قراردادي بهره بردار</v>
      </c>
      <c r="E779" s="1" t="str">
        <f t="shared" si="86"/>
        <v>پروژه بهره برداري نيروگاه بوشهر</v>
      </c>
      <c r="F779" s="1">
        <v>17628295</v>
      </c>
      <c r="G779" s="1">
        <v>2332749</v>
      </c>
      <c r="H779" s="1">
        <v>0</v>
      </c>
      <c r="I779" s="1">
        <v>13028665</v>
      </c>
      <c r="J779" s="1">
        <v>0</v>
      </c>
      <c r="K779" s="1">
        <v>0</v>
      </c>
      <c r="L779" s="1">
        <v>0</v>
      </c>
      <c r="M779" s="1">
        <v>1000000</v>
      </c>
      <c r="N779" s="1">
        <v>2811611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1387000</v>
      </c>
      <c r="U779" s="1">
        <v>0</v>
      </c>
      <c r="V779" s="1">
        <v>13592747</v>
      </c>
      <c r="W779" s="1">
        <v>1900000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2008294</v>
      </c>
      <c r="AF779" s="1">
        <v>1516881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6027707</v>
      </c>
      <c r="AM779" s="1">
        <v>0</v>
      </c>
      <c r="AN779" s="1">
        <v>0</v>
      </c>
      <c r="AO779" s="1">
        <v>63233949</v>
      </c>
      <c r="AP779" s="1">
        <v>16149542</v>
      </c>
      <c r="AQ779" s="1">
        <v>47084407</v>
      </c>
      <c r="AR779" s="1">
        <v>12343414</v>
      </c>
      <c r="AS779" s="1">
        <v>1851512</v>
      </c>
      <c r="AT779" s="1">
        <f t="shared" si="84"/>
        <v>77428875</v>
      </c>
    </row>
    <row r="780" spans="1:46" x14ac:dyDescent="0.2">
      <c r="A780" s="1" t="str">
        <f>"00897"</f>
        <v>00897</v>
      </c>
      <c r="B780" s="1" t="str">
        <f>"اکبر"</f>
        <v>اکبر</v>
      </c>
      <c r="C780" s="1" t="str">
        <f>"بهاروند"</f>
        <v>بهاروند</v>
      </c>
      <c r="D780" s="1" t="str">
        <f t="shared" si="85"/>
        <v>قراردادي بهره بردار</v>
      </c>
      <c r="E780" s="1" t="str">
        <f t="shared" si="86"/>
        <v>پروژه بهره برداري نيروگاه بوشهر</v>
      </c>
      <c r="F780" s="1">
        <v>12195441</v>
      </c>
      <c r="G780" s="1">
        <v>1330194</v>
      </c>
      <c r="H780" s="1">
        <v>0</v>
      </c>
      <c r="I780" s="1">
        <v>8532295</v>
      </c>
      <c r="J780" s="1">
        <v>0</v>
      </c>
      <c r="K780" s="1">
        <v>4620000</v>
      </c>
      <c r="L780" s="1">
        <v>0</v>
      </c>
      <c r="M780" s="1">
        <v>1000000</v>
      </c>
      <c r="N780" s="1">
        <v>1987373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1606000</v>
      </c>
      <c r="U780" s="1">
        <v>0</v>
      </c>
      <c r="V780" s="1">
        <v>13703556</v>
      </c>
      <c r="W780" s="1">
        <v>1900000</v>
      </c>
      <c r="X780" s="1">
        <v>1770306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1419552</v>
      </c>
      <c r="AF780" s="1">
        <v>1516881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9288646</v>
      </c>
      <c r="AM780" s="1">
        <v>0</v>
      </c>
      <c r="AN780" s="1">
        <v>0</v>
      </c>
      <c r="AO780" s="1">
        <v>60870244</v>
      </c>
      <c r="AP780" s="1">
        <v>17863691</v>
      </c>
      <c r="AQ780" s="1">
        <v>43006553</v>
      </c>
      <c r="AR780" s="1">
        <v>11870673</v>
      </c>
      <c r="AS780" s="1">
        <v>1780601</v>
      </c>
      <c r="AT780" s="1">
        <f t="shared" si="84"/>
        <v>74521518</v>
      </c>
    </row>
    <row r="781" spans="1:46" x14ac:dyDescent="0.2">
      <c r="A781" s="1" t="str">
        <f>"00898"</f>
        <v>00898</v>
      </c>
      <c r="B781" s="1" t="str">
        <f>"محمدرضا"</f>
        <v>محمدرضا</v>
      </c>
      <c r="C781" s="1" t="str">
        <f>"آزادمنش"</f>
        <v>آزادمنش</v>
      </c>
      <c r="D781" s="1" t="str">
        <f t="shared" si="85"/>
        <v>قراردادي بهره بردار</v>
      </c>
      <c r="E781" s="1" t="str">
        <f t="shared" si="86"/>
        <v>پروژه بهره برداري نيروگاه بوشهر</v>
      </c>
      <c r="F781" s="1">
        <v>14353248</v>
      </c>
      <c r="G781" s="1">
        <v>5368868</v>
      </c>
      <c r="H781" s="1">
        <v>0</v>
      </c>
      <c r="I781" s="1">
        <v>11432143</v>
      </c>
      <c r="J781" s="1">
        <v>0</v>
      </c>
      <c r="K781" s="1">
        <v>4620000</v>
      </c>
      <c r="L781" s="1">
        <v>0</v>
      </c>
      <c r="M781" s="1">
        <v>1000000</v>
      </c>
      <c r="N781" s="1">
        <v>2742605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1606000</v>
      </c>
      <c r="U781" s="1">
        <v>0</v>
      </c>
      <c r="V781" s="1">
        <v>9146773</v>
      </c>
      <c r="W781" s="1">
        <v>1900000</v>
      </c>
      <c r="X781" s="1">
        <v>2083536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1959004</v>
      </c>
      <c r="AF781" s="1">
        <v>1516881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11089243</v>
      </c>
      <c r="AM781" s="1">
        <v>0</v>
      </c>
      <c r="AN781" s="1">
        <v>0</v>
      </c>
      <c r="AO781" s="1">
        <v>68818301</v>
      </c>
      <c r="AP781" s="1">
        <v>7771219</v>
      </c>
      <c r="AQ781" s="1">
        <v>61047082</v>
      </c>
      <c r="AR781" s="1">
        <v>13460284</v>
      </c>
      <c r="AS781" s="1">
        <v>2019043</v>
      </c>
      <c r="AT781" s="1">
        <f t="shared" si="84"/>
        <v>84297628</v>
      </c>
    </row>
    <row r="782" spans="1:46" x14ac:dyDescent="0.2">
      <c r="A782" s="1" t="str">
        <f>"00899"</f>
        <v>00899</v>
      </c>
      <c r="B782" s="1" t="str">
        <f>"احمد"</f>
        <v>احمد</v>
      </c>
      <c r="C782" s="1" t="str">
        <f>"هوشمندي"</f>
        <v>هوشمندي</v>
      </c>
      <c r="D782" s="1" t="str">
        <f t="shared" si="85"/>
        <v>قراردادي بهره بردار</v>
      </c>
      <c r="E782" s="1" t="str">
        <f t="shared" si="86"/>
        <v>پروژه بهره برداري نيروگاه بوشهر</v>
      </c>
      <c r="F782" s="1">
        <v>13610612</v>
      </c>
      <c r="G782" s="1">
        <v>4633588</v>
      </c>
      <c r="H782" s="1">
        <v>0</v>
      </c>
      <c r="I782" s="1">
        <v>10428387</v>
      </c>
      <c r="J782" s="1">
        <v>0</v>
      </c>
      <c r="K782" s="1">
        <v>4620000</v>
      </c>
      <c r="L782" s="1">
        <v>0</v>
      </c>
      <c r="M782" s="1">
        <v>1000000</v>
      </c>
      <c r="N782" s="1">
        <v>2482683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1606000</v>
      </c>
      <c r="U782" s="1">
        <v>0</v>
      </c>
      <c r="V782" s="1">
        <v>12415568</v>
      </c>
      <c r="W782" s="1">
        <v>1900000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1773345</v>
      </c>
      <c r="AF782" s="1">
        <v>1516881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6192664</v>
      </c>
      <c r="AM782" s="1">
        <v>0</v>
      </c>
      <c r="AN782" s="1">
        <v>0</v>
      </c>
      <c r="AO782" s="1">
        <v>62179728</v>
      </c>
      <c r="AP782" s="1">
        <v>21873138</v>
      </c>
      <c r="AQ782" s="1">
        <v>40306590</v>
      </c>
      <c r="AR782" s="1">
        <v>12132569</v>
      </c>
      <c r="AS782" s="1">
        <v>1819885</v>
      </c>
      <c r="AT782" s="1">
        <f t="shared" si="84"/>
        <v>76132182</v>
      </c>
    </row>
    <row r="783" spans="1:46" x14ac:dyDescent="0.2">
      <c r="A783" s="1" t="str">
        <f>"00900"</f>
        <v>00900</v>
      </c>
      <c r="B783" s="1" t="str">
        <f>"اسماعيل"</f>
        <v>اسماعيل</v>
      </c>
      <c r="C783" s="1" t="str">
        <f>"مغانلو رحيمي زاده"</f>
        <v>مغانلو رحيمي زاده</v>
      </c>
      <c r="D783" s="1" t="str">
        <f t="shared" si="85"/>
        <v>قراردادي بهره بردار</v>
      </c>
      <c r="E783" s="1" t="str">
        <f t="shared" si="86"/>
        <v>پروژه بهره برداري نيروگاه بوشهر</v>
      </c>
      <c r="F783" s="1">
        <v>13321444</v>
      </c>
      <c r="G783" s="1">
        <v>1597108</v>
      </c>
      <c r="H783" s="1">
        <v>11681702</v>
      </c>
      <c r="I783" s="1">
        <v>10079106</v>
      </c>
      <c r="J783" s="1">
        <v>0</v>
      </c>
      <c r="K783" s="1">
        <v>3465000</v>
      </c>
      <c r="L783" s="1">
        <v>0</v>
      </c>
      <c r="M783" s="1">
        <v>1000000</v>
      </c>
      <c r="N783" s="1">
        <v>2381474</v>
      </c>
      <c r="O783" s="1">
        <v>0</v>
      </c>
      <c r="P783" s="1">
        <v>0</v>
      </c>
      <c r="Q783" s="1">
        <v>0</v>
      </c>
      <c r="R783" s="1">
        <v>0</v>
      </c>
      <c r="S783" s="1">
        <v>5088000</v>
      </c>
      <c r="T783" s="1">
        <v>1387000</v>
      </c>
      <c r="U783" s="1">
        <v>0</v>
      </c>
      <c r="V783" s="1">
        <v>11673575</v>
      </c>
      <c r="W783" s="1">
        <v>1900000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1701053</v>
      </c>
      <c r="AF783" s="1">
        <v>0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6109945</v>
      </c>
      <c r="AM783" s="1">
        <v>0</v>
      </c>
      <c r="AN783" s="1">
        <v>0</v>
      </c>
      <c r="AO783" s="1">
        <v>71385407</v>
      </c>
      <c r="AP783" s="1">
        <v>16967665</v>
      </c>
      <c r="AQ783" s="1">
        <v>54417742</v>
      </c>
      <c r="AR783" s="1">
        <v>10923141</v>
      </c>
      <c r="AS783" s="1">
        <v>1638471</v>
      </c>
      <c r="AT783" s="1">
        <f t="shared" si="84"/>
        <v>83947019</v>
      </c>
    </row>
    <row r="784" spans="1:46" x14ac:dyDescent="0.2">
      <c r="A784" s="1" t="str">
        <f>"00901"</f>
        <v>00901</v>
      </c>
      <c r="B784" s="1" t="str">
        <f>"پيمان"</f>
        <v>پيمان</v>
      </c>
      <c r="C784" s="1" t="str">
        <f>"بحريني"</f>
        <v>بحريني</v>
      </c>
      <c r="D784" s="1" t="str">
        <f t="shared" si="85"/>
        <v>قراردادي بهره بردار</v>
      </c>
      <c r="E784" s="1" t="str">
        <f t="shared" si="86"/>
        <v>پروژه بهره برداري نيروگاه بوشهر</v>
      </c>
      <c r="F784" s="1">
        <v>15509920</v>
      </c>
      <c r="G784" s="1">
        <v>6011338</v>
      </c>
      <c r="H784" s="1">
        <v>0</v>
      </c>
      <c r="I784" s="1">
        <v>12511917</v>
      </c>
      <c r="J784" s="1">
        <v>0</v>
      </c>
      <c r="K784" s="1">
        <v>4620000</v>
      </c>
      <c r="L784" s="1">
        <v>0</v>
      </c>
      <c r="M784" s="1">
        <v>1000000</v>
      </c>
      <c r="N784" s="1">
        <v>2905919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1387000</v>
      </c>
      <c r="U784" s="1">
        <v>0</v>
      </c>
      <c r="V784" s="1">
        <v>13435221</v>
      </c>
      <c r="W784" s="1">
        <v>1900000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2075657</v>
      </c>
      <c r="AF784" s="1">
        <v>0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6804649</v>
      </c>
      <c r="AM784" s="1">
        <v>0</v>
      </c>
      <c r="AN784" s="1">
        <v>0</v>
      </c>
      <c r="AO784" s="1">
        <v>68161621</v>
      </c>
      <c r="AP784" s="1">
        <v>27910414</v>
      </c>
      <c r="AQ784" s="1">
        <v>40251207</v>
      </c>
      <c r="AR784" s="1">
        <v>13632324</v>
      </c>
      <c r="AS784" s="1">
        <v>2044849</v>
      </c>
      <c r="AT784" s="1">
        <f t="shared" si="84"/>
        <v>83838794</v>
      </c>
    </row>
    <row r="785" spans="1:46" x14ac:dyDescent="0.2">
      <c r="A785" s="1" t="str">
        <f>"00902"</f>
        <v>00902</v>
      </c>
      <c r="B785" s="1" t="str">
        <f>"علي"</f>
        <v>علي</v>
      </c>
      <c r="C785" s="1" t="str">
        <f>"پاژنگ"</f>
        <v>پاژنگ</v>
      </c>
      <c r="D785" s="1" t="str">
        <f t="shared" si="85"/>
        <v>قراردادي بهره بردار</v>
      </c>
      <c r="E785" s="1" t="str">
        <f t="shared" si="86"/>
        <v>پروژه بهره برداري نيروگاه بوشهر</v>
      </c>
      <c r="F785" s="1">
        <v>13573371</v>
      </c>
      <c r="G785" s="1">
        <v>4458422</v>
      </c>
      <c r="H785" s="1">
        <v>0</v>
      </c>
      <c r="I785" s="1">
        <v>10129922</v>
      </c>
      <c r="J785" s="1">
        <v>0</v>
      </c>
      <c r="K785" s="1">
        <v>4620000</v>
      </c>
      <c r="L785" s="1">
        <v>0</v>
      </c>
      <c r="M785" s="1">
        <v>1000000</v>
      </c>
      <c r="N785" s="1">
        <v>2469648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1606000</v>
      </c>
      <c r="U785" s="1">
        <v>0</v>
      </c>
      <c r="V785" s="1">
        <v>11513650</v>
      </c>
      <c r="W785" s="1">
        <v>1900000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1764034</v>
      </c>
      <c r="AF785" s="1">
        <v>1516881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5679522</v>
      </c>
      <c r="AM785" s="1">
        <v>0</v>
      </c>
      <c r="AN785" s="1">
        <v>0</v>
      </c>
      <c r="AO785" s="1">
        <v>60231450</v>
      </c>
      <c r="AP785" s="1">
        <v>25807650</v>
      </c>
      <c r="AQ785" s="1">
        <v>34423800</v>
      </c>
      <c r="AR785" s="1">
        <v>11742914</v>
      </c>
      <c r="AS785" s="1">
        <v>1761437</v>
      </c>
      <c r="AT785" s="1">
        <f t="shared" si="84"/>
        <v>73735801</v>
      </c>
    </row>
    <row r="786" spans="1:46" x14ac:dyDescent="0.2">
      <c r="A786" s="1" t="str">
        <f>"00903"</f>
        <v>00903</v>
      </c>
      <c r="B786" s="1" t="str">
        <f>"محمدکاظم"</f>
        <v>محمدکاظم</v>
      </c>
      <c r="C786" s="1" t="str">
        <f>"توکلي"</f>
        <v>توکلي</v>
      </c>
      <c r="D786" s="1" t="str">
        <f t="shared" si="85"/>
        <v>قراردادي بهره بردار</v>
      </c>
      <c r="E786" s="1" t="str">
        <f t="shared" si="86"/>
        <v>پروژه بهره برداري نيروگاه بوشهر</v>
      </c>
      <c r="F786" s="1">
        <v>15150651</v>
      </c>
      <c r="G786" s="1">
        <v>2968006</v>
      </c>
      <c r="H786" s="1">
        <v>0</v>
      </c>
      <c r="I786" s="1">
        <v>12181071</v>
      </c>
      <c r="J786" s="1">
        <v>0</v>
      </c>
      <c r="K786" s="1">
        <v>4620000</v>
      </c>
      <c r="L786" s="1">
        <v>0</v>
      </c>
      <c r="M786" s="1">
        <v>1000000</v>
      </c>
      <c r="N786" s="1">
        <v>2780175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1606000</v>
      </c>
      <c r="U786" s="1">
        <v>0</v>
      </c>
      <c r="V786" s="1">
        <v>9656837</v>
      </c>
      <c r="W786" s="1">
        <v>1900000</v>
      </c>
      <c r="X786" s="1">
        <v>2199288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1985839</v>
      </c>
      <c r="AF786" s="1">
        <v>0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10821539</v>
      </c>
      <c r="AM786" s="1">
        <v>0</v>
      </c>
      <c r="AN786" s="1">
        <v>0</v>
      </c>
      <c r="AO786" s="1">
        <v>66869406</v>
      </c>
      <c r="AP786" s="1">
        <v>25933481</v>
      </c>
      <c r="AQ786" s="1">
        <v>40935925</v>
      </c>
      <c r="AR786" s="1">
        <v>13373881</v>
      </c>
      <c r="AS786" s="1">
        <v>2006082</v>
      </c>
      <c r="AT786" s="1">
        <f t="shared" si="84"/>
        <v>82249369</v>
      </c>
    </row>
    <row r="787" spans="1:46" x14ac:dyDescent="0.2">
      <c r="A787" s="1" t="str">
        <f>"00904"</f>
        <v>00904</v>
      </c>
      <c r="B787" s="1" t="str">
        <f>"مهدي"</f>
        <v>مهدي</v>
      </c>
      <c r="C787" s="1" t="str">
        <f>"جمالي"</f>
        <v>جمالي</v>
      </c>
      <c r="D787" s="1" t="str">
        <f t="shared" si="85"/>
        <v>قراردادي بهره بردار</v>
      </c>
      <c r="E787" s="1" t="str">
        <f t="shared" si="86"/>
        <v>پروژه بهره برداري نيروگاه بوشهر</v>
      </c>
      <c r="F787" s="1">
        <v>13691667</v>
      </c>
      <c r="G787" s="1">
        <v>657487</v>
      </c>
      <c r="H787" s="1">
        <v>0</v>
      </c>
      <c r="I787" s="1">
        <v>10513323</v>
      </c>
      <c r="J787" s="1">
        <v>0</v>
      </c>
      <c r="K787" s="1">
        <v>3465000</v>
      </c>
      <c r="L787" s="1">
        <v>0</v>
      </c>
      <c r="M787" s="1">
        <v>1000000</v>
      </c>
      <c r="N787" s="1">
        <v>2511052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1387000</v>
      </c>
      <c r="U787" s="1">
        <v>0</v>
      </c>
      <c r="V787" s="1">
        <v>11755771</v>
      </c>
      <c r="W787" s="1">
        <v>1900000</v>
      </c>
      <c r="X787" s="1">
        <v>0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1793608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6322264</v>
      </c>
      <c r="AM787" s="1">
        <v>0</v>
      </c>
      <c r="AN787" s="1">
        <v>0</v>
      </c>
      <c r="AO787" s="1">
        <v>54997172</v>
      </c>
      <c r="AP787" s="1">
        <v>7573167</v>
      </c>
      <c r="AQ787" s="1">
        <v>47424005</v>
      </c>
      <c r="AR787" s="1">
        <v>10999434</v>
      </c>
      <c r="AS787" s="1">
        <v>1649915</v>
      </c>
      <c r="AT787" s="1">
        <f t="shared" si="84"/>
        <v>67646521</v>
      </c>
    </row>
    <row r="788" spans="1:46" x14ac:dyDescent="0.2">
      <c r="A788" s="1" t="str">
        <f>"00905"</f>
        <v>00905</v>
      </c>
      <c r="B788" s="1" t="str">
        <f>"محسن"</f>
        <v>محسن</v>
      </c>
      <c r="C788" s="1" t="str">
        <f>"حياتي"</f>
        <v>حياتي</v>
      </c>
      <c r="D788" s="1" t="str">
        <f t="shared" si="85"/>
        <v>قراردادي بهره بردار</v>
      </c>
      <c r="E788" s="1" t="str">
        <f t="shared" si="86"/>
        <v>پروژه بهره برداري نيروگاه بوشهر</v>
      </c>
      <c r="F788" s="1">
        <v>13426596</v>
      </c>
      <c r="G788" s="1">
        <v>6008598</v>
      </c>
      <c r="H788" s="1">
        <v>0</v>
      </c>
      <c r="I788" s="1">
        <v>10362581</v>
      </c>
      <c r="J788" s="1">
        <v>0</v>
      </c>
      <c r="K788" s="1">
        <v>4620000</v>
      </c>
      <c r="L788" s="1">
        <v>0</v>
      </c>
      <c r="M788" s="1">
        <v>1000000</v>
      </c>
      <c r="N788" s="1">
        <v>2418277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1387000</v>
      </c>
      <c r="U788" s="1">
        <v>0</v>
      </c>
      <c r="V788" s="1">
        <v>11632833</v>
      </c>
      <c r="W788" s="1">
        <v>1900000</v>
      </c>
      <c r="X788" s="1">
        <v>1949022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1727341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10520852</v>
      </c>
      <c r="AM788" s="1">
        <v>0</v>
      </c>
      <c r="AN788" s="1">
        <v>0</v>
      </c>
      <c r="AO788" s="1">
        <v>66953100</v>
      </c>
      <c r="AP788" s="1">
        <v>20191213</v>
      </c>
      <c r="AQ788" s="1">
        <v>46761887</v>
      </c>
      <c r="AR788" s="1">
        <v>13390620</v>
      </c>
      <c r="AS788" s="1">
        <v>2008593</v>
      </c>
      <c r="AT788" s="1">
        <f t="shared" si="84"/>
        <v>82352313</v>
      </c>
    </row>
    <row r="789" spans="1:46" x14ac:dyDescent="0.2">
      <c r="A789" s="1" t="str">
        <f>"00906"</f>
        <v>00906</v>
      </c>
      <c r="B789" s="1" t="str">
        <f>"حسين"</f>
        <v>حسين</v>
      </c>
      <c r="C789" s="1" t="str">
        <f>"خوهک"</f>
        <v>خوهک</v>
      </c>
      <c r="D789" s="1" t="str">
        <f t="shared" si="85"/>
        <v>قراردادي بهره بردار</v>
      </c>
      <c r="E789" s="1" t="str">
        <f t="shared" si="86"/>
        <v>پروژه بهره برداري نيروگاه بوشهر</v>
      </c>
      <c r="F789" s="1">
        <v>13382783</v>
      </c>
      <c r="G789" s="1">
        <v>3386696</v>
      </c>
      <c r="H789" s="1">
        <v>0</v>
      </c>
      <c r="I789" s="1">
        <v>10184013</v>
      </c>
      <c r="J789" s="1">
        <v>0</v>
      </c>
      <c r="K789" s="1">
        <v>3465000</v>
      </c>
      <c r="L789" s="1">
        <v>0</v>
      </c>
      <c r="M789" s="1">
        <v>1000000</v>
      </c>
      <c r="N789" s="1">
        <v>2402942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1606000</v>
      </c>
      <c r="U789" s="1">
        <v>0</v>
      </c>
      <c r="V789" s="1">
        <v>15506441</v>
      </c>
      <c r="W789" s="1">
        <v>1900000</v>
      </c>
      <c r="X789" s="1">
        <v>1942662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1716387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10134462</v>
      </c>
      <c r="AM789" s="1">
        <v>0</v>
      </c>
      <c r="AN789" s="1">
        <v>0</v>
      </c>
      <c r="AO789" s="1">
        <v>66627386</v>
      </c>
      <c r="AP789" s="1">
        <v>7509664</v>
      </c>
      <c r="AQ789" s="1">
        <v>59117722</v>
      </c>
      <c r="AR789" s="1">
        <v>13325477</v>
      </c>
      <c r="AS789" s="1">
        <v>1998822</v>
      </c>
      <c r="AT789" s="1">
        <f t="shared" si="84"/>
        <v>81951685</v>
      </c>
    </row>
    <row r="790" spans="1:46" x14ac:dyDescent="0.2">
      <c r="A790" s="1" t="str">
        <f>"00907"</f>
        <v>00907</v>
      </c>
      <c r="B790" s="1" t="str">
        <f>"مقداد"</f>
        <v>مقداد</v>
      </c>
      <c r="C790" s="1" t="str">
        <f>"ديرنه"</f>
        <v>ديرنه</v>
      </c>
      <c r="D790" s="1" t="str">
        <f t="shared" si="85"/>
        <v>قراردادي بهره بردار</v>
      </c>
      <c r="E790" s="1" t="str">
        <f t="shared" si="86"/>
        <v>پروژه بهره برداري نيروگاه بوشهر</v>
      </c>
      <c r="F790" s="1">
        <v>15639169</v>
      </c>
      <c r="G790" s="1">
        <v>1127720</v>
      </c>
      <c r="H790" s="1">
        <v>0</v>
      </c>
      <c r="I790" s="1">
        <v>12997528</v>
      </c>
      <c r="J790" s="1">
        <v>0</v>
      </c>
      <c r="K790" s="1">
        <v>4620000</v>
      </c>
      <c r="L790" s="1">
        <v>0</v>
      </c>
      <c r="M790" s="1">
        <v>1000000</v>
      </c>
      <c r="N790" s="1">
        <v>2951157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1387000</v>
      </c>
      <c r="U790" s="1">
        <v>0</v>
      </c>
      <c r="V790" s="1">
        <v>12372040</v>
      </c>
      <c r="W790" s="1">
        <v>1900000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2107969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7203481</v>
      </c>
      <c r="AM790" s="1">
        <v>0</v>
      </c>
      <c r="AN790" s="1">
        <v>0</v>
      </c>
      <c r="AO790" s="1">
        <v>63306064</v>
      </c>
      <c r="AP790" s="1">
        <v>26876101</v>
      </c>
      <c r="AQ790" s="1">
        <v>36429963</v>
      </c>
      <c r="AR790" s="1">
        <v>12661213</v>
      </c>
      <c r="AS790" s="1">
        <v>1899182</v>
      </c>
      <c r="AT790" s="1">
        <f t="shared" si="84"/>
        <v>77866459</v>
      </c>
    </row>
    <row r="791" spans="1:46" x14ac:dyDescent="0.2">
      <c r="A791" s="1" t="str">
        <f>"00908"</f>
        <v>00908</v>
      </c>
      <c r="B791" s="1" t="str">
        <f>"حسين"</f>
        <v>حسين</v>
      </c>
      <c r="C791" s="1" t="str">
        <f>"شيخياني"</f>
        <v>شيخياني</v>
      </c>
      <c r="D791" s="1" t="str">
        <f t="shared" si="85"/>
        <v>قراردادي بهره بردار</v>
      </c>
      <c r="E791" s="1" t="str">
        <f t="shared" si="86"/>
        <v>پروژه بهره برداري نيروگاه بوشهر</v>
      </c>
      <c r="F791" s="1">
        <v>12605096</v>
      </c>
      <c r="G791" s="1">
        <v>2862775</v>
      </c>
      <c r="H791" s="1">
        <v>0</v>
      </c>
      <c r="I791" s="1">
        <v>10195288</v>
      </c>
      <c r="J791" s="1">
        <v>0</v>
      </c>
      <c r="K791" s="1">
        <v>4620000</v>
      </c>
      <c r="L791" s="1">
        <v>0</v>
      </c>
      <c r="M791" s="1">
        <v>1000000</v>
      </c>
      <c r="N791" s="1">
        <v>2130752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1606000</v>
      </c>
      <c r="U791" s="1">
        <v>0</v>
      </c>
      <c r="V791" s="1">
        <v>14746045</v>
      </c>
      <c r="W791" s="1">
        <v>1900000</v>
      </c>
      <c r="X791" s="1">
        <v>1829772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1521966</v>
      </c>
      <c r="AF791" s="1">
        <v>1516881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9512860</v>
      </c>
      <c r="AM791" s="1">
        <v>0</v>
      </c>
      <c r="AN791" s="1">
        <v>0</v>
      </c>
      <c r="AO791" s="1">
        <v>66047435</v>
      </c>
      <c r="AP791" s="1">
        <v>20331016</v>
      </c>
      <c r="AQ791" s="1">
        <v>45716419</v>
      </c>
      <c r="AR791" s="1">
        <v>12906111</v>
      </c>
      <c r="AS791" s="1">
        <v>1935917</v>
      </c>
      <c r="AT791" s="1">
        <f t="shared" si="84"/>
        <v>80889463</v>
      </c>
    </row>
    <row r="792" spans="1:46" x14ac:dyDescent="0.2">
      <c r="A792" s="1" t="str">
        <f>"00909"</f>
        <v>00909</v>
      </c>
      <c r="B792" s="1" t="str">
        <f>"عبدالله"</f>
        <v>عبدالله</v>
      </c>
      <c r="C792" s="1" t="str">
        <f>"عالي پور"</f>
        <v>عالي پور</v>
      </c>
      <c r="D792" s="1" t="str">
        <f t="shared" si="85"/>
        <v>قراردادي بهره بردار</v>
      </c>
      <c r="E792" s="1" t="str">
        <f t="shared" si="86"/>
        <v>پروژه بهره برداري نيروگاه بوشهر</v>
      </c>
      <c r="F792" s="1">
        <v>13849395</v>
      </c>
      <c r="G792" s="1">
        <v>4795779</v>
      </c>
      <c r="H792" s="1">
        <v>0</v>
      </c>
      <c r="I792" s="1">
        <v>11651459</v>
      </c>
      <c r="J792" s="1">
        <v>0</v>
      </c>
      <c r="K792" s="1">
        <v>3465000</v>
      </c>
      <c r="L792" s="1">
        <v>0</v>
      </c>
      <c r="M792" s="1">
        <v>1000000</v>
      </c>
      <c r="N792" s="1">
        <v>2566256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1387000</v>
      </c>
      <c r="U792" s="1">
        <v>0</v>
      </c>
      <c r="V792" s="1">
        <v>10913222</v>
      </c>
      <c r="W792" s="1">
        <v>1900000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1833040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7731651</v>
      </c>
      <c r="AM792" s="1">
        <v>0</v>
      </c>
      <c r="AN792" s="1">
        <v>0</v>
      </c>
      <c r="AO792" s="1">
        <v>61092802</v>
      </c>
      <c r="AP792" s="1">
        <v>21819433</v>
      </c>
      <c r="AQ792" s="1">
        <v>39273369</v>
      </c>
      <c r="AR792" s="1">
        <v>12218560</v>
      </c>
      <c r="AS792" s="1">
        <v>1832784</v>
      </c>
      <c r="AT792" s="1">
        <f t="shared" si="84"/>
        <v>75144146</v>
      </c>
    </row>
    <row r="793" spans="1:46" x14ac:dyDescent="0.2">
      <c r="A793" s="1" t="str">
        <f>"00910"</f>
        <v>00910</v>
      </c>
      <c r="B793" s="1" t="str">
        <f>"مهدي"</f>
        <v>مهدي</v>
      </c>
      <c r="C793" s="1" t="str">
        <f>"كسرائي"</f>
        <v>كسرائي</v>
      </c>
      <c r="D793" s="1" t="str">
        <f t="shared" si="85"/>
        <v>قراردادي بهره بردار</v>
      </c>
      <c r="E793" s="1" t="str">
        <f t="shared" si="86"/>
        <v>پروژه بهره برداري نيروگاه بوشهر</v>
      </c>
      <c r="F793" s="1">
        <v>14449637</v>
      </c>
      <c r="G793" s="1">
        <v>3146387</v>
      </c>
      <c r="H793" s="1">
        <v>0</v>
      </c>
      <c r="I793" s="1">
        <v>11306390</v>
      </c>
      <c r="J793" s="1">
        <v>0</v>
      </c>
      <c r="K793" s="1">
        <v>4620000</v>
      </c>
      <c r="L793" s="1">
        <v>0</v>
      </c>
      <c r="M793" s="1">
        <v>1000000</v>
      </c>
      <c r="N793" s="1">
        <v>2776341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1387000</v>
      </c>
      <c r="U793" s="1">
        <v>0</v>
      </c>
      <c r="V793" s="1">
        <v>13829231</v>
      </c>
      <c r="W793" s="1">
        <v>1900000</v>
      </c>
      <c r="X793" s="1">
        <v>2097528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1983101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11391291</v>
      </c>
      <c r="AM793" s="1">
        <v>0</v>
      </c>
      <c r="AN793" s="1">
        <v>0</v>
      </c>
      <c r="AO793" s="1">
        <v>69886906</v>
      </c>
      <c r="AP793" s="1">
        <v>23252871</v>
      </c>
      <c r="AQ793" s="1">
        <v>46634035</v>
      </c>
      <c r="AR793" s="1">
        <v>13977381</v>
      </c>
      <c r="AS793" s="1">
        <v>2096607</v>
      </c>
      <c r="AT793" s="1">
        <f t="shared" si="84"/>
        <v>85960894</v>
      </c>
    </row>
    <row r="794" spans="1:46" x14ac:dyDescent="0.2">
      <c r="A794" s="1" t="str">
        <f>"00911"</f>
        <v>00911</v>
      </c>
      <c r="B794" s="1" t="str">
        <f>"مصيب"</f>
        <v>مصيب</v>
      </c>
      <c r="C794" s="1" t="str">
        <f>"كشاورز"</f>
        <v>كشاورز</v>
      </c>
      <c r="D794" s="1" t="str">
        <f t="shared" si="85"/>
        <v>قراردادي بهره بردار</v>
      </c>
      <c r="E794" s="1" t="str">
        <f t="shared" si="86"/>
        <v>پروژه بهره برداري نيروگاه بوشهر</v>
      </c>
      <c r="F794" s="1">
        <v>13374020</v>
      </c>
      <c r="G794" s="1">
        <v>2632140</v>
      </c>
      <c r="H794" s="1">
        <v>0</v>
      </c>
      <c r="I794" s="1">
        <v>10174755</v>
      </c>
      <c r="J794" s="1">
        <v>0</v>
      </c>
      <c r="K794" s="1">
        <v>3465000</v>
      </c>
      <c r="L794" s="1">
        <v>0</v>
      </c>
      <c r="M794" s="1">
        <v>1000000</v>
      </c>
      <c r="N794" s="1">
        <v>2399875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1606000</v>
      </c>
      <c r="U794" s="1">
        <v>0</v>
      </c>
      <c r="V794" s="1">
        <v>15494921</v>
      </c>
      <c r="W794" s="1">
        <v>1900000</v>
      </c>
      <c r="X794" s="1">
        <v>1941390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1714197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10129643</v>
      </c>
      <c r="AM794" s="1">
        <v>0</v>
      </c>
      <c r="AN794" s="1">
        <v>0</v>
      </c>
      <c r="AO794" s="1">
        <v>65831941</v>
      </c>
      <c r="AP794" s="1">
        <v>36462651</v>
      </c>
      <c r="AQ794" s="1">
        <v>29369290</v>
      </c>
      <c r="AR794" s="1">
        <v>13166388</v>
      </c>
      <c r="AS794" s="1">
        <v>1974958</v>
      </c>
      <c r="AT794" s="1">
        <f t="shared" si="84"/>
        <v>80973287</v>
      </c>
    </row>
    <row r="795" spans="1:46" x14ac:dyDescent="0.2">
      <c r="A795" s="1" t="str">
        <f>"00913"</f>
        <v>00913</v>
      </c>
      <c r="B795" s="1" t="str">
        <f>"امير"</f>
        <v>امير</v>
      </c>
      <c r="C795" s="1" t="str">
        <f>"محمدي"</f>
        <v>محمدي</v>
      </c>
      <c r="D795" s="1" t="str">
        <f t="shared" si="85"/>
        <v>قراردادي بهره بردار</v>
      </c>
      <c r="E795" s="1" t="str">
        <f t="shared" si="86"/>
        <v>پروژه بهره برداري نيروگاه بوشهر</v>
      </c>
      <c r="F795" s="1">
        <v>18145292</v>
      </c>
      <c r="G795" s="1">
        <v>8256398</v>
      </c>
      <c r="H795" s="1">
        <v>0</v>
      </c>
      <c r="I795" s="1">
        <v>15340869</v>
      </c>
      <c r="J795" s="1">
        <v>0</v>
      </c>
      <c r="K795" s="1">
        <v>0</v>
      </c>
      <c r="L795" s="1">
        <v>0</v>
      </c>
      <c r="M795" s="1">
        <v>1000000</v>
      </c>
      <c r="N795" s="1">
        <v>2992560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1606000</v>
      </c>
      <c r="U795" s="1">
        <v>0</v>
      </c>
      <c r="V795" s="1">
        <v>12691653</v>
      </c>
      <c r="W795" s="1">
        <v>1900000</v>
      </c>
      <c r="X795" s="1">
        <v>2633994</v>
      </c>
      <c r="Y795" s="1">
        <v>0</v>
      </c>
      <c r="Z795" s="1">
        <v>0</v>
      </c>
      <c r="AA795" s="1">
        <v>0</v>
      </c>
      <c r="AB795" s="1">
        <v>0</v>
      </c>
      <c r="AC795" s="1">
        <v>3877480</v>
      </c>
      <c r="AD795" s="1">
        <v>0</v>
      </c>
      <c r="AE795" s="1">
        <v>2137543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17942699</v>
      </c>
      <c r="AM795" s="1">
        <v>0</v>
      </c>
      <c r="AN795" s="1">
        <v>0</v>
      </c>
      <c r="AO795" s="1">
        <v>88524488</v>
      </c>
      <c r="AP795" s="1">
        <v>16065982</v>
      </c>
      <c r="AQ795" s="1">
        <v>72458506</v>
      </c>
      <c r="AR795" s="1">
        <v>17704898</v>
      </c>
      <c r="AS795" s="1">
        <v>2655735</v>
      </c>
      <c r="AT795" s="1">
        <f t="shared" si="84"/>
        <v>108885121</v>
      </c>
    </row>
    <row r="796" spans="1:46" x14ac:dyDescent="0.2">
      <c r="A796" s="1" t="str">
        <f>"00914"</f>
        <v>00914</v>
      </c>
      <c r="B796" s="1" t="str">
        <f>"يعقوب"</f>
        <v>يعقوب</v>
      </c>
      <c r="C796" s="1" t="str">
        <f>"پذيرا"</f>
        <v>پذيرا</v>
      </c>
      <c r="D796" s="1" t="str">
        <f>"قراردادي کارگري"</f>
        <v>قراردادي کارگري</v>
      </c>
      <c r="E796" s="1" t="str">
        <f>"پروژه تعميرات نيروگاه بوشهر"</f>
        <v>پروژه تعميرات نيروگاه بوشهر</v>
      </c>
      <c r="F796" s="1">
        <v>6332124</v>
      </c>
      <c r="G796" s="1">
        <v>1580286</v>
      </c>
      <c r="H796" s="1">
        <v>0</v>
      </c>
      <c r="I796" s="1">
        <v>4305844</v>
      </c>
      <c r="J796" s="1">
        <v>0</v>
      </c>
      <c r="K796" s="1">
        <v>0</v>
      </c>
      <c r="L796" s="1">
        <v>7628143</v>
      </c>
      <c r="M796" s="1">
        <v>1000000</v>
      </c>
      <c r="N796" s="1">
        <v>3332696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6394824</v>
      </c>
      <c r="W796" s="1">
        <v>1900000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0</v>
      </c>
      <c r="AF796" s="1">
        <v>3033762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0</v>
      </c>
      <c r="AM796" s="1">
        <v>0</v>
      </c>
      <c r="AN796" s="1">
        <v>0</v>
      </c>
      <c r="AO796" s="1">
        <v>35507679</v>
      </c>
      <c r="AP796" s="1">
        <v>2412625</v>
      </c>
      <c r="AQ796" s="1">
        <v>33095054</v>
      </c>
      <c r="AR796" s="1">
        <v>6494783</v>
      </c>
      <c r="AS796" s="1">
        <v>974218</v>
      </c>
      <c r="AT796" s="1">
        <f t="shared" si="84"/>
        <v>42976680</v>
      </c>
    </row>
    <row r="797" spans="1:46" x14ac:dyDescent="0.2">
      <c r="A797" s="1" t="str">
        <f>"00916"</f>
        <v>00916</v>
      </c>
      <c r="B797" s="1" t="str">
        <f>"عبدالرحيم"</f>
        <v>عبدالرحيم</v>
      </c>
      <c r="C797" s="1" t="str">
        <f>"آب يار"</f>
        <v>آب يار</v>
      </c>
      <c r="D797" s="1" t="str">
        <f t="shared" ref="D797:D828" si="87">"قراردادي بهره بردار"</f>
        <v>قراردادي بهره بردار</v>
      </c>
      <c r="E797" s="1" t="str">
        <f t="shared" ref="E797:E828" si="88">"پروژه بهره برداري نيروگاه بوشهر"</f>
        <v>پروژه بهره برداري نيروگاه بوشهر</v>
      </c>
      <c r="F797" s="1">
        <v>14213045</v>
      </c>
      <c r="G797" s="1">
        <v>17643570</v>
      </c>
      <c r="H797" s="1">
        <v>0</v>
      </c>
      <c r="I797" s="1">
        <v>13958834</v>
      </c>
      <c r="J797" s="1">
        <v>0</v>
      </c>
      <c r="K797" s="1">
        <v>4620000</v>
      </c>
      <c r="L797" s="1">
        <v>0</v>
      </c>
      <c r="M797" s="1">
        <v>1000000</v>
      </c>
      <c r="N797" s="1">
        <v>2720370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1387000</v>
      </c>
      <c r="U797" s="1">
        <v>0</v>
      </c>
      <c r="V797" s="1">
        <v>8132279</v>
      </c>
      <c r="W797" s="1">
        <v>1900000</v>
      </c>
      <c r="X797" s="1">
        <v>2063184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1943121</v>
      </c>
      <c r="AF797" s="1">
        <v>3033762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11122891</v>
      </c>
      <c r="AM797" s="1">
        <v>0</v>
      </c>
      <c r="AN797" s="1">
        <v>0</v>
      </c>
      <c r="AO797" s="1">
        <v>83738056</v>
      </c>
      <c r="AP797" s="1">
        <v>41808712</v>
      </c>
      <c r="AQ797" s="1">
        <v>41929344</v>
      </c>
      <c r="AR797" s="1">
        <v>16140859</v>
      </c>
      <c r="AS797" s="1">
        <v>2421129</v>
      </c>
      <c r="AT797" s="1">
        <f t="shared" si="84"/>
        <v>102300044</v>
      </c>
    </row>
    <row r="798" spans="1:46" x14ac:dyDescent="0.2">
      <c r="A798" s="1" t="str">
        <f>"00917"</f>
        <v>00917</v>
      </c>
      <c r="B798" s="1" t="str">
        <f>"ميثم"</f>
        <v>ميثم</v>
      </c>
      <c r="C798" s="1" t="str">
        <f>"آبائي"</f>
        <v>آبائي</v>
      </c>
      <c r="D798" s="1" t="str">
        <f t="shared" si="87"/>
        <v>قراردادي بهره بردار</v>
      </c>
      <c r="E798" s="1" t="str">
        <f t="shared" si="88"/>
        <v>پروژه بهره برداري نيروگاه بوشهر</v>
      </c>
      <c r="F798" s="1">
        <v>14730043</v>
      </c>
      <c r="G798" s="1">
        <v>20330963</v>
      </c>
      <c r="H798" s="1">
        <v>0</v>
      </c>
      <c r="I798" s="1">
        <v>14647869</v>
      </c>
      <c r="J798" s="1">
        <v>0</v>
      </c>
      <c r="K798" s="1">
        <v>4620000</v>
      </c>
      <c r="L798" s="1">
        <v>0</v>
      </c>
      <c r="M798" s="1">
        <v>1000000</v>
      </c>
      <c r="N798" s="1">
        <v>2901319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1606000</v>
      </c>
      <c r="U798" s="1">
        <v>0</v>
      </c>
      <c r="V798" s="1">
        <v>8583479</v>
      </c>
      <c r="W798" s="1">
        <v>1900000</v>
      </c>
      <c r="X798" s="1">
        <v>2138232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2072371</v>
      </c>
      <c r="AF798" s="1">
        <v>1516881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11426955</v>
      </c>
      <c r="AM798" s="1">
        <v>0</v>
      </c>
      <c r="AN798" s="1">
        <v>0</v>
      </c>
      <c r="AO798" s="1">
        <v>87474112</v>
      </c>
      <c r="AP798" s="1">
        <v>35408031</v>
      </c>
      <c r="AQ798" s="1">
        <v>52066081</v>
      </c>
      <c r="AR798" s="1">
        <v>17191446</v>
      </c>
      <c r="AS798" s="1">
        <v>2578717</v>
      </c>
      <c r="AT798" s="1">
        <f t="shared" si="84"/>
        <v>107244275</v>
      </c>
    </row>
    <row r="799" spans="1:46" x14ac:dyDescent="0.2">
      <c r="A799" s="1" t="str">
        <f>"00918"</f>
        <v>00918</v>
      </c>
      <c r="B799" s="1" t="str">
        <f>"محمدعلي"</f>
        <v>محمدعلي</v>
      </c>
      <c r="C799" s="1" t="str">
        <f>"آبادي"</f>
        <v>آبادي</v>
      </c>
      <c r="D799" s="1" t="str">
        <f t="shared" si="87"/>
        <v>قراردادي بهره بردار</v>
      </c>
      <c r="E799" s="1" t="str">
        <f t="shared" si="88"/>
        <v>پروژه بهره برداري نيروگاه بوشهر</v>
      </c>
      <c r="F799" s="1">
        <v>14780428</v>
      </c>
      <c r="G799" s="1">
        <v>679090</v>
      </c>
      <c r="H799" s="1">
        <v>0</v>
      </c>
      <c r="I799" s="1">
        <v>13836018</v>
      </c>
      <c r="J799" s="1">
        <v>0</v>
      </c>
      <c r="K799" s="1">
        <v>4620000</v>
      </c>
      <c r="L799" s="1">
        <v>0</v>
      </c>
      <c r="M799" s="1">
        <v>1000000</v>
      </c>
      <c r="N799" s="1">
        <v>2918954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1606000</v>
      </c>
      <c r="U799" s="1">
        <v>0</v>
      </c>
      <c r="V799" s="1">
        <v>7597640</v>
      </c>
      <c r="W799" s="1">
        <v>1900000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2084967</v>
      </c>
      <c r="AF799" s="1">
        <v>1516881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6900381</v>
      </c>
      <c r="AM799" s="1">
        <v>0</v>
      </c>
      <c r="AN799" s="1">
        <v>0</v>
      </c>
      <c r="AO799" s="1">
        <v>59440359</v>
      </c>
      <c r="AP799" s="1">
        <v>29493934</v>
      </c>
      <c r="AQ799" s="1">
        <v>29946425</v>
      </c>
      <c r="AR799" s="1">
        <v>11584696</v>
      </c>
      <c r="AS799" s="1">
        <v>1737704</v>
      </c>
      <c r="AT799" s="1">
        <f t="shared" si="84"/>
        <v>72762759</v>
      </c>
    </row>
    <row r="800" spans="1:46" x14ac:dyDescent="0.2">
      <c r="A800" s="1" t="str">
        <f>"00919"</f>
        <v>00919</v>
      </c>
      <c r="B800" s="1" t="str">
        <f>"اکبر"</f>
        <v>اکبر</v>
      </c>
      <c r="C800" s="1" t="str">
        <f>"آذربخش"</f>
        <v>آذربخش</v>
      </c>
      <c r="D800" s="1" t="str">
        <f t="shared" si="87"/>
        <v>قراردادي بهره بردار</v>
      </c>
      <c r="E800" s="1" t="str">
        <f t="shared" si="88"/>
        <v>پروژه بهره برداري نيروگاه بوشهر</v>
      </c>
      <c r="F800" s="1">
        <v>13172479</v>
      </c>
      <c r="G800" s="1">
        <v>16075266</v>
      </c>
      <c r="H800" s="1">
        <v>0</v>
      </c>
      <c r="I800" s="1">
        <v>12410267</v>
      </c>
      <c r="J800" s="1">
        <v>0</v>
      </c>
      <c r="K800" s="1">
        <v>4620000</v>
      </c>
      <c r="L800" s="1">
        <v>0</v>
      </c>
      <c r="M800" s="1">
        <v>1000000</v>
      </c>
      <c r="N800" s="1">
        <v>2356172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1387000</v>
      </c>
      <c r="U800" s="1">
        <v>0</v>
      </c>
      <c r="V800" s="1">
        <v>7409415</v>
      </c>
      <c r="W800" s="1">
        <v>1900000</v>
      </c>
      <c r="X800" s="1">
        <v>1912134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1682980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10428997</v>
      </c>
      <c r="AM800" s="1">
        <v>0</v>
      </c>
      <c r="AN800" s="1">
        <v>0</v>
      </c>
      <c r="AO800" s="1">
        <v>74354710</v>
      </c>
      <c r="AP800" s="1">
        <v>35981124</v>
      </c>
      <c r="AQ800" s="1">
        <v>38373586</v>
      </c>
      <c r="AR800" s="1">
        <v>14870942</v>
      </c>
      <c r="AS800" s="1">
        <v>2230641</v>
      </c>
      <c r="AT800" s="1">
        <f t="shared" si="84"/>
        <v>91456293</v>
      </c>
    </row>
    <row r="801" spans="1:46" x14ac:dyDescent="0.2">
      <c r="A801" s="1" t="str">
        <f>"00920"</f>
        <v>00920</v>
      </c>
      <c r="B801" s="1" t="str">
        <f>"احمد"</f>
        <v>احمد</v>
      </c>
      <c r="C801" s="1" t="str">
        <f>"اسماعيلي"</f>
        <v>اسماعيلي</v>
      </c>
      <c r="D801" s="1" t="str">
        <f t="shared" si="87"/>
        <v>قراردادي بهره بردار</v>
      </c>
      <c r="E801" s="1" t="str">
        <f t="shared" si="88"/>
        <v>پروژه بهره برداري نيروگاه بوشهر</v>
      </c>
      <c r="F801" s="1">
        <v>14925012</v>
      </c>
      <c r="G801" s="1">
        <v>18776232</v>
      </c>
      <c r="H801" s="1">
        <v>0</v>
      </c>
      <c r="I801" s="1">
        <v>15167937</v>
      </c>
      <c r="J801" s="1">
        <v>0</v>
      </c>
      <c r="K801" s="1">
        <v>3465000</v>
      </c>
      <c r="L801" s="1">
        <v>0</v>
      </c>
      <c r="M801" s="1">
        <v>1000000</v>
      </c>
      <c r="N801" s="1">
        <v>2969558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1387000</v>
      </c>
      <c r="U801" s="1">
        <v>0</v>
      </c>
      <c r="V801" s="1">
        <v>8654345</v>
      </c>
      <c r="W801" s="1">
        <v>1900000</v>
      </c>
      <c r="X801" s="1">
        <v>2166534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2121113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11596623</v>
      </c>
      <c r="AM801" s="1">
        <v>0</v>
      </c>
      <c r="AN801" s="1">
        <v>0</v>
      </c>
      <c r="AO801" s="1">
        <v>84129354</v>
      </c>
      <c r="AP801" s="1">
        <v>15437572</v>
      </c>
      <c r="AQ801" s="1">
        <v>68691782</v>
      </c>
      <c r="AR801" s="1">
        <v>16825871</v>
      </c>
      <c r="AS801" s="1">
        <v>2523881</v>
      </c>
      <c r="AT801" s="1">
        <f t="shared" si="84"/>
        <v>103479106</v>
      </c>
    </row>
    <row r="802" spans="1:46" x14ac:dyDescent="0.2">
      <c r="A802" s="1" t="str">
        <f>"00921"</f>
        <v>00921</v>
      </c>
      <c r="B802" s="1" t="str">
        <f>"حسين"</f>
        <v>حسين</v>
      </c>
      <c r="C802" s="1" t="str">
        <f>"اسماعيلي فرد"</f>
        <v>اسماعيلي فرد</v>
      </c>
      <c r="D802" s="1" t="str">
        <f t="shared" si="87"/>
        <v>قراردادي بهره بردار</v>
      </c>
      <c r="E802" s="1" t="str">
        <f t="shared" si="88"/>
        <v>پروژه بهره برداري نيروگاه بوشهر</v>
      </c>
      <c r="F802" s="1">
        <v>27304469</v>
      </c>
      <c r="G802" s="1">
        <v>4521560</v>
      </c>
      <c r="H802" s="1">
        <v>0</v>
      </c>
      <c r="I802" s="1">
        <v>23395762</v>
      </c>
      <c r="J802" s="1">
        <v>0</v>
      </c>
      <c r="K802" s="1">
        <v>0</v>
      </c>
      <c r="L802" s="1">
        <v>0</v>
      </c>
      <c r="M802" s="1">
        <v>1000000</v>
      </c>
      <c r="N802" s="1">
        <v>4180230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1606000</v>
      </c>
      <c r="U802" s="1">
        <v>0</v>
      </c>
      <c r="V802" s="1">
        <v>16019242</v>
      </c>
      <c r="W802" s="1">
        <v>1900000</v>
      </c>
      <c r="X802" s="1">
        <v>0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2985879</v>
      </c>
      <c r="AF802" s="1">
        <v>3033762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6210628</v>
      </c>
      <c r="AM802" s="1">
        <v>0</v>
      </c>
      <c r="AN802" s="1">
        <v>0</v>
      </c>
      <c r="AO802" s="1">
        <v>92157532</v>
      </c>
      <c r="AP802" s="1">
        <v>40003299</v>
      </c>
      <c r="AQ802" s="1">
        <v>52154233</v>
      </c>
      <c r="AR802" s="1">
        <v>17824754</v>
      </c>
      <c r="AS802" s="1">
        <v>2673713</v>
      </c>
      <c r="AT802" s="1">
        <f t="shared" si="84"/>
        <v>112655999</v>
      </c>
    </row>
    <row r="803" spans="1:46" x14ac:dyDescent="0.2">
      <c r="A803" s="1" t="str">
        <f>"00922"</f>
        <v>00922</v>
      </c>
      <c r="B803" s="1" t="str">
        <f>"رضا"</f>
        <v>رضا</v>
      </c>
      <c r="C803" s="1" t="str">
        <f>"اسماعيلي نژاد"</f>
        <v>اسماعيلي نژاد</v>
      </c>
      <c r="D803" s="1" t="str">
        <f t="shared" si="87"/>
        <v>قراردادي بهره بردار</v>
      </c>
      <c r="E803" s="1" t="str">
        <f t="shared" si="88"/>
        <v>پروژه بهره برداري نيروگاه بوشهر</v>
      </c>
      <c r="F803" s="1">
        <v>28228931</v>
      </c>
      <c r="G803" s="1">
        <v>8624082</v>
      </c>
      <c r="H803" s="1">
        <v>0</v>
      </c>
      <c r="I803" s="1">
        <v>26642137</v>
      </c>
      <c r="J803" s="1">
        <v>0</v>
      </c>
      <c r="K803" s="1">
        <v>0</v>
      </c>
      <c r="L803" s="1">
        <v>0</v>
      </c>
      <c r="M803" s="1">
        <v>1000000</v>
      </c>
      <c r="N803" s="1">
        <v>4503792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1387000</v>
      </c>
      <c r="U803" s="1">
        <v>0</v>
      </c>
      <c r="V803" s="1">
        <v>18013632</v>
      </c>
      <c r="W803" s="1">
        <v>1900000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3216994</v>
      </c>
      <c r="AF803" s="1">
        <v>1516881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6691348</v>
      </c>
      <c r="AM803" s="1">
        <v>0</v>
      </c>
      <c r="AN803" s="1">
        <v>0</v>
      </c>
      <c r="AO803" s="1">
        <v>101724797</v>
      </c>
      <c r="AP803" s="1">
        <v>56847979</v>
      </c>
      <c r="AQ803" s="1">
        <v>44876818</v>
      </c>
      <c r="AR803" s="1">
        <v>20041583</v>
      </c>
      <c r="AS803" s="1">
        <v>3006237</v>
      </c>
      <c r="AT803" s="1">
        <f t="shared" si="84"/>
        <v>124772617</v>
      </c>
    </row>
    <row r="804" spans="1:46" x14ac:dyDescent="0.2">
      <c r="A804" s="1" t="str">
        <f>"00923"</f>
        <v>00923</v>
      </c>
      <c r="B804" s="1" t="str">
        <f>"قاسم"</f>
        <v>قاسم</v>
      </c>
      <c r="C804" s="1" t="str">
        <f>"اکراميان"</f>
        <v>اکراميان</v>
      </c>
      <c r="D804" s="1" t="str">
        <f t="shared" si="87"/>
        <v>قراردادي بهره بردار</v>
      </c>
      <c r="E804" s="1" t="str">
        <f t="shared" si="88"/>
        <v>پروژه بهره برداري نيروگاه بوشهر</v>
      </c>
      <c r="F804" s="1">
        <v>17187971</v>
      </c>
      <c r="G804" s="1">
        <v>23815947</v>
      </c>
      <c r="H804" s="1">
        <v>0</v>
      </c>
      <c r="I804" s="1">
        <v>18675179</v>
      </c>
      <c r="J804" s="1">
        <v>0</v>
      </c>
      <c r="K804" s="1">
        <v>4620000</v>
      </c>
      <c r="L804" s="1">
        <v>0</v>
      </c>
      <c r="M804" s="1">
        <v>1000000</v>
      </c>
      <c r="N804" s="1">
        <v>3416564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1606000</v>
      </c>
      <c r="U804" s="1">
        <v>0</v>
      </c>
      <c r="V804" s="1">
        <v>11350437</v>
      </c>
      <c r="W804" s="1">
        <v>1900000</v>
      </c>
      <c r="X804" s="1">
        <v>2495028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2440403</v>
      </c>
      <c r="AF804" s="1">
        <v>1516881</v>
      </c>
      <c r="AG804" s="1">
        <v>4765595</v>
      </c>
      <c r="AH804" s="1">
        <v>0</v>
      </c>
      <c r="AI804" s="1">
        <v>0</v>
      </c>
      <c r="AJ804" s="1">
        <v>0</v>
      </c>
      <c r="AK804" s="1">
        <v>0</v>
      </c>
      <c r="AL804" s="1">
        <v>12477599</v>
      </c>
      <c r="AM804" s="1">
        <v>0</v>
      </c>
      <c r="AN804" s="1">
        <v>0</v>
      </c>
      <c r="AO804" s="1">
        <v>107267604</v>
      </c>
      <c r="AP804" s="1">
        <v>48904310</v>
      </c>
      <c r="AQ804" s="1">
        <v>58363294</v>
      </c>
      <c r="AR804" s="1">
        <v>21150145</v>
      </c>
      <c r="AS804" s="1">
        <v>3172522</v>
      </c>
      <c r="AT804" s="1">
        <f t="shared" si="84"/>
        <v>131590271</v>
      </c>
    </row>
    <row r="805" spans="1:46" x14ac:dyDescent="0.2">
      <c r="A805" s="1" t="str">
        <f>"00924"</f>
        <v>00924</v>
      </c>
      <c r="B805" s="1" t="str">
        <f>"بهنام"</f>
        <v>بهنام</v>
      </c>
      <c r="C805" s="1" t="str">
        <f>"اميني"</f>
        <v>اميني</v>
      </c>
      <c r="D805" s="1" t="str">
        <f t="shared" si="87"/>
        <v>قراردادي بهره بردار</v>
      </c>
      <c r="E805" s="1" t="str">
        <f t="shared" si="88"/>
        <v>پروژه بهره برداري نيروگاه بوشهر</v>
      </c>
      <c r="F805" s="1">
        <v>15477060</v>
      </c>
      <c r="G805" s="1">
        <v>21431441</v>
      </c>
      <c r="H805" s="1">
        <v>0</v>
      </c>
      <c r="I805" s="1">
        <v>16608568</v>
      </c>
      <c r="J805" s="1">
        <v>0</v>
      </c>
      <c r="K805" s="1">
        <v>4620000</v>
      </c>
      <c r="L805" s="1">
        <v>0</v>
      </c>
      <c r="M805" s="1">
        <v>1000000</v>
      </c>
      <c r="N805" s="1">
        <v>3162775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1387000</v>
      </c>
      <c r="U805" s="1">
        <v>0</v>
      </c>
      <c r="V805" s="1">
        <v>9014121</v>
      </c>
      <c r="W805" s="1">
        <v>1900000</v>
      </c>
      <c r="X805" s="1">
        <v>2246670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2259125</v>
      </c>
      <c r="AF805" s="1">
        <v>6067524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11884914</v>
      </c>
      <c r="AM805" s="1">
        <v>0</v>
      </c>
      <c r="AN805" s="1">
        <v>0</v>
      </c>
      <c r="AO805" s="1">
        <v>97059198</v>
      </c>
      <c r="AP805" s="1">
        <v>37675204</v>
      </c>
      <c r="AQ805" s="1">
        <v>59383994</v>
      </c>
      <c r="AR805" s="1">
        <v>18198335</v>
      </c>
      <c r="AS805" s="1">
        <v>2729750</v>
      </c>
      <c r="AT805" s="1">
        <f t="shared" si="84"/>
        <v>117987283</v>
      </c>
    </row>
    <row r="806" spans="1:46" x14ac:dyDescent="0.2">
      <c r="A806" s="1" t="str">
        <f>"00925"</f>
        <v>00925</v>
      </c>
      <c r="B806" s="1" t="str">
        <f>"سياوش"</f>
        <v>سياوش</v>
      </c>
      <c r="C806" s="1" t="str">
        <f>"ايرانپور"</f>
        <v>ايرانپور</v>
      </c>
      <c r="D806" s="1" t="str">
        <f t="shared" si="87"/>
        <v>قراردادي بهره بردار</v>
      </c>
      <c r="E806" s="1" t="str">
        <f t="shared" si="88"/>
        <v>پروژه بهره برداري نيروگاه بوشهر</v>
      </c>
      <c r="F806" s="1">
        <v>24040376</v>
      </c>
      <c r="G806" s="1">
        <v>29285153</v>
      </c>
      <c r="H806" s="1">
        <v>0</v>
      </c>
      <c r="I806" s="1">
        <v>24501048</v>
      </c>
      <c r="J806" s="1">
        <v>0</v>
      </c>
      <c r="K806" s="1">
        <v>5500000</v>
      </c>
      <c r="L806" s="1">
        <v>0</v>
      </c>
      <c r="M806" s="1">
        <v>1000000</v>
      </c>
      <c r="N806" s="1">
        <v>3742425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1387000</v>
      </c>
      <c r="U806" s="1">
        <v>0</v>
      </c>
      <c r="V806" s="1">
        <v>13957005</v>
      </c>
      <c r="W806" s="1">
        <v>1900000</v>
      </c>
      <c r="X806" s="1">
        <v>3489732</v>
      </c>
      <c r="Y806" s="1">
        <v>0</v>
      </c>
      <c r="Z806" s="1">
        <v>0</v>
      </c>
      <c r="AA806" s="1">
        <v>0</v>
      </c>
      <c r="AB806" s="1">
        <v>0</v>
      </c>
      <c r="AC806" s="1">
        <v>3384580</v>
      </c>
      <c r="AD806" s="1">
        <v>0</v>
      </c>
      <c r="AE806" s="1">
        <v>2673161</v>
      </c>
      <c r="AF806" s="1">
        <v>1516881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14162331</v>
      </c>
      <c r="AM806" s="1">
        <v>0</v>
      </c>
      <c r="AN806" s="1">
        <v>0</v>
      </c>
      <c r="AO806" s="1">
        <v>130539692</v>
      </c>
      <c r="AP806" s="1">
        <v>47740565</v>
      </c>
      <c r="AQ806" s="1">
        <v>82799127</v>
      </c>
      <c r="AR806" s="1">
        <v>25804562</v>
      </c>
      <c r="AS806" s="1">
        <v>3870684</v>
      </c>
      <c r="AT806" s="1">
        <f t="shared" si="84"/>
        <v>160214938</v>
      </c>
    </row>
    <row r="807" spans="1:46" x14ac:dyDescent="0.2">
      <c r="A807" s="1" t="str">
        <f>"00926"</f>
        <v>00926</v>
      </c>
      <c r="B807" s="1" t="str">
        <f>"حسين"</f>
        <v>حسين</v>
      </c>
      <c r="C807" s="1" t="str">
        <f>"بادسار"</f>
        <v>بادسار</v>
      </c>
      <c r="D807" s="1" t="str">
        <f t="shared" si="87"/>
        <v>قراردادي بهره بردار</v>
      </c>
      <c r="E807" s="1" t="str">
        <f t="shared" si="88"/>
        <v>پروژه بهره برداري نيروگاه بوشهر</v>
      </c>
      <c r="F807" s="1">
        <v>14414587</v>
      </c>
      <c r="G807" s="1">
        <v>17857059</v>
      </c>
      <c r="H807" s="1">
        <v>0</v>
      </c>
      <c r="I807" s="1">
        <v>13722840</v>
      </c>
      <c r="J807" s="1">
        <v>0</v>
      </c>
      <c r="K807" s="1">
        <v>4620000</v>
      </c>
      <c r="L807" s="1">
        <v>0</v>
      </c>
      <c r="M807" s="1">
        <v>1000000</v>
      </c>
      <c r="N807" s="1">
        <v>2790909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1606000</v>
      </c>
      <c r="U807" s="1">
        <v>0</v>
      </c>
      <c r="V807" s="1">
        <v>8510492</v>
      </c>
      <c r="W807" s="1">
        <v>1900000</v>
      </c>
      <c r="X807" s="1">
        <v>2092440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1993507</v>
      </c>
      <c r="AF807" s="1">
        <v>4550643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11288505</v>
      </c>
      <c r="AM807" s="1">
        <v>0</v>
      </c>
      <c r="AN807" s="1">
        <v>0</v>
      </c>
      <c r="AO807" s="1">
        <v>86346982</v>
      </c>
      <c r="AP807" s="1">
        <v>11652308</v>
      </c>
      <c r="AQ807" s="1">
        <v>74694674</v>
      </c>
      <c r="AR807" s="1">
        <v>16359268</v>
      </c>
      <c r="AS807" s="1">
        <v>2453890</v>
      </c>
      <c r="AT807" s="1">
        <f t="shared" si="84"/>
        <v>105160140</v>
      </c>
    </row>
    <row r="808" spans="1:46" x14ac:dyDescent="0.2">
      <c r="A808" s="1" t="str">
        <f>"00927"</f>
        <v>00927</v>
      </c>
      <c r="B808" s="1" t="str">
        <f>"محمدمهدي"</f>
        <v>محمدمهدي</v>
      </c>
      <c r="C808" s="1" t="str">
        <f>"باروني"</f>
        <v>باروني</v>
      </c>
      <c r="D808" s="1" t="str">
        <f t="shared" si="87"/>
        <v>قراردادي بهره بردار</v>
      </c>
      <c r="E808" s="1" t="str">
        <f t="shared" si="88"/>
        <v>پروژه بهره برداري نيروگاه بوشهر</v>
      </c>
      <c r="F808" s="1">
        <v>13448503</v>
      </c>
      <c r="G808" s="1">
        <v>19885196</v>
      </c>
      <c r="H808" s="1">
        <v>0</v>
      </c>
      <c r="I808" s="1">
        <v>13860081</v>
      </c>
      <c r="J808" s="1">
        <v>0</v>
      </c>
      <c r="K808" s="1">
        <v>0</v>
      </c>
      <c r="L808" s="1">
        <v>0</v>
      </c>
      <c r="M808" s="1">
        <v>1000000</v>
      </c>
      <c r="N808" s="1">
        <v>2452780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1387000</v>
      </c>
      <c r="U808" s="1">
        <v>0</v>
      </c>
      <c r="V808" s="1">
        <v>7998972</v>
      </c>
      <c r="W808" s="1">
        <v>1900000</v>
      </c>
      <c r="X808" s="1">
        <v>1952202</v>
      </c>
      <c r="Y808" s="1">
        <v>0</v>
      </c>
      <c r="Z808" s="1">
        <v>0</v>
      </c>
      <c r="AA808" s="1">
        <v>0</v>
      </c>
      <c r="AB808" s="1">
        <v>0</v>
      </c>
      <c r="AC808" s="1">
        <v>1331925</v>
      </c>
      <c r="AD808" s="1">
        <v>0</v>
      </c>
      <c r="AE808" s="1">
        <v>1751986</v>
      </c>
      <c r="AF808" s="1">
        <v>3033762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10392413</v>
      </c>
      <c r="AM808" s="1">
        <v>0</v>
      </c>
      <c r="AN808" s="1">
        <v>0</v>
      </c>
      <c r="AO808" s="1">
        <v>80394820</v>
      </c>
      <c r="AP808" s="1">
        <v>30672766</v>
      </c>
      <c r="AQ808" s="1">
        <v>49722054</v>
      </c>
      <c r="AR808" s="1">
        <v>15472212</v>
      </c>
      <c r="AS808" s="1">
        <v>2320832</v>
      </c>
      <c r="AT808" s="1">
        <f t="shared" si="84"/>
        <v>98187864</v>
      </c>
    </row>
    <row r="809" spans="1:46" x14ac:dyDescent="0.2">
      <c r="A809" s="1" t="str">
        <f>"00928"</f>
        <v>00928</v>
      </c>
      <c r="B809" s="1" t="str">
        <f>"احد"</f>
        <v>احد</v>
      </c>
      <c r="C809" s="1" t="str">
        <f>"باصري"</f>
        <v>باصري</v>
      </c>
      <c r="D809" s="1" t="str">
        <f t="shared" si="87"/>
        <v>قراردادي بهره بردار</v>
      </c>
      <c r="E809" s="1" t="str">
        <f t="shared" si="88"/>
        <v>پروژه بهره برداري نيروگاه بوشهر</v>
      </c>
      <c r="F809" s="1">
        <v>27304469</v>
      </c>
      <c r="G809" s="1">
        <v>0</v>
      </c>
      <c r="H809" s="1">
        <v>0</v>
      </c>
      <c r="I809" s="1">
        <v>25059742</v>
      </c>
      <c r="J809" s="1">
        <v>0</v>
      </c>
      <c r="K809" s="1">
        <v>0</v>
      </c>
      <c r="L809" s="1">
        <v>0</v>
      </c>
      <c r="M809" s="1">
        <v>1000000</v>
      </c>
      <c r="N809" s="1">
        <v>4180230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1606000</v>
      </c>
      <c r="U809" s="1">
        <v>0</v>
      </c>
      <c r="V809" s="1">
        <v>17108173</v>
      </c>
      <c r="W809" s="1">
        <v>1900000</v>
      </c>
      <c r="X809" s="1">
        <v>0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2985879</v>
      </c>
      <c r="AF809" s="1">
        <v>3033762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6270345</v>
      </c>
      <c r="AM809" s="1">
        <v>0</v>
      </c>
      <c r="AN809" s="1">
        <v>0</v>
      </c>
      <c r="AO809" s="1">
        <v>90448600</v>
      </c>
      <c r="AP809" s="1">
        <v>32835368</v>
      </c>
      <c r="AQ809" s="1">
        <v>57613232</v>
      </c>
      <c r="AR809" s="1">
        <v>17482968</v>
      </c>
      <c r="AS809" s="1">
        <v>2622445</v>
      </c>
      <c r="AT809" s="1">
        <f t="shared" si="84"/>
        <v>110554013</v>
      </c>
    </row>
    <row r="810" spans="1:46" x14ac:dyDescent="0.2">
      <c r="A810" s="1" t="str">
        <f>"00929"</f>
        <v>00929</v>
      </c>
      <c r="B810" s="1" t="str">
        <f>"علي اصغر"</f>
        <v>علي اصغر</v>
      </c>
      <c r="C810" s="1" t="str">
        <f>"بوستان"</f>
        <v>بوستان</v>
      </c>
      <c r="D810" s="1" t="str">
        <f t="shared" si="87"/>
        <v>قراردادي بهره بردار</v>
      </c>
      <c r="E810" s="1" t="str">
        <f t="shared" si="88"/>
        <v>پروژه بهره برداري نيروگاه بوشهر</v>
      </c>
      <c r="F810" s="1">
        <v>15790325</v>
      </c>
      <c r="G810" s="1">
        <v>27515041</v>
      </c>
      <c r="H810" s="1">
        <v>0</v>
      </c>
      <c r="I810" s="1">
        <v>15301148</v>
      </c>
      <c r="J810" s="1">
        <v>0</v>
      </c>
      <c r="K810" s="1">
        <v>4620000</v>
      </c>
      <c r="L810" s="1">
        <v>0</v>
      </c>
      <c r="M810" s="1">
        <v>1000000</v>
      </c>
      <c r="N810" s="1">
        <v>2927388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1387000</v>
      </c>
      <c r="U810" s="1">
        <v>0</v>
      </c>
      <c r="V810" s="1">
        <v>12051873</v>
      </c>
      <c r="W810" s="1">
        <v>1900000</v>
      </c>
      <c r="X810" s="1">
        <v>2292144</v>
      </c>
      <c r="Y810" s="1">
        <v>0</v>
      </c>
      <c r="Z810" s="1">
        <v>8396435</v>
      </c>
      <c r="AA810" s="1">
        <v>0</v>
      </c>
      <c r="AB810" s="1">
        <v>0</v>
      </c>
      <c r="AC810" s="1">
        <v>0</v>
      </c>
      <c r="AD810" s="1">
        <v>0</v>
      </c>
      <c r="AE810" s="1">
        <v>2090991</v>
      </c>
      <c r="AF810" s="1">
        <v>6067524</v>
      </c>
      <c r="AG810" s="1">
        <v>22063086</v>
      </c>
      <c r="AH810" s="1">
        <v>0</v>
      </c>
      <c r="AI810" s="1">
        <v>0</v>
      </c>
      <c r="AJ810" s="1">
        <v>0</v>
      </c>
      <c r="AK810" s="1">
        <v>0</v>
      </c>
      <c r="AL810" s="1">
        <v>11010072</v>
      </c>
      <c r="AM810" s="1">
        <v>0</v>
      </c>
      <c r="AN810" s="1">
        <v>0</v>
      </c>
      <c r="AO810" s="1">
        <v>134413027</v>
      </c>
      <c r="AP810" s="1">
        <v>35937977</v>
      </c>
      <c r="AQ810" s="1">
        <v>98475050</v>
      </c>
      <c r="AR810" s="1">
        <v>23989814</v>
      </c>
      <c r="AS810" s="1">
        <v>3598472</v>
      </c>
      <c r="AT810" s="1">
        <f t="shared" si="84"/>
        <v>162001313</v>
      </c>
    </row>
    <row r="811" spans="1:46" x14ac:dyDescent="0.2">
      <c r="A811" s="1" t="str">
        <f>"00930"</f>
        <v>00930</v>
      </c>
      <c r="B811" s="1" t="str">
        <f>"فيض اله"</f>
        <v>فيض اله</v>
      </c>
      <c r="C811" s="1" t="str">
        <f>"بهي مقدم"</f>
        <v>بهي مقدم</v>
      </c>
      <c r="D811" s="1" t="str">
        <f t="shared" si="87"/>
        <v>قراردادي بهره بردار</v>
      </c>
      <c r="E811" s="1" t="str">
        <f t="shared" si="88"/>
        <v>پروژه بهره برداري نيروگاه بوشهر</v>
      </c>
      <c r="F811" s="1">
        <v>13696048</v>
      </c>
      <c r="G811" s="1">
        <v>17206314</v>
      </c>
      <c r="H811" s="1">
        <v>0</v>
      </c>
      <c r="I811" s="1">
        <v>13507300</v>
      </c>
      <c r="J811" s="1">
        <v>0</v>
      </c>
      <c r="K811" s="1">
        <v>4620000</v>
      </c>
      <c r="L811" s="1">
        <v>0</v>
      </c>
      <c r="M811" s="1">
        <v>1000000</v>
      </c>
      <c r="N811" s="1">
        <v>2539421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1387000</v>
      </c>
      <c r="U811" s="1">
        <v>0</v>
      </c>
      <c r="V811" s="1">
        <v>8110860</v>
      </c>
      <c r="W811" s="1">
        <v>1900000</v>
      </c>
      <c r="X811" s="1">
        <v>1988136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1813872</v>
      </c>
      <c r="AF811" s="1">
        <v>4550643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11132092</v>
      </c>
      <c r="AM811" s="1">
        <v>0</v>
      </c>
      <c r="AN811" s="1">
        <v>0</v>
      </c>
      <c r="AO811" s="1">
        <v>83451686</v>
      </c>
      <c r="AP811" s="1">
        <v>25177240</v>
      </c>
      <c r="AQ811" s="1">
        <v>58274446</v>
      </c>
      <c r="AR811" s="1">
        <v>15780209</v>
      </c>
      <c r="AS811" s="1">
        <v>2367031</v>
      </c>
      <c r="AT811" s="1">
        <f t="shared" si="84"/>
        <v>101598926</v>
      </c>
    </row>
    <row r="812" spans="1:46" x14ac:dyDescent="0.2">
      <c r="A812" s="1" t="str">
        <f>"00931"</f>
        <v>00931</v>
      </c>
      <c r="B812" s="1" t="str">
        <f>"محمدجواد"</f>
        <v>محمدجواد</v>
      </c>
      <c r="C812" s="1" t="str">
        <f>"پرهيزکار"</f>
        <v>پرهيزکار</v>
      </c>
      <c r="D812" s="1" t="str">
        <f t="shared" si="87"/>
        <v>قراردادي بهره بردار</v>
      </c>
      <c r="E812" s="1" t="str">
        <f t="shared" si="88"/>
        <v>پروژه بهره برداري نيروگاه بوشهر</v>
      </c>
      <c r="F812" s="1">
        <v>27608972</v>
      </c>
      <c r="G812" s="1">
        <v>4075956</v>
      </c>
      <c r="H812" s="1">
        <v>0</v>
      </c>
      <c r="I812" s="1">
        <v>24625855</v>
      </c>
      <c r="J812" s="1">
        <v>0</v>
      </c>
      <c r="K812" s="1">
        <v>0</v>
      </c>
      <c r="L812" s="1">
        <v>0</v>
      </c>
      <c r="M812" s="1">
        <v>1000000</v>
      </c>
      <c r="N812" s="1">
        <v>4286806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1387000</v>
      </c>
      <c r="U812" s="1">
        <v>0</v>
      </c>
      <c r="V812" s="1">
        <v>16503462</v>
      </c>
      <c r="W812" s="1">
        <v>1900000</v>
      </c>
      <c r="X812" s="1">
        <v>0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3062004</v>
      </c>
      <c r="AF812" s="1">
        <v>1516881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6430209</v>
      </c>
      <c r="AM812" s="1">
        <v>0</v>
      </c>
      <c r="AN812" s="1">
        <v>0</v>
      </c>
      <c r="AO812" s="1">
        <v>92397145</v>
      </c>
      <c r="AP812" s="1">
        <v>21940758</v>
      </c>
      <c r="AQ812" s="1">
        <v>70456387</v>
      </c>
      <c r="AR812" s="1">
        <v>18176053</v>
      </c>
      <c r="AS812" s="1">
        <v>2726408</v>
      </c>
      <c r="AT812" s="1">
        <f t="shared" si="84"/>
        <v>113299606</v>
      </c>
    </row>
    <row r="813" spans="1:46" x14ac:dyDescent="0.2">
      <c r="A813" s="1" t="str">
        <f>"00932"</f>
        <v>00932</v>
      </c>
      <c r="B813" s="1" t="str">
        <f>"مختار"</f>
        <v>مختار</v>
      </c>
      <c r="C813" s="1" t="str">
        <f>"جعفري"</f>
        <v>جعفري</v>
      </c>
      <c r="D813" s="1" t="str">
        <f t="shared" si="87"/>
        <v>قراردادي بهره بردار</v>
      </c>
      <c r="E813" s="1" t="str">
        <f t="shared" si="88"/>
        <v>پروژه بهره برداري نيروگاه بوشهر</v>
      </c>
      <c r="F813" s="1">
        <v>14029029</v>
      </c>
      <c r="G813" s="1">
        <v>17281368</v>
      </c>
      <c r="H813" s="1">
        <v>0</v>
      </c>
      <c r="I813" s="1">
        <v>13471772</v>
      </c>
      <c r="J813" s="1">
        <v>0</v>
      </c>
      <c r="K813" s="1">
        <v>4620000</v>
      </c>
      <c r="L813" s="1">
        <v>0</v>
      </c>
      <c r="M813" s="1">
        <v>1000000</v>
      </c>
      <c r="N813" s="1">
        <v>2655964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1387000</v>
      </c>
      <c r="U813" s="1">
        <v>0</v>
      </c>
      <c r="V813" s="1">
        <v>7965332</v>
      </c>
      <c r="W813" s="1">
        <v>1900000</v>
      </c>
      <c r="X813" s="1">
        <v>2036472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1897117</v>
      </c>
      <c r="AF813" s="1">
        <v>1516881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11001966</v>
      </c>
      <c r="AM813" s="1">
        <v>0</v>
      </c>
      <c r="AN813" s="1">
        <v>0</v>
      </c>
      <c r="AO813" s="1">
        <v>80762901</v>
      </c>
      <c r="AP813" s="1">
        <v>25994338</v>
      </c>
      <c r="AQ813" s="1">
        <v>54768563</v>
      </c>
      <c r="AR813" s="1">
        <v>15849204</v>
      </c>
      <c r="AS813" s="1">
        <v>2377381</v>
      </c>
      <c r="AT813" s="1">
        <f t="shared" si="84"/>
        <v>98989486</v>
      </c>
    </row>
    <row r="814" spans="1:46" x14ac:dyDescent="0.2">
      <c r="A814" s="1" t="str">
        <f>"00933"</f>
        <v>00933</v>
      </c>
      <c r="B814" s="1" t="str">
        <f>"پيام"</f>
        <v>پيام</v>
      </c>
      <c r="C814" s="1" t="str">
        <f>"جعفري زاده"</f>
        <v>جعفري زاده</v>
      </c>
      <c r="D814" s="1" t="str">
        <f t="shared" si="87"/>
        <v>قراردادي بهره بردار</v>
      </c>
      <c r="E814" s="1" t="str">
        <f t="shared" si="88"/>
        <v>پروژه بهره برداري نيروگاه بوشهر</v>
      </c>
      <c r="F814" s="1">
        <v>14009313</v>
      </c>
      <c r="G814" s="1">
        <v>17884811</v>
      </c>
      <c r="H814" s="1">
        <v>0</v>
      </c>
      <c r="I814" s="1">
        <v>13809465</v>
      </c>
      <c r="J814" s="1">
        <v>0</v>
      </c>
      <c r="K814" s="1">
        <v>4620000</v>
      </c>
      <c r="L814" s="1">
        <v>0</v>
      </c>
      <c r="M814" s="1">
        <v>1000000</v>
      </c>
      <c r="N814" s="1">
        <v>2649064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1387000</v>
      </c>
      <c r="U814" s="1">
        <v>0</v>
      </c>
      <c r="V814" s="1">
        <v>8243471</v>
      </c>
      <c r="W814" s="1">
        <v>1900000</v>
      </c>
      <c r="X814" s="1">
        <v>2033610</v>
      </c>
      <c r="Y814" s="1">
        <v>0</v>
      </c>
      <c r="Z814" s="1">
        <v>0</v>
      </c>
      <c r="AA814" s="1">
        <v>0</v>
      </c>
      <c r="AB814" s="1">
        <v>0</v>
      </c>
      <c r="AC814" s="1">
        <v>1331925</v>
      </c>
      <c r="AD814" s="1">
        <v>0</v>
      </c>
      <c r="AE814" s="1">
        <v>1892188</v>
      </c>
      <c r="AF814" s="1">
        <v>1516881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10867350</v>
      </c>
      <c r="AM814" s="1">
        <v>0</v>
      </c>
      <c r="AN814" s="1">
        <v>0</v>
      </c>
      <c r="AO814" s="1">
        <v>83145078</v>
      </c>
      <c r="AP814" s="1">
        <v>34595865</v>
      </c>
      <c r="AQ814" s="1">
        <v>48549213</v>
      </c>
      <c r="AR814" s="1">
        <v>16325639</v>
      </c>
      <c r="AS814" s="1">
        <v>2448846</v>
      </c>
      <c r="AT814" s="1">
        <f t="shared" si="84"/>
        <v>101919563</v>
      </c>
    </row>
    <row r="815" spans="1:46" x14ac:dyDescent="0.2">
      <c r="A815" s="1" t="str">
        <f>"00934"</f>
        <v>00934</v>
      </c>
      <c r="B815" s="1" t="str">
        <f>"اميد"</f>
        <v>اميد</v>
      </c>
      <c r="C815" s="1" t="str">
        <f>"جوکار"</f>
        <v>جوکار</v>
      </c>
      <c r="D815" s="1" t="str">
        <f t="shared" si="87"/>
        <v>قراردادي بهره بردار</v>
      </c>
      <c r="E815" s="1" t="str">
        <f t="shared" si="88"/>
        <v>پروژه بهره برداري نيروگاه بوشهر</v>
      </c>
      <c r="F815" s="1">
        <v>31315580</v>
      </c>
      <c r="G815" s="1">
        <v>6266781</v>
      </c>
      <c r="H815" s="1">
        <v>0</v>
      </c>
      <c r="I815" s="1">
        <v>29756780</v>
      </c>
      <c r="J815" s="1">
        <v>0</v>
      </c>
      <c r="K815" s="1">
        <v>0</v>
      </c>
      <c r="L815" s="1">
        <v>0</v>
      </c>
      <c r="M815" s="1">
        <v>1000000</v>
      </c>
      <c r="N815" s="1">
        <v>5584119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1606000</v>
      </c>
      <c r="U815" s="1">
        <v>0</v>
      </c>
      <c r="V815" s="1">
        <v>19735385</v>
      </c>
      <c r="W815" s="1">
        <v>1900000</v>
      </c>
      <c r="X815" s="1">
        <v>0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3988656</v>
      </c>
      <c r="AF815" s="1">
        <v>3033762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8296405</v>
      </c>
      <c r="AM815" s="1">
        <v>0</v>
      </c>
      <c r="AN815" s="1">
        <v>0</v>
      </c>
      <c r="AO815" s="1">
        <v>112483468</v>
      </c>
      <c r="AP815" s="1">
        <v>25523528</v>
      </c>
      <c r="AQ815" s="1">
        <v>86959940</v>
      </c>
      <c r="AR815" s="1">
        <v>21889941</v>
      </c>
      <c r="AS815" s="1">
        <v>3283491</v>
      </c>
      <c r="AT815" s="1">
        <f t="shared" si="84"/>
        <v>137656900</v>
      </c>
    </row>
    <row r="816" spans="1:46" x14ac:dyDescent="0.2">
      <c r="A816" s="1" t="str">
        <f>"00935"</f>
        <v>00935</v>
      </c>
      <c r="B816" s="1" t="str">
        <f>"حسين"</f>
        <v>حسين</v>
      </c>
      <c r="C816" s="1" t="str">
        <f>"چغادکي نژاد"</f>
        <v>چغادکي نژاد</v>
      </c>
      <c r="D816" s="1" t="str">
        <f t="shared" si="87"/>
        <v>قراردادي بهره بردار</v>
      </c>
      <c r="E816" s="1" t="str">
        <f t="shared" si="88"/>
        <v>پروژه بهره برداري نيروگاه بوشهر</v>
      </c>
      <c r="F816" s="1">
        <v>14460591</v>
      </c>
      <c r="G816" s="1">
        <v>18315642</v>
      </c>
      <c r="H816" s="1">
        <v>0</v>
      </c>
      <c r="I816" s="1">
        <v>14793265</v>
      </c>
      <c r="J816" s="1">
        <v>0</v>
      </c>
      <c r="K816" s="1">
        <v>4620000</v>
      </c>
      <c r="L816" s="1">
        <v>0</v>
      </c>
      <c r="M816" s="1">
        <v>1000000</v>
      </c>
      <c r="N816" s="1">
        <v>2807011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1387000</v>
      </c>
      <c r="U816" s="1">
        <v>0</v>
      </c>
      <c r="V816" s="1">
        <v>8442050</v>
      </c>
      <c r="W816" s="1">
        <v>1900000</v>
      </c>
      <c r="X816" s="1">
        <v>2099118</v>
      </c>
      <c r="Y816" s="1">
        <v>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2005008</v>
      </c>
      <c r="AF816" s="1">
        <v>3033762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11566830</v>
      </c>
      <c r="AM816" s="1">
        <v>0</v>
      </c>
      <c r="AN816" s="1">
        <v>0</v>
      </c>
      <c r="AO816" s="1">
        <v>86430277</v>
      </c>
      <c r="AP816" s="1">
        <v>32752116</v>
      </c>
      <c r="AQ816" s="1">
        <v>53678161</v>
      </c>
      <c r="AR816" s="1">
        <v>16679303</v>
      </c>
      <c r="AS816" s="1">
        <v>2501895</v>
      </c>
      <c r="AT816" s="1">
        <f t="shared" si="84"/>
        <v>105611475</v>
      </c>
    </row>
    <row r="817" spans="1:46" x14ac:dyDescent="0.2">
      <c r="A817" s="1" t="str">
        <f>"00936"</f>
        <v>00936</v>
      </c>
      <c r="B817" s="1" t="str">
        <f>"سيدمحمد"</f>
        <v>سيدمحمد</v>
      </c>
      <c r="C817" s="1" t="str">
        <f>"حسيني"</f>
        <v>حسيني</v>
      </c>
      <c r="D817" s="1" t="str">
        <f t="shared" si="87"/>
        <v>قراردادي بهره بردار</v>
      </c>
      <c r="E817" s="1" t="str">
        <f t="shared" si="88"/>
        <v>پروژه بهره برداري نيروگاه بوشهر</v>
      </c>
      <c r="F817" s="1">
        <v>28971567</v>
      </c>
      <c r="G817" s="1">
        <v>11499622</v>
      </c>
      <c r="H817" s="1">
        <v>0</v>
      </c>
      <c r="I817" s="1">
        <v>27639079</v>
      </c>
      <c r="J817" s="1">
        <v>0</v>
      </c>
      <c r="K817" s="1">
        <v>5500000</v>
      </c>
      <c r="L817" s="1">
        <v>0</v>
      </c>
      <c r="M817" s="1">
        <v>1000000</v>
      </c>
      <c r="N817" s="1">
        <v>4763714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1387000</v>
      </c>
      <c r="U817" s="1">
        <v>0</v>
      </c>
      <c r="V817" s="1">
        <v>18682178</v>
      </c>
      <c r="W817" s="1">
        <v>1900000</v>
      </c>
      <c r="X817" s="1">
        <v>0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3402653</v>
      </c>
      <c r="AF817" s="1">
        <v>3033762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7077518</v>
      </c>
      <c r="AM817" s="1">
        <v>0</v>
      </c>
      <c r="AN817" s="1">
        <v>0</v>
      </c>
      <c r="AO817" s="1">
        <v>114857093</v>
      </c>
      <c r="AP817" s="1">
        <v>41204961</v>
      </c>
      <c r="AQ817" s="1">
        <v>73652132</v>
      </c>
      <c r="AR817" s="1">
        <v>22364666</v>
      </c>
      <c r="AS817" s="1">
        <v>3354700</v>
      </c>
      <c r="AT817" s="1">
        <f t="shared" si="84"/>
        <v>140576459</v>
      </c>
    </row>
    <row r="818" spans="1:46" x14ac:dyDescent="0.2">
      <c r="A818" s="1" t="str">
        <f>"00937"</f>
        <v>00937</v>
      </c>
      <c r="B818" s="1" t="str">
        <f>"سيدمسلم"</f>
        <v>سيدمسلم</v>
      </c>
      <c r="C818" s="1" t="str">
        <f>"حسيني"</f>
        <v>حسيني</v>
      </c>
      <c r="D818" s="1" t="str">
        <f t="shared" si="87"/>
        <v>قراردادي بهره بردار</v>
      </c>
      <c r="E818" s="1" t="str">
        <f t="shared" si="88"/>
        <v>پروژه بهره برداري نيروگاه بوشهر</v>
      </c>
      <c r="F818" s="1">
        <v>14188948</v>
      </c>
      <c r="G818" s="1">
        <v>17521719</v>
      </c>
      <c r="H818" s="1">
        <v>0</v>
      </c>
      <c r="I818" s="1">
        <v>13557100</v>
      </c>
      <c r="J818" s="1">
        <v>0</v>
      </c>
      <c r="K818" s="1">
        <v>0</v>
      </c>
      <c r="L818" s="1">
        <v>0</v>
      </c>
      <c r="M818" s="1">
        <v>1000000</v>
      </c>
      <c r="N818" s="1">
        <v>2711936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1387000</v>
      </c>
      <c r="U818" s="1">
        <v>0</v>
      </c>
      <c r="V818" s="1">
        <v>8168020</v>
      </c>
      <c r="W818" s="1">
        <v>1900000</v>
      </c>
      <c r="X818" s="1">
        <v>2059686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1937097</v>
      </c>
      <c r="AF818" s="1">
        <v>3033762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11167690</v>
      </c>
      <c r="AM818" s="1">
        <v>0</v>
      </c>
      <c r="AN818" s="1">
        <v>0</v>
      </c>
      <c r="AO818" s="1">
        <v>78632958</v>
      </c>
      <c r="AP818" s="1">
        <v>19197634</v>
      </c>
      <c r="AQ818" s="1">
        <v>59435324</v>
      </c>
      <c r="AR818" s="1">
        <v>15119839</v>
      </c>
      <c r="AS818" s="1">
        <v>2267976</v>
      </c>
      <c r="AT818" s="1">
        <f t="shared" si="84"/>
        <v>96020773</v>
      </c>
    </row>
    <row r="819" spans="1:46" x14ac:dyDescent="0.2">
      <c r="A819" s="1" t="str">
        <f>"00938"</f>
        <v>00938</v>
      </c>
      <c r="B819" s="1" t="str">
        <f>"فرشاد"</f>
        <v>فرشاد</v>
      </c>
      <c r="C819" s="1" t="str">
        <f>"خدري"</f>
        <v>خدري</v>
      </c>
      <c r="D819" s="1" t="str">
        <f t="shared" si="87"/>
        <v>قراردادي بهره بردار</v>
      </c>
      <c r="E819" s="1" t="str">
        <f t="shared" si="88"/>
        <v>پروژه بهره برداري نيروگاه بوشهر</v>
      </c>
      <c r="F819" s="1">
        <v>15244849</v>
      </c>
      <c r="G819" s="1">
        <v>19447442</v>
      </c>
      <c r="H819" s="1">
        <v>0</v>
      </c>
      <c r="I819" s="1">
        <v>15874137</v>
      </c>
      <c r="J819" s="1">
        <v>0</v>
      </c>
      <c r="K819" s="1">
        <v>4620000</v>
      </c>
      <c r="L819" s="1">
        <v>0</v>
      </c>
      <c r="M819" s="1">
        <v>1000000</v>
      </c>
      <c r="N819" s="1">
        <v>3081501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1606000</v>
      </c>
      <c r="U819" s="1">
        <v>0</v>
      </c>
      <c r="V819" s="1">
        <v>9268452</v>
      </c>
      <c r="W819" s="1">
        <v>1900000</v>
      </c>
      <c r="X819" s="1">
        <v>2212962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2201072</v>
      </c>
      <c r="AF819" s="1">
        <v>3033762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11746245</v>
      </c>
      <c r="AM819" s="1">
        <v>0</v>
      </c>
      <c r="AN819" s="1">
        <v>0</v>
      </c>
      <c r="AO819" s="1">
        <v>91236422</v>
      </c>
      <c r="AP819" s="1">
        <v>17184026</v>
      </c>
      <c r="AQ819" s="1">
        <v>74052396</v>
      </c>
      <c r="AR819" s="1">
        <v>17640532</v>
      </c>
      <c r="AS819" s="1">
        <v>2646080</v>
      </c>
      <c r="AT819" s="1">
        <f t="shared" si="84"/>
        <v>111523034</v>
      </c>
    </row>
    <row r="820" spans="1:46" x14ac:dyDescent="0.2">
      <c r="A820" s="1" t="str">
        <f>"00939"</f>
        <v>00939</v>
      </c>
      <c r="B820" s="1" t="str">
        <f>"مهدي"</f>
        <v>مهدي</v>
      </c>
      <c r="C820" s="1" t="str">
        <f>"خليلي"</f>
        <v>خليلي</v>
      </c>
      <c r="D820" s="1" t="str">
        <f t="shared" si="87"/>
        <v>قراردادي بهره بردار</v>
      </c>
      <c r="E820" s="1" t="str">
        <f t="shared" si="88"/>
        <v>پروژه بهره برداري نيروگاه بوشهر</v>
      </c>
      <c r="F820" s="1">
        <v>14495641</v>
      </c>
      <c r="G820" s="1">
        <v>18091511</v>
      </c>
      <c r="H820" s="1">
        <v>0</v>
      </c>
      <c r="I820" s="1">
        <v>14334051</v>
      </c>
      <c r="J820" s="1">
        <v>0</v>
      </c>
      <c r="K820" s="1">
        <v>4620000</v>
      </c>
      <c r="L820" s="1">
        <v>0</v>
      </c>
      <c r="M820" s="1">
        <v>1000000</v>
      </c>
      <c r="N820" s="1">
        <v>2819278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1606000</v>
      </c>
      <c r="U820" s="1">
        <v>0</v>
      </c>
      <c r="V820" s="1">
        <v>8433637</v>
      </c>
      <c r="W820" s="1">
        <v>1900000</v>
      </c>
      <c r="X820" s="1">
        <v>2104206</v>
      </c>
      <c r="Y820" s="1">
        <v>0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2013770</v>
      </c>
      <c r="AF820" s="1">
        <v>4550643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11316655</v>
      </c>
      <c r="AM820" s="1">
        <v>0</v>
      </c>
      <c r="AN820" s="1">
        <v>0</v>
      </c>
      <c r="AO820" s="1">
        <v>87285392</v>
      </c>
      <c r="AP820" s="1">
        <v>34735365</v>
      </c>
      <c r="AQ820" s="1">
        <v>52550027</v>
      </c>
      <c r="AR820" s="1">
        <v>16546950</v>
      </c>
      <c r="AS820" s="1">
        <v>2482042</v>
      </c>
      <c r="AT820" s="1">
        <f t="shared" si="84"/>
        <v>106314384</v>
      </c>
    </row>
    <row r="821" spans="1:46" x14ac:dyDescent="0.2">
      <c r="A821" s="1" t="str">
        <f>"00940"</f>
        <v>00940</v>
      </c>
      <c r="B821" s="1" t="str">
        <f>"رسول"</f>
        <v>رسول</v>
      </c>
      <c r="C821" s="1" t="str">
        <f>"خورسند نژاد"</f>
        <v>خورسند نژاد</v>
      </c>
      <c r="D821" s="1" t="str">
        <f t="shared" si="87"/>
        <v>قراردادي بهره بردار</v>
      </c>
      <c r="E821" s="1" t="str">
        <f t="shared" si="88"/>
        <v>پروژه بهره برداري نيروگاه بوشهر</v>
      </c>
      <c r="F821" s="1">
        <v>28434853</v>
      </c>
      <c r="G821" s="1">
        <v>34572450</v>
      </c>
      <c r="H821" s="1">
        <v>0</v>
      </c>
      <c r="I821" s="1">
        <v>29329083</v>
      </c>
      <c r="J821" s="1">
        <v>0</v>
      </c>
      <c r="K821" s="1">
        <v>0</v>
      </c>
      <c r="L821" s="1">
        <v>0</v>
      </c>
      <c r="M821" s="1">
        <v>1000000</v>
      </c>
      <c r="N821" s="1">
        <v>4575865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1387000</v>
      </c>
      <c r="U821" s="1">
        <v>0</v>
      </c>
      <c r="V821" s="1">
        <v>16476877</v>
      </c>
      <c r="W821" s="1">
        <v>1900000</v>
      </c>
      <c r="X821" s="1">
        <v>4127640</v>
      </c>
      <c r="Y821" s="1">
        <v>0</v>
      </c>
      <c r="Z821" s="1">
        <v>0</v>
      </c>
      <c r="AA821" s="1">
        <v>0</v>
      </c>
      <c r="AB821" s="1">
        <v>0</v>
      </c>
      <c r="AC821" s="1">
        <v>2957400</v>
      </c>
      <c r="AD821" s="1">
        <v>0</v>
      </c>
      <c r="AE821" s="1">
        <v>3268475</v>
      </c>
      <c r="AF821" s="1">
        <v>3033762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17028490</v>
      </c>
      <c r="AM821" s="1">
        <v>0</v>
      </c>
      <c r="AN821" s="1">
        <v>0</v>
      </c>
      <c r="AO821" s="1">
        <v>148091895</v>
      </c>
      <c r="AP821" s="1">
        <v>56510438</v>
      </c>
      <c r="AQ821" s="1">
        <v>91581457</v>
      </c>
      <c r="AR821" s="1">
        <v>26552511</v>
      </c>
      <c r="AS821" s="1">
        <v>3982877</v>
      </c>
      <c r="AT821" s="1">
        <f t="shared" si="84"/>
        <v>178627283</v>
      </c>
    </row>
    <row r="822" spans="1:46" x14ac:dyDescent="0.2">
      <c r="A822" s="1" t="str">
        <f>"00941"</f>
        <v>00941</v>
      </c>
      <c r="B822" s="1" t="str">
        <f>"عباس"</f>
        <v>عباس</v>
      </c>
      <c r="C822" s="1" t="str">
        <f>"دريسي"</f>
        <v>دريسي</v>
      </c>
      <c r="D822" s="1" t="str">
        <f t="shared" si="87"/>
        <v>قراردادي بهره بردار</v>
      </c>
      <c r="E822" s="1" t="str">
        <f t="shared" si="88"/>
        <v>پروژه بهره برداري نيروگاه بوشهر</v>
      </c>
      <c r="F822" s="1">
        <v>14449637</v>
      </c>
      <c r="G822" s="1">
        <v>17989648</v>
      </c>
      <c r="H822" s="1">
        <v>0</v>
      </c>
      <c r="I822" s="1">
        <v>14272968</v>
      </c>
      <c r="J822" s="1">
        <v>0</v>
      </c>
      <c r="K822" s="1">
        <v>4620000</v>
      </c>
      <c r="L822" s="1">
        <v>0</v>
      </c>
      <c r="M822" s="1">
        <v>1000000</v>
      </c>
      <c r="N822" s="1">
        <v>2803177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1606000</v>
      </c>
      <c r="U822" s="1">
        <v>0</v>
      </c>
      <c r="V822" s="1">
        <v>8291792</v>
      </c>
      <c r="W822" s="1">
        <v>1900000</v>
      </c>
      <c r="X822" s="1">
        <v>2097528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2002269</v>
      </c>
      <c r="AF822" s="1">
        <v>1516881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11292449</v>
      </c>
      <c r="AM822" s="1">
        <v>0</v>
      </c>
      <c r="AN822" s="1">
        <v>0</v>
      </c>
      <c r="AO822" s="1">
        <v>83842349</v>
      </c>
      <c r="AP822" s="1">
        <v>38006292</v>
      </c>
      <c r="AQ822" s="1">
        <v>45836057</v>
      </c>
      <c r="AR822" s="1">
        <v>16465094</v>
      </c>
      <c r="AS822" s="1">
        <v>2469764</v>
      </c>
      <c r="AT822" s="1">
        <f t="shared" si="84"/>
        <v>102777207</v>
      </c>
    </row>
    <row r="823" spans="1:46" x14ac:dyDescent="0.2">
      <c r="A823" s="1" t="str">
        <f>"00942"</f>
        <v>00942</v>
      </c>
      <c r="B823" s="1" t="str">
        <f>"سعيد"</f>
        <v>سعيد</v>
      </c>
      <c r="C823" s="1" t="str">
        <f>"دشتي"</f>
        <v>دشتي</v>
      </c>
      <c r="D823" s="1" t="str">
        <f t="shared" si="87"/>
        <v>قراردادي بهره بردار</v>
      </c>
      <c r="E823" s="1" t="str">
        <f t="shared" si="88"/>
        <v>پروژه بهره برداري نيروگاه بوشهر</v>
      </c>
      <c r="F823" s="1">
        <v>17538477</v>
      </c>
      <c r="G823" s="1">
        <v>23512745</v>
      </c>
      <c r="H823" s="1">
        <v>0</v>
      </c>
      <c r="I823" s="1">
        <v>20429342</v>
      </c>
      <c r="J823" s="1">
        <v>0</v>
      </c>
      <c r="K823" s="1">
        <v>4620000</v>
      </c>
      <c r="L823" s="1">
        <v>0</v>
      </c>
      <c r="M823" s="1">
        <v>1000000</v>
      </c>
      <c r="N823" s="1">
        <v>3539241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1606000</v>
      </c>
      <c r="U823" s="1">
        <v>0</v>
      </c>
      <c r="V823" s="1">
        <v>11205935</v>
      </c>
      <c r="W823" s="1">
        <v>1900000</v>
      </c>
      <c r="X823" s="1">
        <v>2545908</v>
      </c>
      <c r="Y823" s="1">
        <v>0</v>
      </c>
      <c r="Z823" s="1">
        <v>0</v>
      </c>
      <c r="AA823" s="1">
        <v>0</v>
      </c>
      <c r="AB823" s="1">
        <v>0</v>
      </c>
      <c r="AC823" s="1">
        <v>1331925</v>
      </c>
      <c r="AD823" s="1">
        <v>0</v>
      </c>
      <c r="AE823" s="1">
        <v>2528029</v>
      </c>
      <c r="AF823" s="1">
        <v>3033762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12845631</v>
      </c>
      <c r="AM823" s="1">
        <v>0</v>
      </c>
      <c r="AN823" s="1">
        <v>0</v>
      </c>
      <c r="AO823" s="1">
        <v>107636995</v>
      </c>
      <c r="AP823" s="1">
        <v>37976905</v>
      </c>
      <c r="AQ823" s="1">
        <v>69660090</v>
      </c>
      <c r="AR823" s="1">
        <v>20920647</v>
      </c>
      <c r="AS823" s="1">
        <v>3138097</v>
      </c>
      <c r="AT823" s="1">
        <f t="shared" si="84"/>
        <v>131695739</v>
      </c>
    </row>
    <row r="824" spans="1:46" x14ac:dyDescent="0.2">
      <c r="A824" s="1" t="str">
        <f>"00943"</f>
        <v>00943</v>
      </c>
      <c r="B824" s="1" t="str">
        <f>"يحيي"</f>
        <v>يحيي</v>
      </c>
      <c r="C824" s="1" t="str">
        <f>"دهقان"</f>
        <v>دهقان</v>
      </c>
      <c r="D824" s="1" t="str">
        <f t="shared" si="87"/>
        <v>قراردادي بهره بردار</v>
      </c>
      <c r="E824" s="1" t="str">
        <f t="shared" si="88"/>
        <v>پروژه بهره برداري نيروگاه بوشهر</v>
      </c>
      <c r="F824" s="1">
        <v>27267228</v>
      </c>
      <c r="G824" s="1">
        <v>0</v>
      </c>
      <c r="H824" s="1">
        <v>0</v>
      </c>
      <c r="I824" s="1">
        <v>24162401</v>
      </c>
      <c r="J824" s="1">
        <v>0</v>
      </c>
      <c r="K824" s="1">
        <v>5500000</v>
      </c>
      <c r="L824" s="1">
        <v>0</v>
      </c>
      <c r="M824" s="1">
        <v>1000000</v>
      </c>
      <c r="N824" s="1">
        <v>4167196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1606000</v>
      </c>
      <c r="U824" s="1">
        <v>0</v>
      </c>
      <c r="V824" s="1">
        <v>16191164</v>
      </c>
      <c r="W824" s="1">
        <v>1900000</v>
      </c>
      <c r="X824" s="1">
        <v>0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2976568</v>
      </c>
      <c r="AF824" s="1">
        <v>3033762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6191262</v>
      </c>
      <c r="AM824" s="1">
        <v>0</v>
      </c>
      <c r="AN824" s="1">
        <v>0</v>
      </c>
      <c r="AO824" s="1">
        <v>93995581</v>
      </c>
      <c r="AP824" s="1">
        <v>42337243</v>
      </c>
      <c r="AQ824" s="1">
        <v>51658338</v>
      </c>
      <c r="AR824" s="1">
        <v>18192364</v>
      </c>
      <c r="AS824" s="1">
        <v>2728855</v>
      </c>
      <c r="AT824" s="1">
        <f t="shared" si="84"/>
        <v>114916800</v>
      </c>
    </row>
    <row r="825" spans="1:46" x14ac:dyDescent="0.2">
      <c r="A825" s="1" t="str">
        <f>"00944"</f>
        <v>00944</v>
      </c>
      <c r="B825" s="1" t="str">
        <f>"علي"</f>
        <v>علي</v>
      </c>
      <c r="C825" s="1" t="str">
        <f>"دهقاني"</f>
        <v>دهقاني</v>
      </c>
      <c r="D825" s="1" t="str">
        <f t="shared" si="87"/>
        <v>قراردادي بهره بردار</v>
      </c>
      <c r="E825" s="1" t="str">
        <f t="shared" si="88"/>
        <v>پروژه بهره برداري نيروگاه بوشهر</v>
      </c>
      <c r="F825" s="1">
        <v>13437549</v>
      </c>
      <c r="G825" s="1">
        <v>16443834</v>
      </c>
      <c r="H825" s="1">
        <v>0</v>
      </c>
      <c r="I825" s="1">
        <v>12757543</v>
      </c>
      <c r="J825" s="1">
        <v>0</v>
      </c>
      <c r="K825" s="1">
        <v>0</v>
      </c>
      <c r="L825" s="1">
        <v>0</v>
      </c>
      <c r="M825" s="1">
        <v>1000000</v>
      </c>
      <c r="N825" s="1">
        <v>2448946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1606000</v>
      </c>
      <c r="U825" s="1">
        <v>0</v>
      </c>
      <c r="V825" s="1">
        <v>7579295</v>
      </c>
      <c r="W825" s="1">
        <v>1900000</v>
      </c>
      <c r="X825" s="1">
        <v>1950612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1749247</v>
      </c>
      <c r="AF825" s="1">
        <v>1516881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10575881</v>
      </c>
      <c r="AM825" s="1">
        <v>0</v>
      </c>
      <c r="AN825" s="1">
        <v>0</v>
      </c>
      <c r="AO825" s="1">
        <v>72965788</v>
      </c>
      <c r="AP825" s="1">
        <v>29814876</v>
      </c>
      <c r="AQ825" s="1">
        <v>43150912</v>
      </c>
      <c r="AR825" s="1">
        <v>14289781</v>
      </c>
      <c r="AS825" s="1">
        <v>2143467</v>
      </c>
      <c r="AT825" s="1">
        <f t="shared" si="84"/>
        <v>89399036</v>
      </c>
    </row>
    <row r="826" spans="1:46" x14ac:dyDescent="0.2">
      <c r="A826" s="1" t="str">
        <f>"00945"</f>
        <v>00945</v>
      </c>
      <c r="B826" s="1" t="str">
        <f>"محسن"</f>
        <v>محسن</v>
      </c>
      <c r="C826" s="1" t="str">
        <f>"رجبي کرهرودي"</f>
        <v>رجبي کرهرودي</v>
      </c>
      <c r="D826" s="1" t="str">
        <f t="shared" si="87"/>
        <v>قراردادي بهره بردار</v>
      </c>
      <c r="E826" s="1" t="str">
        <f t="shared" si="88"/>
        <v>پروژه بهره برداري نيروگاه بوشهر</v>
      </c>
      <c r="F826" s="1">
        <v>13135237</v>
      </c>
      <c r="G826" s="1">
        <v>16664325</v>
      </c>
      <c r="H826" s="1">
        <v>0</v>
      </c>
      <c r="I826" s="1">
        <v>13192966</v>
      </c>
      <c r="J826" s="1">
        <v>0</v>
      </c>
      <c r="K826" s="1">
        <v>0</v>
      </c>
      <c r="L826" s="1">
        <v>0</v>
      </c>
      <c r="M826" s="1">
        <v>1000000</v>
      </c>
      <c r="N826" s="1">
        <v>2343137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1606000</v>
      </c>
      <c r="U826" s="1">
        <v>0</v>
      </c>
      <c r="V826" s="1">
        <v>7327575</v>
      </c>
      <c r="W826" s="1">
        <v>1900000</v>
      </c>
      <c r="X826" s="1">
        <v>1906728</v>
      </c>
      <c r="Y826" s="1">
        <v>0</v>
      </c>
      <c r="Z826" s="1">
        <v>0</v>
      </c>
      <c r="AA826" s="1">
        <v>0</v>
      </c>
      <c r="AB826" s="1">
        <v>0</v>
      </c>
      <c r="AC826" s="1">
        <v>1331925</v>
      </c>
      <c r="AD826" s="1">
        <v>0</v>
      </c>
      <c r="AE826" s="1">
        <v>1673669</v>
      </c>
      <c r="AF826" s="1">
        <v>1516881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10194925</v>
      </c>
      <c r="AM826" s="1">
        <v>0</v>
      </c>
      <c r="AN826" s="1">
        <v>0</v>
      </c>
      <c r="AO826" s="1">
        <v>73793368</v>
      </c>
      <c r="AP826" s="1">
        <v>27990883</v>
      </c>
      <c r="AQ826" s="1">
        <v>45802485</v>
      </c>
      <c r="AR826" s="1">
        <v>14455297</v>
      </c>
      <c r="AS826" s="1">
        <v>2168295</v>
      </c>
      <c r="AT826" s="1">
        <f t="shared" si="84"/>
        <v>90416960</v>
      </c>
    </row>
    <row r="827" spans="1:46" x14ac:dyDescent="0.2">
      <c r="A827" s="1" t="str">
        <f>"00946"</f>
        <v>00946</v>
      </c>
      <c r="B827" s="1" t="str">
        <f>"فتح اله"</f>
        <v>فتح اله</v>
      </c>
      <c r="C827" s="1" t="str">
        <f>"روانان"</f>
        <v>روانان</v>
      </c>
      <c r="D827" s="1" t="str">
        <f t="shared" si="87"/>
        <v>قراردادي بهره بردار</v>
      </c>
      <c r="E827" s="1" t="str">
        <f t="shared" si="88"/>
        <v>پروژه بهره برداري نيروگاه بوشهر</v>
      </c>
      <c r="F827" s="1">
        <v>13503269</v>
      </c>
      <c r="G827" s="1">
        <v>16560381</v>
      </c>
      <c r="H827" s="1">
        <v>0</v>
      </c>
      <c r="I827" s="1">
        <v>13246808</v>
      </c>
      <c r="J827" s="1">
        <v>0</v>
      </c>
      <c r="K827" s="1">
        <v>4620000</v>
      </c>
      <c r="L827" s="1">
        <v>0</v>
      </c>
      <c r="M827" s="1">
        <v>1000000</v>
      </c>
      <c r="N827" s="1">
        <v>2471948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1387000</v>
      </c>
      <c r="U827" s="1">
        <v>0</v>
      </c>
      <c r="V827" s="1">
        <v>7281870</v>
      </c>
      <c r="W827" s="1">
        <v>1900000</v>
      </c>
      <c r="X827" s="1">
        <v>1960152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1765677</v>
      </c>
      <c r="AF827" s="1">
        <v>1516881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10622981</v>
      </c>
      <c r="AM827" s="1">
        <v>0</v>
      </c>
      <c r="AN827" s="1">
        <v>0</v>
      </c>
      <c r="AO827" s="1">
        <v>77836967</v>
      </c>
      <c r="AP827" s="1">
        <v>21662900</v>
      </c>
      <c r="AQ827" s="1">
        <v>56174067</v>
      </c>
      <c r="AR827" s="1">
        <v>15264017</v>
      </c>
      <c r="AS827" s="1">
        <v>2289603</v>
      </c>
      <c r="AT827" s="1">
        <f t="shared" si="84"/>
        <v>95390587</v>
      </c>
    </row>
    <row r="828" spans="1:46" x14ac:dyDescent="0.2">
      <c r="A828" s="1" t="str">
        <f>"00947"</f>
        <v>00947</v>
      </c>
      <c r="B828" s="1" t="str">
        <f>"عليرضا"</f>
        <v>عليرضا</v>
      </c>
      <c r="C828" s="1" t="str">
        <f>"زارع پور"</f>
        <v>زارع پور</v>
      </c>
      <c r="D828" s="1" t="str">
        <f t="shared" si="87"/>
        <v>قراردادي بهره بردار</v>
      </c>
      <c r="E828" s="1" t="str">
        <f t="shared" si="88"/>
        <v>پروژه بهره برداري نيروگاه بوشهر</v>
      </c>
      <c r="F828" s="1">
        <v>16471623</v>
      </c>
      <c r="G828" s="1">
        <v>21475831</v>
      </c>
      <c r="H828" s="1">
        <v>0</v>
      </c>
      <c r="I828" s="1">
        <v>18213532</v>
      </c>
      <c r="J828" s="1">
        <v>0</v>
      </c>
      <c r="K828" s="1">
        <v>4620000</v>
      </c>
      <c r="L828" s="1">
        <v>0</v>
      </c>
      <c r="M828" s="1">
        <v>1000000</v>
      </c>
      <c r="N828" s="1">
        <v>3165842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1387000</v>
      </c>
      <c r="U828" s="1">
        <v>0</v>
      </c>
      <c r="V828" s="1">
        <v>10235162</v>
      </c>
      <c r="W828" s="1">
        <v>1900000</v>
      </c>
      <c r="X828" s="1">
        <v>2391042</v>
      </c>
      <c r="Y828" s="1">
        <v>0</v>
      </c>
      <c r="Z828" s="1">
        <v>0</v>
      </c>
      <c r="AA828" s="1">
        <v>0</v>
      </c>
      <c r="AB828" s="1">
        <v>0</v>
      </c>
      <c r="AC828" s="1">
        <v>1331925</v>
      </c>
      <c r="AD828" s="1">
        <v>0</v>
      </c>
      <c r="AE828" s="1">
        <v>2261316</v>
      </c>
      <c r="AF828" s="1">
        <v>3033762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11725434</v>
      </c>
      <c r="AM828" s="1">
        <v>0</v>
      </c>
      <c r="AN828" s="1">
        <v>0</v>
      </c>
      <c r="AO828" s="1">
        <v>99212469</v>
      </c>
      <c r="AP828" s="1">
        <v>41950700</v>
      </c>
      <c r="AQ828" s="1">
        <v>57261769</v>
      </c>
      <c r="AR828" s="1">
        <v>19235741</v>
      </c>
      <c r="AS828" s="1">
        <v>2885361</v>
      </c>
      <c r="AT828" s="1">
        <f t="shared" si="84"/>
        <v>121333571</v>
      </c>
    </row>
    <row r="829" spans="1:46" x14ac:dyDescent="0.2">
      <c r="A829" s="1" t="str">
        <f>"00948"</f>
        <v>00948</v>
      </c>
      <c r="B829" s="1" t="str">
        <f>"سعيد"</f>
        <v>سعيد</v>
      </c>
      <c r="C829" s="1" t="str">
        <f>"زارعي"</f>
        <v>زارعي</v>
      </c>
      <c r="D829" s="1" t="str">
        <f t="shared" ref="D829:D862" si="89">"قراردادي بهره بردار"</f>
        <v>قراردادي بهره بردار</v>
      </c>
      <c r="E829" s="1" t="str">
        <f t="shared" ref="E829:E862" si="90">"پروژه بهره برداري نيروگاه بوشهر"</f>
        <v>پروژه بهره برداري نيروگاه بوشهر</v>
      </c>
      <c r="F829" s="1">
        <v>14642416</v>
      </c>
      <c r="G829" s="1">
        <v>17326220</v>
      </c>
      <c r="H829" s="1">
        <v>0</v>
      </c>
      <c r="I829" s="1">
        <v>14301435</v>
      </c>
      <c r="J829" s="1">
        <v>0</v>
      </c>
      <c r="K829" s="1">
        <v>4620000</v>
      </c>
      <c r="L829" s="1">
        <v>0</v>
      </c>
      <c r="M829" s="1">
        <v>1000000</v>
      </c>
      <c r="N829" s="1">
        <v>2870650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1606000</v>
      </c>
      <c r="U829" s="1">
        <v>0</v>
      </c>
      <c r="V829" s="1">
        <v>8076885</v>
      </c>
      <c r="W829" s="1">
        <v>1900000</v>
      </c>
      <c r="X829" s="1">
        <v>2125512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2050464</v>
      </c>
      <c r="AF829" s="1">
        <v>0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9211753</v>
      </c>
      <c r="AM829" s="1">
        <v>0</v>
      </c>
      <c r="AN829" s="1">
        <v>0</v>
      </c>
      <c r="AO829" s="1">
        <v>79731335</v>
      </c>
      <c r="AP829" s="1">
        <v>24737099</v>
      </c>
      <c r="AQ829" s="1">
        <v>54994236</v>
      </c>
      <c r="AR829" s="1">
        <v>15946267</v>
      </c>
      <c r="AS829" s="1">
        <v>2391940</v>
      </c>
      <c r="AT829" s="1">
        <f t="shared" si="84"/>
        <v>98069542</v>
      </c>
    </row>
    <row r="830" spans="1:46" x14ac:dyDescent="0.2">
      <c r="A830" s="1" t="str">
        <f>"00949"</f>
        <v>00949</v>
      </c>
      <c r="B830" s="1" t="str">
        <f>"رضا"</f>
        <v>رضا</v>
      </c>
      <c r="C830" s="1" t="str">
        <f>"زبردست"</f>
        <v>زبردست</v>
      </c>
      <c r="D830" s="1" t="str">
        <f t="shared" si="89"/>
        <v>قراردادي بهره بردار</v>
      </c>
      <c r="E830" s="1" t="str">
        <f t="shared" si="90"/>
        <v>پروژه بهره برداري نيروگاه بوشهر</v>
      </c>
      <c r="F830" s="1">
        <v>14274384</v>
      </c>
      <c r="G830" s="1">
        <v>18771667</v>
      </c>
      <c r="H830" s="1">
        <v>0</v>
      </c>
      <c r="I830" s="1">
        <v>15531279</v>
      </c>
      <c r="J830" s="1">
        <v>0</v>
      </c>
      <c r="K830" s="1">
        <v>3465000</v>
      </c>
      <c r="L830" s="1">
        <v>0</v>
      </c>
      <c r="M830" s="1">
        <v>1000000</v>
      </c>
      <c r="N830" s="1">
        <v>2741838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1387000</v>
      </c>
      <c r="U830" s="1">
        <v>0</v>
      </c>
      <c r="V830" s="1">
        <v>8652242</v>
      </c>
      <c r="W830" s="1">
        <v>1900000</v>
      </c>
      <c r="X830" s="1">
        <v>2072088</v>
      </c>
      <c r="Y830" s="1">
        <v>0</v>
      </c>
      <c r="Z830" s="1">
        <v>0</v>
      </c>
      <c r="AA830" s="1">
        <v>0</v>
      </c>
      <c r="AB830" s="1">
        <v>0</v>
      </c>
      <c r="AC830" s="1">
        <v>1331925</v>
      </c>
      <c r="AD830" s="1">
        <v>0</v>
      </c>
      <c r="AE830" s="1">
        <v>1958456</v>
      </c>
      <c r="AF830" s="1">
        <v>0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10930989</v>
      </c>
      <c r="AM830" s="1">
        <v>0</v>
      </c>
      <c r="AN830" s="1">
        <v>0</v>
      </c>
      <c r="AO830" s="1">
        <v>84016868</v>
      </c>
      <c r="AP830" s="1">
        <v>30525859</v>
      </c>
      <c r="AQ830" s="1">
        <v>53491009</v>
      </c>
      <c r="AR830" s="1">
        <v>16803374</v>
      </c>
      <c r="AS830" s="1">
        <v>2520506</v>
      </c>
      <c r="AT830" s="1">
        <f t="shared" si="84"/>
        <v>103340748</v>
      </c>
    </row>
    <row r="831" spans="1:46" x14ac:dyDescent="0.2">
      <c r="A831" s="1" t="str">
        <f>"00950"</f>
        <v>00950</v>
      </c>
      <c r="B831" s="1" t="str">
        <f>"قاسم"</f>
        <v>قاسم</v>
      </c>
      <c r="C831" s="1" t="str">
        <f>"زنده بودي"</f>
        <v>زنده بودي</v>
      </c>
      <c r="D831" s="1" t="str">
        <f t="shared" si="89"/>
        <v>قراردادي بهره بردار</v>
      </c>
      <c r="E831" s="1" t="str">
        <f t="shared" si="90"/>
        <v>پروژه بهره برداري نيروگاه بوشهر</v>
      </c>
      <c r="F831" s="1">
        <v>13582133</v>
      </c>
      <c r="G831" s="1">
        <v>17033733</v>
      </c>
      <c r="H831" s="1">
        <v>0</v>
      </c>
      <c r="I831" s="1">
        <v>13585605</v>
      </c>
      <c r="J831" s="1">
        <v>0</v>
      </c>
      <c r="K831" s="1">
        <v>4620000</v>
      </c>
      <c r="L831" s="1">
        <v>0</v>
      </c>
      <c r="M831" s="1">
        <v>1000000</v>
      </c>
      <c r="N831" s="1">
        <v>2499551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1606000</v>
      </c>
      <c r="U831" s="1">
        <v>0</v>
      </c>
      <c r="V831" s="1">
        <v>7851192</v>
      </c>
      <c r="W831" s="1">
        <v>1900000</v>
      </c>
      <c r="X831" s="1">
        <v>1971600</v>
      </c>
      <c r="Y831" s="1">
        <v>0</v>
      </c>
      <c r="Z831" s="1">
        <v>0</v>
      </c>
      <c r="AA831" s="1">
        <v>0</v>
      </c>
      <c r="AB831" s="1">
        <v>0</v>
      </c>
      <c r="AC831" s="1">
        <v>0</v>
      </c>
      <c r="AD831" s="1">
        <v>0</v>
      </c>
      <c r="AE831" s="1">
        <v>1785393</v>
      </c>
      <c r="AF831" s="1">
        <v>1516881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10986193</v>
      </c>
      <c r="AM831" s="1">
        <v>0</v>
      </c>
      <c r="AN831" s="1">
        <v>0</v>
      </c>
      <c r="AO831" s="1">
        <v>79938281</v>
      </c>
      <c r="AP831" s="1">
        <v>10620872</v>
      </c>
      <c r="AQ831" s="1">
        <v>69317409</v>
      </c>
      <c r="AR831" s="1">
        <v>15684280</v>
      </c>
      <c r="AS831" s="1">
        <v>2352642</v>
      </c>
      <c r="AT831" s="1">
        <f t="shared" si="84"/>
        <v>97975203</v>
      </c>
    </row>
    <row r="832" spans="1:46" x14ac:dyDescent="0.2">
      <c r="A832" s="1" t="str">
        <f>"00951"</f>
        <v>00951</v>
      </c>
      <c r="B832" s="1" t="str">
        <f>"شهرام"</f>
        <v>شهرام</v>
      </c>
      <c r="C832" s="1" t="str">
        <f>"زنگنه"</f>
        <v>زنگنه</v>
      </c>
      <c r="D832" s="1" t="str">
        <f t="shared" si="89"/>
        <v>قراردادي بهره بردار</v>
      </c>
      <c r="E832" s="1" t="str">
        <f t="shared" si="90"/>
        <v>پروژه بهره برداري نيروگاه بوشهر</v>
      </c>
      <c r="F832" s="1">
        <v>17065293</v>
      </c>
      <c r="G832" s="1">
        <v>21648055</v>
      </c>
      <c r="H832" s="1">
        <v>0</v>
      </c>
      <c r="I832" s="1">
        <v>18398623</v>
      </c>
      <c r="J832" s="1">
        <v>0</v>
      </c>
      <c r="K832" s="1">
        <v>4620000</v>
      </c>
      <c r="L832" s="1">
        <v>0</v>
      </c>
      <c r="M832" s="1">
        <v>1000000</v>
      </c>
      <c r="N832" s="1">
        <v>3373627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1387000</v>
      </c>
      <c r="U832" s="1">
        <v>0</v>
      </c>
      <c r="V832" s="1">
        <v>10317242</v>
      </c>
      <c r="W832" s="1">
        <v>1900000</v>
      </c>
      <c r="X832" s="1">
        <v>2477220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2409733</v>
      </c>
      <c r="AF832" s="1">
        <v>4550643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12348788</v>
      </c>
      <c r="AM832" s="1">
        <v>0</v>
      </c>
      <c r="AN832" s="1">
        <v>0</v>
      </c>
      <c r="AO832" s="1">
        <v>101496224</v>
      </c>
      <c r="AP832" s="1">
        <v>43742917</v>
      </c>
      <c r="AQ832" s="1">
        <v>57753307</v>
      </c>
      <c r="AR832" s="1">
        <v>19389116</v>
      </c>
      <c r="AS832" s="1">
        <v>2908367</v>
      </c>
      <c r="AT832" s="1">
        <f t="shared" si="84"/>
        <v>123793707</v>
      </c>
    </row>
    <row r="833" spans="1:46" x14ac:dyDescent="0.2">
      <c r="A833" s="1" t="str">
        <f>"00952"</f>
        <v>00952</v>
      </c>
      <c r="B833" s="1" t="str">
        <f>"علي"</f>
        <v>علي</v>
      </c>
      <c r="C833" s="1" t="str">
        <f>"ساعي"</f>
        <v>ساعي</v>
      </c>
      <c r="D833" s="1" t="str">
        <f t="shared" si="89"/>
        <v>قراردادي بهره بردار</v>
      </c>
      <c r="E833" s="1" t="str">
        <f t="shared" si="90"/>
        <v>پروژه بهره برداري نيروگاه بوشهر</v>
      </c>
      <c r="F833" s="1">
        <v>28044915</v>
      </c>
      <c r="G833" s="1">
        <v>6404987</v>
      </c>
      <c r="H833" s="1">
        <v>0</v>
      </c>
      <c r="I833" s="1">
        <v>25600194</v>
      </c>
      <c r="J833" s="1">
        <v>0</v>
      </c>
      <c r="K833" s="1">
        <v>0</v>
      </c>
      <c r="L833" s="1">
        <v>0</v>
      </c>
      <c r="M833" s="1">
        <v>1000000</v>
      </c>
      <c r="N833" s="1">
        <v>4439386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1387000</v>
      </c>
      <c r="U833" s="1">
        <v>0</v>
      </c>
      <c r="V833" s="1">
        <v>14601631</v>
      </c>
      <c r="W833" s="1">
        <v>1900000</v>
      </c>
      <c r="X833" s="1">
        <v>0</v>
      </c>
      <c r="Y833" s="1">
        <v>0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">
        <v>3170990</v>
      </c>
      <c r="AF833" s="1">
        <v>1516881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6659079</v>
      </c>
      <c r="AM833" s="1">
        <v>0</v>
      </c>
      <c r="AN833" s="1">
        <v>0</v>
      </c>
      <c r="AO833" s="1">
        <v>94725063</v>
      </c>
      <c r="AP833" s="1">
        <v>47581981</v>
      </c>
      <c r="AQ833" s="1">
        <v>47143082</v>
      </c>
      <c r="AR833" s="1">
        <v>18641636</v>
      </c>
      <c r="AS833" s="1">
        <v>2796245</v>
      </c>
      <c r="AT833" s="1">
        <f t="shared" si="84"/>
        <v>116162944</v>
      </c>
    </row>
    <row r="834" spans="1:46" x14ac:dyDescent="0.2">
      <c r="A834" s="1" t="str">
        <f>"00953"</f>
        <v>00953</v>
      </c>
      <c r="B834" s="1" t="str">
        <f>"علي اکبر"</f>
        <v>علي اکبر</v>
      </c>
      <c r="C834" s="1" t="str">
        <f>"سلماني مشکاني"</f>
        <v>سلماني مشکاني</v>
      </c>
      <c r="D834" s="1" t="str">
        <f t="shared" si="89"/>
        <v>قراردادي بهره بردار</v>
      </c>
      <c r="E834" s="1" t="str">
        <f t="shared" si="90"/>
        <v>پروژه بهره برداري نيروگاه بوشهر</v>
      </c>
      <c r="F834" s="1">
        <v>17996327</v>
      </c>
      <c r="G834" s="1">
        <v>3677606</v>
      </c>
      <c r="H834" s="1">
        <v>0</v>
      </c>
      <c r="I834" s="1">
        <v>17938106</v>
      </c>
      <c r="J834" s="1">
        <v>0</v>
      </c>
      <c r="K834" s="1">
        <v>4620000</v>
      </c>
      <c r="L834" s="1">
        <v>0</v>
      </c>
      <c r="M834" s="1">
        <v>1000000</v>
      </c>
      <c r="N834" s="1">
        <v>3239448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1387000</v>
      </c>
      <c r="U834" s="1">
        <v>0</v>
      </c>
      <c r="V834" s="1">
        <v>4737903</v>
      </c>
      <c r="W834" s="1">
        <v>1900000</v>
      </c>
      <c r="X834" s="1">
        <v>0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2313892</v>
      </c>
      <c r="AF834" s="1">
        <v>3033762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5891250</v>
      </c>
      <c r="AM834" s="1">
        <v>0</v>
      </c>
      <c r="AN834" s="1">
        <v>0</v>
      </c>
      <c r="AO834" s="1">
        <v>67735294</v>
      </c>
      <c r="AP834" s="1">
        <v>8627069</v>
      </c>
      <c r="AQ834" s="1">
        <v>59108225</v>
      </c>
      <c r="AR834" s="1">
        <v>12940306</v>
      </c>
      <c r="AS834" s="1">
        <v>1941046</v>
      </c>
      <c r="AT834" s="1">
        <f t="shared" si="84"/>
        <v>82616646</v>
      </c>
    </row>
    <row r="835" spans="1:46" x14ac:dyDescent="0.2">
      <c r="A835" s="1" t="str">
        <f>"00954"</f>
        <v>00954</v>
      </c>
      <c r="B835" s="1" t="str">
        <f>"کامران"</f>
        <v>کامران</v>
      </c>
      <c r="C835" s="1" t="str">
        <f>"صادقي"</f>
        <v>صادقي</v>
      </c>
      <c r="D835" s="1" t="str">
        <f t="shared" si="89"/>
        <v>قراردادي بهره بردار</v>
      </c>
      <c r="E835" s="1" t="str">
        <f t="shared" si="90"/>
        <v>پروژه بهره برداري نيروگاه بوشهر</v>
      </c>
      <c r="F835" s="1">
        <v>16210933</v>
      </c>
      <c r="G835" s="1">
        <v>23693916</v>
      </c>
      <c r="H835" s="1">
        <v>0</v>
      </c>
      <c r="I835" s="1">
        <v>15899253</v>
      </c>
      <c r="J835" s="1">
        <v>0</v>
      </c>
      <c r="K835" s="1">
        <v>0</v>
      </c>
      <c r="L835" s="1">
        <v>0</v>
      </c>
      <c r="M835" s="1">
        <v>1000000</v>
      </c>
      <c r="N835" s="1">
        <v>3074601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1606000</v>
      </c>
      <c r="U835" s="1">
        <v>0</v>
      </c>
      <c r="V835" s="1">
        <v>9033823</v>
      </c>
      <c r="W835" s="1">
        <v>1900000</v>
      </c>
      <c r="X835" s="1">
        <v>2353200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2196143</v>
      </c>
      <c r="AF835" s="1">
        <v>1516881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9548021</v>
      </c>
      <c r="AM835" s="1">
        <v>0</v>
      </c>
      <c r="AN835" s="1">
        <v>0</v>
      </c>
      <c r="AO835" s="1">
        <v>88032771</v>
      </c>
      <c r="AP835" s="1">
        <v>32278239</v>
      </c>
      <c r="AQ835" s="1">
        <v>55754532</v>
      </c>
      <c r="AR835" s="1">
        <v>17303178</v>
      </c>
      <c r="AS835" s="1">
        <v>2595477</v>
      </c>
      <c r="AT835" s="1">
        <f t="shared" ref="AT835:AT898" si="91">AO835+AR835+AS835</f>
        <v>107931426</v>
      </c>
    </row>
    <row r="836" spans="1:46" x14ac:dyDescent="0.2">
      <c r="A836" s="1" t="str">
        <f>"00956"</f>
        <v>00956</v>
      </c>
      <c r="B836" s="1" t="str">
        <f>"امين"</f>
        <v>امين</v>
      </c>
      <c r="C836" s="1" t="str">
        <f>"ظاهري عبده وند"</f>
        <v>ظاهري عبده وند</v>
      </c>
      <c r="D836" s="1" t="str">
        <f t="shared" si="89"/>
        <v>قراردادي بهره بردار</v>
      </c>
      <c r="E836" s="1" t="str">
        <f t="shared" si="90"/>
        <v>پروژه بهره برداري نيروگاه بوشهر</v>
      </c>
      <c r="F836" s="1">
        <v>14554789</v>
      </c>
      <c r="G836" s="1">
        <v>19274785</v>
      </c>
      <c r="H836" s="1">
        <v>0</v>
      </c>
      <c r="I836" s="1">
        <v>15943124</v>
      </c>
      <c r="J836" s="1">
        <v>0</v>
      </c>
      <c r="K836" s="1">
        <v>4620000</v>
      </c>
      <c r="L836" s="1">
        <v>0</v>
      </c>
      <c r="M836" s="1">
        <v>1000000</v>
      </c>
      <c r="N836" s="1">
        <v>2839980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1387000</v>
      </c>
      <c r="U836" s="1">
        <v>0</v>
      </c>
      <c r="V836" s="1">
        <v>8884138</v>
      </c>
      <c r="W836" s="1">
        <v>1900000</v>
      </c>
      <c r="X836" s="1">
        <v>2112792</v>
      </c>
      <c r="Y836" s="1">
        <v>0</v>
      </c>
      <c r="Z836" s="1">
        <v>0</v>
      </c>
      <c r="AA836" s="1">
        <v>0</v>
      </c>
      <c r="AB836" s="1">
        <v>0</v>
      </c>
      <c r="AC836" s="1">
        <v>1331925</v>
      </c>
      <c r="AD836" s="1">
        <v>0</v>
      </c>
      <c r="AE836" s="1">
        <v>2028557</v>
      </c>
      <c r="AF836" s="1">
        <v>1516881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11323994</v>
      </c>
      <c r="AM836" s="1">
        <v>0</v>
      </c>
      <c r="AN836" s="1">
        <v>0</v>
      </c>
      <c r="AO836" s="1">
        <v>88717965</v>
      </c>
      <c r="AP836" s="1">
        <v>37080067</v>
      </c>
      <c r="AQ836" s="1">
        <v>51637898</v>
      </c>
      <c r="AR836" s="1">
        <v>17440217</v>
      </c>
      <c r="AS836" s="1">
        <v>2616033</v>
      </c>
      <c r="AT836" s="1">
        <f t="shared" si="91"/>
        <v>108774215</v>
      </c>
    </row>
    <row r="837" spans="1:46" x14ac:dyDescent="0.2">
      <c r="A837" s="1" t="str">
        <f>"00957"</f>
        <v>00957</v>
      </c>
      <c r="B837" s="1" t="str">
        <f>"محمود"</f>
        <v>محمود</v>
      </c>
      <c r="C837" s="1" t="str">
        <f>"عابدي"</f>
        <v>عابدي</v>
      </c>
      <c r="D837" s="1" t="str">
        <f t="shared" si="89"/>
        <v>قراردادي بهره بردار</v>
      </c>
      <c r="E837" s="1" t="str">
        <f t="shared" si="90"/>
        <v>پروژه بهره برداري نيروگاه بوشهر</v>
      </c>
      <c r="F837" s="1">
        <v>15227324</v>
      </c>
      <c r="G837" s="1">
        <v>19542902</v>
      </c>
      <c r="H837" s="1">
        <v>0</v>
      </c>
      <c r="I837" s="1">
        <v>16389120</v>
      </c>
      <c r="J837" s="1">
        <v>0</v>
      </c>
      <c r="K837" s="1">
        <v>4620000</v>
      </c>
      <c r="L837" s="1">
        <v>0</v>
      </c>
      <c r="M837" s="1">
        <v>1000000</v>
      </c>
      <c r="N837" s="1">
        <v>3075367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1606000</v>
      </c>
      <c r="U837" s="1">
        <v>0</v>
      </c>
      <c r="V837" s="1">
        <v>9110225</v>
      </c>
      <c r="W837" s="1">
        <v>1900000</v>
      </c>
      <c r="X837" s="1">
        <v>2210418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2196691</v>
      </c>
      <c r="AF837" s="1">
        <v>1516881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11699365</v>
      </c>
      <c r="AM837" s="1">
        <v>0</v>
      </c>
      <c r="AN837" s="1">
        <v>0</v>
      </c>
      <c r="AO837" s="1">
        <v>90094293</v>
      </c>
      <c r="AP837" s="1">
        <v>38176647</v>
      </c>
      <c r="AQ837" s="1">
        <v>51917646</v>
      </c>
      <c r="AR837" s="1">
        <v>17715482</v>
      </c>
      <c r="AS837" s="1">
        <v>2657322</v>
      </c>
      <c r="AT837" s="1">
        <f t="shared" si="91"/>
        <v>110467097</v>
      </c>
    </row>
    <row r="838" spans="1:46" x14ac:dyDescent="0.2">
      <c r="A838" s="1" t="str">
        <f>"00958"</f>
        <v>00958</v>
      </c>
      <c r="B838" s="1" t="str">
        <f>"هادي"</f>
        <v>هادي</v>
      </c>
      <c r="C838" s="1" t="str">
        <f>"عباسي"</f>
        <v>عباسي</v>
      </c>
      <c r="D838" s="1" t="str">
        <f t="shared" si="89"/>
        <v>قراردادي بهره بردار</v>
      </c>
      <c r="E838" s="1" t="str">
        <f t="shared" si="90"/>
        <v>پروژه بهره برداري نيروگاه بوشهر</v>
      </c>
      <c r="F838" s="1">
        <v>13704811</v>
      </c>
      <c r="G838" s="1">
        <v>20616489</v>
      </c>
      <c r="H838" s="1">
        <v>0</v>
      </c>
      <c r="I838" s="1">
        <v>13519140</v>
      </c>
      <c r="J838" s="1">
        <v>0</v>
      </c>
      <c r="K838" s="1">
        <v>0</v>
      </c>
      <c r="L838" s="1">
        <v>0</v>
      </c>
      <c r="M838" s="1">
        <v>1000000</v>
      </c>
      <c r="N838" s="1">
        <v>2542488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1606000</v>
      </c>
      <c r="U838" s="1">
        <v>0</v>
      </c>
      <c r="V838" s="1">
        <v>7864185</v>
      </c>
      <c r="W838" s="1">
        <v>1900000</v>
      </c>
      <c r="X838" s="1">
        <v>1989408</v>
      </c>
      <c r="Y838" s="1">
        <v>0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1816063</v>
      </c>
      <c r="AF838" s="1">
        <v>1516881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10926607</v>
      </c>
      <c r="AM838" s="1">
        <v>0</v>
      </c>
      <c r="AN838" s="1">
        <v>0</v>
      </c>
      <c r="AO838" s="1">
        <v>79002072</v>
      </c>
      <c r="AP838" s="1">
        <v>31433146</v>
      </c>
      <c r="AQ838" s="1">
        <v>47568926</v>
      </c>
      <c r="AR838" s="1">
        <v>15497038</v>
      </c>
      <c r="AS838" s="1">
        <v>2324556</v>
      </c>
      <c r="AT838" s="1">
        <f t="shared" si="91"/>
        <v>96823666</v>
      </c>
    </row>
    <row r="839" spans="1:46" x14ac:dyDescent="0.2">
      <c r="A839" s="1" t="str">
        <f>"00959"</f>
        <v>00959</v>
      </c>
      <c r="B839" s="1" t="str">
        <f>"فرج اله"</f>
        <v>فرج اله</v>
      </c>
      <c r="C839" s="1" t="str">
        <f>"عرب انصاري"</f>
        <v>عرب انصاري</v>
      </c>
      <c r="D839" s="1" t="str">
        <f t="shared" si="89"/>
        <v>قراردادي بهره بردار</v>
      </c>
      <c r="E839" s="1" t="str">
        <f t="shared" si="90"/>
        <v>پروژه بهره برداري نيروگاه بوشهر</v>
      </c>
      <c r="F839" s="1">
        <v>28051487</v>
      </c>
      <c r="G839" s="1">
        <v>5535005</v>
      </c>
      <c r="H839" s="1">
        <v>0</v>
      </c>
      <c r="I839" s="1">
        <v>26360607</v>
      </c>
      <c r="J839" s="1">
        <v>0</v>
      </c>
      <c r="K839" s="1">
        <v>0</v>
      </c>
      <c r="L839" s="1">
        <v>0</v>
      </c>
      <c r="M839" s="1">
        <v>1000000</v>
      </c>
      <c r="N839" s="1">
        <v>4441686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1606000</v>
      </c>
      <c r="U839" s="1">
        <v>0</v>
      </c>
      <c r="V839" s="1">
        <v>18528882</v>
      </c>
      <c r="W839" s="1">
        <v>1900000</v>
      </c>
      <c r="X839" s="1">
        <v>0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3172633</v>
      </c>
      <c r="AF839" s="1">
        <v>3033762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6599076</v>
      </c>
      <c r="AM839" s="1">
        <v>0</v>
      </c>
      <c r="AN839" s="1">
        <v>0</v>
      </c>
      <c r="AO839" s="1">
        <v>100229138</v>
      </c>
      <c r="AP839" s="1">
        <v>45473072</v>
      </c>
      <c r="AQ839" s="1">
        <v>54756066</v>
      </c>
      <c r="AR839" s="1">
        <v>19439075</v>
      </c>
      <c r="AS839" s="1">
        <v>2915861</v>
      </c>
      <c r="AT839" s="1">
        <f t="shared" si="91"/>
        <v>122584074</v>
      </c>
    </row>
    <row r="840" spans="1:46" x14ac:dyDescent="0.2">
      <c r="A840" s="1" t="str">
        <f>"00960"</f>
        <v>00960</v>
      </c>
      <c r="B840" s="1" t="str">
        <f>"کورش"</f>
        <v>کورش</v>
      </c>
      <c r="C840" s="1" t="str">
        <f>"عفيفيان"</f>
        <v>عفيفيان</v>
      </c>
      <c r="D840" s="1" t="str">
        <f t="shared" si="89"/>
        <v>قراردادي بهره بردار</v>
      </c>
      <c r="E840" s="1" t="str">
        <f t="shared" si="90"/>
        <v>پروژه بهره برداري نيروگاه بوشهر</v>
      </c>
      <c r="F840" s="1">
        <v>26592503</v>
      </c>
      <c r="G840" s="1">
        <v>31445789</v>
      </c>
      <c r="H840" s="1">
        <v>0</v>
      </c>
      <c r="I840" s="1">
        <v>26613920</v>
      </c>
      <c r="J840" s="1">
        <v>0</v>
      </c>
      <c r="K840" s="1">
        <v>5500000</v>
      </c>
      <c r="L840" s="1">
        <v>0</v>
      </c>
      <c r="M840" s="1">
        <v>1000000</v>
      </c>
      <c r="N840" s="1">
        <v>3931042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1606000</v>
      </c>
      <c r="U840" s="1">
        <v>0</v>
      </c>
      <c r="V840" s="1">
        <v>14658939</v>
      </c>
      <c r="W840" s="1">
        <v>1900000</v>
      </c>
      <c r="X840" s="1">
        <v>3860202</v>
      </c>
      <c r="Y840" s="1">
        <v>0</v>
      </c>
      <c r="Z840" s="1">
        <v>0</v>
      </c>
      <c r="AA840" s="1">
        <v>0</v>
      </c>
      <c r="AB840" s="1">
        <v>0</v>
      </c>
      <c r="AC840" s="1">
        <v>2957400</v>
      </c>
      <c r="AD840" s="1">
        <v>0</v>
      </c>
      <c r="AE840" s="1">
        <v>2807887</v>
      </c>
      <c r="AF840" s="1">
        <v>3033762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15278257</v>
      </c>
      <c r="AM840" s="1">
        <v>0</v>
      </c>
      <c r="AN840" s="1">
        <v>0</v>
      </c>
      <c r="AO840" s="1">
        <v>141185701</v>
      </c>
      <c r="AP840" s="1">
        <v>49298122</v>
      </c>
      <c r="AQ840" s="1">
        <v>91887579</v>
      </c>
      <c r="AR840" s="1">
        <v>26552511</v>
      </c>
      <c r="AS840" s="1">
        <v>3982877</v>
      </c>
      <c r="AT840" s="1">
        <f t="shared" si="91"/>
        <v>171721089</v>
      </c>
    </row>
    <row r="841" spans="1:46" x14ac:dyDescent="0.2">
      <c r="A841" s="1" t="str">
        <f>"00961"</f>
        <v>00961</v>
      </c>
      <c r="B841" s="1" t="str">
        <f>"احمد"</f>
        <v>احمد</v>
      </c>
      <c r="C841" s="1" t="str">
        <f>"علي زاده"</f>
        <v>علي زاده</v>
      </c>
      <c r="D841" s="1" t="str">
        <f t="shared" si="89"/>
        <v>قراردادي بهره بردار</v>
      </c>
      <c r="E841" s="1" t="str">
        <f t="shared" si="90"/>
        <v>پروژه بهره برداري نيروگاه بوشهر</v>
      </c>
      <c r="F841" s="1">
        <v>14900915</v>
      </c>
      <c r="G841" s="1">
        <v>19041294</v>
      </c>
      <c r="H841" s="1">
        <v>0</v>
      </c>
      <c r="I841" s="1">
        <v>15925048</v>
      </c>
      <c r="J841" s="1">
        <v>0</v>
      </c>
      <c r="K841" s="1">
        <v>4620000</v>
      </c>
      <c r="L841" s="1">
        <v>0</v>
      </c>
      <c r="M841" s="1">
        <v>1000000</v>
      </c>
      <c r="N841" s="1">
        <v>2961124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1606000</v>
      </c>
      <c r="U841" s="1">
        <v>0</v>
      </c>
      <c r="V841" s="1">
        <v>8776517</v>
      </c>
      <c r="W841" s="1">
        <v>1900000</v>
      </c>
      <c r="X841" s="1">
        <v>2163036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2115089</v>
      </c>
      <c r="AF841" s="1">
        <v>3033762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11538460</v>
      </c>
      <c r="AM841" s="1">
        <v>0</v>
      </c>
      <c r="AN841" s="1">
        <v>0</v>
      </c>
      <c r="AO841" s="1">
        <v>89581245</v>
      </c>
      <c r="AP841" s="1">
        <v>31436552</v>
      </c>
      <c r="AQ841" s="1">
        <v>58144693</v>
      </c>
      <c r="AR841" s="1">
        <v>17309497</v>
      </c>
      <c r="AS841" s="1">
        <v>2596424</v>
      </c>
      <c r="AT841" s="1">
        <f t="shared" si="91"/>
        <v>109487166</v>
      </c>
    </row>
    <row r="842" spans="1:46" x14ac:dyDescent="0.2">
      <c r="A842" s="1" t="str">
        <f>"00962"</f>
        <v>00962</v>
      </c>
      <c r="B842" s="1" t="str">
        <f>"کيانوش"</f>
        <v>کيانوش</v>
      </c>
      <c r="C842" s="1" t="str">
        <f>"غذباني"</f>
        <v>غذباني</v>
      </c>
      <c r="D842" s="1" t="str">
        <f t="shared" si="89"/>
        <v>قراردادي بهره بردار</v>
      </c>
      <c r="E842" s="1" t="str">
        <f t="shared" si="90"/>
        <v>پروژه بهره برداري نيروگاه بوشهر</v>
      </c>
      <c r="F842" s="1">
        <v>14440875</v>
      </c>
      <c r="G842" s="1">
        <v>18186956</v>
      </c>
      <c r="H842" s="1">
        <v>0</v>
      </c>
      <c r="I842" s="1">
        <v>14513747</v>
      </c>
      <c r="J842" s="1">
        <v>0</v>
      </c>
      <c r="K842" s="1">
        <v>4620000</v>
      </c>
      <c r="L842" s="1">
        <v>0</v>
      </c>
      <c r="M842" s="1">
        <v>1000000</v>
      </c>
      <c r="N842" s="1">
        <v>2800110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1606000</v>
      </c>
      <c r="U842" s="1">
        <v>0</v>
      </c>
      <c r="V842" s="1">
        <v>8667718</v>
      </c>
      <c r="W842" s="1">
        <v>1900000</v>
      </c>
      <c r="X842" s="1">
        <v>2096256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2000079</v>
      </c>
      <c r="AF842" s="1">
        <v>3033762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11272294</v>
      </c>
      <c r="AM842" s="1">
        <v>0</v>
      </c>
      <c r="AN842" s="1">
        <v>0</v>
      </c>
      <c r="AO842" s="1">
        <v>86137797</v>
      </c>
      <c r="AP842" s="1">
        <v>34593875</v>
      </c>
      <c r="AQ842" s="1">
        <v>51543922</v>
      </c>
      <c r="AR842" s="1">
        <v>16620807</v>
      </c>
      <c r="AS842" s="1">
        <v>2493121</v>
      </c>
      <c r="AT842" s="1">
        <f t="shared" si="91"/>
        <v>105251725</v>
      </c>
    </row>
    <row r="843" spans="1:46" x14ac:dyDescent="0.2">
      <c r="A843" s="1" t="str">
        <f>"00963"</f>
        <v>00963</v>
      </c>
      <c r="B843" s="1" t="str">
        <f>"پشوتن"</f>
        <v>پشوتن</v>
      </c>
      <c r="C843" s="1" t="str">
        <f>"قائدي"</f>
        <v>قائدي</v>
      </c>
      <c r="D843" s="1" t="str">
        <f t="shared" si="89"/>
        <v>قراردادي بهره بردار</v>
      </c>
      <c r="E843" s="1" t="str">
        <f t="shared" si="90"/>
        <v>پروژه بهره برداري نيروگاه بوشهر</v>
      </c>
      <c r="F843" s="1">
        <v>18180343</v>
      </c>
      <c r="G843" s="1">
        <v>23801996</v>
      </c>
      <c r="H843" s="1">
        <v>0</v>
      </c>
      <c r="I843" s="1">
        <v>20776449</v>
      </c>
      <c r="J843" s="1">
        <v>0</v>
      </c>
      <c r="K843" s="1">
        <v>4620000</v>
      </c>
      <c r="L843" s="1">
        <v>0</v>
      </c>
      <c r="M843" s="1">
        <v>1000000</v>
      </c>
      <c r="N843" s="1">
        <v>3763894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1606000</v>
      </c>
      <c r="U843" s="1">
        <v>0</v>
      </c>
      <c r="V843" s="1">
        <v>11343789</v>
      </c>
      <c r="W843" s="1">
        <v>1900000</v>
      </c>
      <c r="X843" s="1">
        <v>2639082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2688496</v>
      </c>
      <c r="AF843" s="1">
        <v>3033762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13519590</v>
      </c>
      <c r="AM843" s="1">
        <v>0</v>
      </c>
      <c r="AN843" s="1">
        <v>0</v>
      </c>
      <c r="AO843" s="1">
        <v>108873401</v>
      </c>
      <c r="AP843" s="1">
        <v>18951294</v>
      </c>
      <c r="AQ843" s="1">
        <v>89922107</v>
      </c>
      <c r="AR843" s="1">
        <v>21167928</v>
      </c>
      <c r="AS843" s="1">
        <v>3175189</v>
      </c>
      <c r="AT843" s="1">
        <f t="shared" si="91"/>
        <v>133216518</v>
      </c>
    </row>
    <row r="844" spans="1:46" x14ac:dyDescent="0.2">
      <c r="A844" s="1" t="str">
        <f>"00964"</f>
        <v>00964</v>
      </c>
      <c r="B844" s="1" t="str">
        <f>"داوود"</f>
        <v>داوود</v>
      </c>
      <c r="C844" s="1" t="str">
        <f>"قايدي"</f>
        <v>قايدي</v>
      </c>
      <c r="D844" s="1" t="str">
        <f t="shared" si="89"/>
        <v>قراردادي بهره بردار</v>
      </c>
      <c r="E844" s="1" t="str">
        <f t="shared" si="90"/>
        <v>پروژه بهره برداري نيروگاه بوشهر</v>
      </c>
      <c r="F844" s="1">
        <v>16432191</v>
      </c>
      <c r="G844" s="1">
        <v>20224805</v>
      </c>
      <c r="H844" s="1">
        <v>0</v>
      </c>
      <c r="I844" s="1">
        <v>16439286</v>
      </c>
      <c r="J844" s="1">
        <v>0</v>
      </c>
      <c r="K844" s="1">
        <v>0</v>
      </c>
      <c r="L844" s="1">
        <v>0</v>
      </c>
      <c r="M844" s="1">
        <v>1000000</v>
      </c>
      <c r="N844" s="1">
        <v>3152041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1387000</v>
      </c>
      <c r="U844" s="1">
        <v>0</v>
      </c>
      <c r="V844" s="1">
        <v>9428104</v>
      </c>
      <c r="W844" s="1">
        <v>1900000</v>
      </c>
      <c r="X844" s="1">
        <v>2385318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2251458</v>
      </c>
      <c r="AF844" s="1">
        <v>1516881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12008249</v>
      </c>
      <c r="AM844" s="1">
        <v>0</v>
      </c>
      <c r="AN844" s="1">
        <v>0</v>
      </c>
      <c r="AO844" s="1">
        <v>88125333</v>
      </c>
      <c r="AP844" s="1">
        <v>19462646</v>
      </c>
      <c r="AQ844" s="1">
        <v>68662687</v>
      </c>
      <c r="AR844" s="1">
        <v>17321690</v>
      </c>
      <c r="AS844" s="1">
        <v>2598254</v>
      </c>
      <c r="AT844" s="1">
        <f t="shared" si="91"/>
        <v>108045277</v>
      </c>
    </row>
    <row r="845" spans="1:46" x14ac:dyDescent="0.2">
      <c r="A845" s="1" t="str">
        <f>"00965"</f>
        <v>00965</v>
      </c>
      <c r="B845" s="1" t="str">
        <f>"اسدالله"</f>
        <v>اسدالله</v>
      </c>
      <c r="C845" s="1" t="str">
        <f>"قبادي فر"</f>
        <v>قبادي فر</v>
      </c>
      <c r="D845" s="1" t="str">
        <f t="shared" si="89"/>
        <v>قراردادي بهره بردار</v>
      </c>
      <c r="E845" s="1" t="str">
        <f t="shared" si="90"/>
        <v>پروژه بهره برداري نيروگاه بوشهر</v>
      </c>
      <c r="F845" s="1">
        <v>17696205</v>
      </c>
      <c r="G845" s="1">
        <v>22221843</v>
      </c>
      <c r="H845" s="1">
        <v>0</v>
      </c>
      <c r="I845" s="1">
        <v>18147285</v>
      </c>
      <c r="J845" s="1">
        <v>0</v>
      </c>
      <c r="K845" s="1">
        <v>4620000</v>
      </c>
      <c r="L845" s="1">
        <v>0</v>
      </c>
      <c r="M845" s="1">
        <v>1000000</v>
      </c>
      <c r="N845" s="1">
        <v>3594446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1606000</v>
      </c>
      <c r="U845" s="1">
        <v>0</v>
      </c>
      <c r="V845" s="1">
        <v>10590704</v>
      </c>
      <c r="W845" s="1">
        <v>1900000</v>
      </c>
      <c r="X845" s="1">
        <v>2568804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2567461</v>
      </c>
      <c r="AF845" s="1">
        <v>1516881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13011246</v>
      </c>
      <c r="AM845" s="1">
        <v>0</v>
      </c>
      <c r="AN845" s="1">
        <v>0</v>
      </c>
      <c r="AO845" s="1">
        <v>101040875</v>
      </c>
      <c r="AP845" s="1">
        <v>43550922</v>
      </c>
      <c r="AQ845" s="1">
        <v>57489953</v>
      </c>
      <c r="AR845" s="1">
        <v>19904799</v>
      </c>
      <c r="AS845" s="1">
        <v>2985720</v>
      </c>
      <c r="AT845" s="1">
        <f t="shared" si="91"/>
        <v>123931394</v>
      </c>
    </row>
    <row r="846" spans="1:46" x14ac:dyDescent="0.2">
      <c r="A846" s="1" t="str">
        <f>"00966"</f>
        <v>00966</v>
      </c>
      <c r="B846" s="1" t="str">
        <f>"جواد"</f>
        <v>جواد</v>
      </c>
      <c r="C846" s="1" t="str">
        <f>"قربان پور"</f>
        <v>قربان پور</v>
      </c>
      <c r="D846" s="1" t="str">
        <f t="shared" si="89"/>
        <v>قراردادي بهره بردار</v>
      </c>
      <c r="E846" s="1" t="str">
        <f t="shared" si="90"/>
        <v>پروژه بهره برداري نيروگاه بوشهر</v>
      </c>
      <c r="F846" s="1">
        <v>16988620</v>
      </c>
      <c r="G846" s="1">
        <v>24251194</v>
      </c>
      <c r="H846" s="1">
        <v>0</v>
      </c>
      <c r="I846" s="1">
        <v>16217396</v>
      </c>
      <c r="J846" s="1">
        <v>0</v>
      </c>
      <c r="K846" s="1">
        <v>4620000</v>
      </c>
      <c r="L846" s="1">
        <v>0</v>
      </c>
      <c r="M846" s="1">
        <v>1000000</v>
      </c>
      <c r="N846" s="1">
        <v>3346791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1387000</v>
      </c>
      <c r="U846" s="1">
        <v>0</v>
      </c>
      <c r="V846" s="1">
        <v>9403014</v>
      </c>
      <c r="W846" s="1">
        <v>1900000</v>
      </c>
      <c r="X846" s="1">
        <v>2466090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2390565</v>
      </c>
      <c r="AF846" s="1">
        <v>1516881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9903456</v>
      </c>
      <c r="AM846" s="1">
        <v>0</v>
      </c>
      <c r="AN846" s="1">
        <v>0</v>
      </c>
      <c r="AO846" s="1">
        <v>95391007</v>
      </c>
      <c r="AP846" s="1">
        <v>35584273</v>
      </c>
      <c r="AQ846" s="1">
        <v>59806734</v>
      </c>
      <c r="AR846" s="1">
        <v>18774825</v>
      </c>
      <c r="AS846" s="1">
        <v>2816224</v>
      </c>
      <c r="AT846" s="1">
        <f t="shared" si="91"/>
        <v>116982056</v>
      </c>
    </row>
    <row r="847" spans="1:46" x14ac:dyDescent="0.2">
      <c r="A847" s="1" t="str">
        <f>"00967"</f>
        <v>00967</v>
      </c>
      <c r="B847" s="1" t="str">
        <f>"حميد"</f>
        <v>حميد</v>
      </c>
      <c r="C847" s="1" t="str">
        <f>"قياسوند"</f>
        <v>قياسوند</v>
      </c>
      <c r="D847" s="1" t="str">
        <f t="shared" si="89"/>
        <v>قراردادي بهره بردار</v>
      </c>
      <c r="E847" s="1" t="str">
        <f t="shared" si="90"/>
        <v>پروژه بهره برداري نيروگاه بوشهر</v>
      </c>
      <c r="F847" s="1">
        <v>23963703</v>
      </c>
      <c r="G847" s="1">
        <v>2174573</v>
      </c>
      <c r="H847" s="1">
        <v>0</v>
      </c>
      <c r="I847" s="1">
        <v>25314202</v>
      </c>
      <c r="J847" s="1">
        <v>0</v>
      </c>
      <c r="K847" s="1">
        <v>0</v>
      </c>
      <c r="L847" s="1">
        <v>0</v>
      </c>
      <c r="M847" s="1">
        <v>1000000</v>
      </c>
      <c r="N847" s="1">
        <v>3715590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1387000</v>
      </c>
      <c r="U847" s="1">
        <v>0</v>
      </c>
      <c r="V847" s="1">
        <v>12436549</v>
      </c>
      <c r="W847" s="1">
        <v>1900000</v>
      </c>
      <c r="X847" s="1">
        <v>0</v>
      </c>
      <c r="Y847" s="1">
        <v>0</v>
      </c>
      <c r="Z847" s="1">
        <v>0</v>
      </c>
      <c r="AA847" s="1">
        <v>0</v>
      </c>
      <c r="AB847" s="1">
        <v>0</v>
      </c>
      <c r="AC847" s="1">
        <v>3384580</v>
      </c>
      <c r="AD847" s="1">
        <v>0</v>
      </c>
      <c r="AE847" s="1">
        <v>2653993</v>
      </c>
      <c r="AF847" s="1">
        <v>4550643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5573385</v>
      </c>
      <c r="AM847" s="1">
        <v>0</v>
      </c>
      <c r="AN847" s="1">
        <v>0</v>
      </c>
      <c r="AO847" s="1">
        <v>88054218</v>
      </c>
      <c r="AP847" s="1">
        <v>38786986</v>
      </c>
      <c r="AQ847" s="1">
        <v>49267232</v>
      </c>
      <c r="AR847" s="1">
        <v>16700715</v>
      </c>
      <c r="AS847" s="1">
        <v>2505107</v>
      </c>
      <c r="AT847" s="1">
        <f t="shared" si="91"/>
        <v>107260040</v>
      </c>
    </row>
    <row r="848" spans="1:46" x14ac:dyDescent="0.2">
      <c r="A848" s="1" t="str">
        <f>"00968"</f>
        <v>00968</v>
      </c>
      <c r="B848" s="1" t="str">
        <f>"پيمان"</f>
        <v>پيمان</v>
      </c>
      <c r="C848" s="1" t="str">
        <f>"كمري قنواتي"</f>
        <v>كمري قنواتي</v>
      </c>
      <c r="D848" s="1" t="str">
        <f t="shared" si="89"/>
        <v>قراردادي بهره بردار</v>
      </c>
      <c r="E848" s="1" t="str">
        <f t="shared" si="90"/>
        <v>پروژه بهره برداري نيروگاه بوشهر</v>
      </c>
      <c r="F848" s="1">
        <v>13847204</v>
      </c>
      <c r="G848" s="1">
        <v>17506886</v>
      </c>
      <c r="H848" s="1">
        <v>0</v>
      </c>
      <c r="I848" s="1">
        <v>13352086</v>
      </c>
      <c r="J848" s="1">
        <v>0</v>
      </c>
      <c r="K848" s="1">
        <v>4620000</v>
      </c>
      <c r="L848" s="1">
        <v>0</v>
      </c>
      <c r="M848" s="1">
        <v>1000000</v>
      </c>
      <c r="N848" s="1">
        <v>2592325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1387000</v>
      </c>
      <c r="U848" s="1">
        <v>0</v>
      </c>
      <c r="V848" s="1">
        <v>8161104</v>
      </c>
      <c r="W848" s="1">
        <v>1900000</v>
      </c>
      <c r="X848" s="1">
        <v>2010078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1851661</v>
      </c>
      <c r="AF848" s="1">
        <v>3033762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11882614</v>
      </c>
      <c r="AM848" s="1">
        <v>0</v>
      </c>
      <c r="AN848" s="1">
        <v>0</v>
      </c>
      <c r="AO848" s="1">
        <v>83144720</v>
      </c>
      <c r="AP848" s="1">
        <v>30193936</v>
      </c>
      <c r="AQ848" s="1">
        <v>52950784</v>
      </c>
      <c r="AR848" s="1">
        <v>16022192</v>
      </c>
      <c r="AS848" s="1">
        <v>2403329</v>
      </c>
      <c r="AT848" s="1">
        <f t="shared" si="91"/>
        <v>101570241</v>
      </c>
    </row>
    <row r="849" spans="1:46" x14ac:dyDescent="0.2">
      <c r="A849" s="1" t="str">
        <f>"00969"</f>
        <v>00969</v>
      </c>
      <c r="B849" s="1" t="str">
        <f>"فرشيد"</f>
        <v>فرشيد</v>
      </c>
      <c r="C849" s="1" t="str">
        <f>"كولاني"</f>
        <v>كولاني</v>
      </c>
      <c r="D849" s="1" t="str">
        <f t="shared" si="89"/>
        <v>قراردادي بهره بردار</v>
      </c>
      <c r="E849" s="1" t="str">
        <f t="shared" si="90"/>
        <v>پروژه بهره برداري نيروگاه بوشهر</v>
      </c>
      <c r="F849" s="1">
        <v>23582527</v>
      </c>
      <c r="G849" s="1">
        <v>4769909</v>
      </c>
      <c r="H849" s="1">
        <v>0</v>
      </c>
      <c r="I849" s="1">
        <v>21587962</v>
      </c>
      <c r="J849" s="1">
        <v>0</v>
      </c>
      <c r="K849" s="1">
        <v>0</v>
      </c>
      <c r="L849" s="1">
        <v>0</v>
      </c>
      <c r="M849" s="1">
        <v>1000000</v>
      </c>
      <c r="N849" s="1">
        <v>3582178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1606000</v>
      </c>
      <c r="U849" s="1">
        <v>0</v>
      </c>
      <c r="V849" s="1">
        <v>10911791</v>
      </c>
      <c r="W849" s="1">
        <v>1900000</v>
      </c>
      <c r="X849" s="1">
        <v>0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2558699</v>
      </c>
      <c r="AF849" s="1">
        <v>3033762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5373267</v>
      </c>
      <c r="AM849" s="1">
        <v>0</v>
      </c>
      <c r="AN849" s="1">
        <v>0</v>
      </c>
      <c r="AO849" s="1">
        <v>79906095</v>
      </c>
      <c r="AP849" s="1">
        <v>22226350</v>
      </c>
      <c r="AQ849" s="1">
        <v>57679745</v>
      </c>
      <c r="AR849" s="1">
        <v>15374467</v>
      </c>
      <c r="AS849" s="1">
        <v>2306170</v>
      </c>
      <c r="AT849" s="1">
        <f t="shared" si="91"/>
        <v>97586732</v>
      </c>
    </row>
    <row r="850" spans="1:46" x14ac:dyDescent="0.2">
      <c r="A850" s="1" t="str">
        <f>"00970"</f>
        <v>00970</v>
      </c>
      <c r="B850" s="1" t="str">
        <f>"داود"</f>
        <v>داود</v>
      </c>
      <c r="C850" s="1" t="str">
        <f>"لحصائي"</f>
        <v>لحصائي</v>
      </c>
      <c r="D850" s="1" t="str">
        <f t="shared" si="89"/>
        <v>قراردادي بهره بردار</v>
      </c>
      <c r="E850" s="1" t="str">
        <f t="shared" si="90"/>
        <v>پروژه بهره برداري نيروگاه بوشهر</v>
      </c>
      <c r="F850" s="1">
        <v>14550408</v>
      </c>
      <c r="G850" s="1">
        <v>18452595</v>
      </c>
      <c r="H850" s="1">
        <v>0</v>
      </c>
      <c r="I850" s="1">
        <v>15174278</v>
      </c>
      <c r="J850" s="1">
        <v>0</v>
      </c>
      <c r="K850" s="1">
        <v>0</v>
      </c>
      <c r="L850" s="1">
        <v>0</v>
      </c>
      <c r="M850" s="1">
        <v>1000000</v>
      </c>
      <c r="N850" s="1">
        <v>2838447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1606000</v>
      </c>
      <c r="U850" s="1">
        <v>0</v>
      </c>
      <c r="V850" s="1">
        <v>8601962</v>
      </c>
      <c r="W850" s="1">
        <v>1900000</v>
      </c>
      <c r="X850" s="1">
        <v>2112156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2027462</v>
      </c>
      <c r="AF850" s="1">
        <v>3033762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11286534</v>
      </c>
      <c r="AM850" s="1">
        <v>0</v>
      </c>
      <c r="AN850" s="1">
        <v>0</v>
      </c>
      <c r="AO850" s="1">
        <v>82583604</v>
      </c>
      <c r="AP850" s="1">
        <v>31019685</v>
      </c>
      <c r="AQ850" s="1">
        <v>51563919</v>
      </c>
      <c r="AR850" s="1">
        <v>15909968</v>
      </c>
      <c r="AS850" s="1">
        <v>2386495</v>
      </c>
      <c r="AT850" s="1">
        <f t="shared" si="91"/>
        <v>100880067</v>
      </c>
    </row>
    <row r="851" spans="1:46" x14ac:dyDescent="0.2">
      <c r="A851" s="1" t="str">
        <f>"00971"</f>
        <v>00971</v>
      </c>
      <c r="B851" s="1" t="str">
        <f>"مجتبي"</f>
        <v>مجتبي</v>
      </c>
      <c r="C851" s="1" t="str">
        <f>"مصيبي"</f>
        <v>مصيبي</v>
      </c>
      <c r="D851" s="1" t="str">
        <f t="shared" si="89"/>
        <v>قراردادي بهره بردار</v>
      </c>
      <c r="E851" s="1" t="str">
        <f t="shared" si="90"/>
        <v>پروژه بهره برداري نيروگاه بوشهر</v>
      </c>
      <c r="F851" s="1">
        <v>13847204</v>
      </c>
      <c r="G851" s="1">
        <v>21231260</v>
      </c>
      <c r="H851" s="1">
        <v>0</v>
      </c>
      <c r="I851" s="1">
        <v>13950011</v>
      </c>
      <c r="J851" s="1">
        <v>0</v>
      </c>
      <c r="K851" s="1">
        <v>4620000</v>
      </c>
      <c r="L851" s="1">
        <v>0</v>
      </c>
      <c r="M851" s="1">
        <v>1000000</v>
      </c>
      <c r="N851" s="1">
        <v>2592325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1387000</v>
      </c>
      <c r="U851" s="1">
        <v>0</v>
      </c>
      <c r="V851" s="1">
        <v>7961424</v>
      </c>
      <c r="W851" s="1">
        <v>1900000</v>
      </c>
      <c r="X851" s="1">
        <v>2010078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1851661</v>
      </c>
      <c r="AF851" s="1">
        <v>1516881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10793524</v>
      </c>
      <c r="AM851" s="1">
        <v>0</v>
      </c>
      <c r="AN851" s="1">
        <v>0</v>
      </c>
      <c r="AO851" s="1">
        <v>84661368</v>
      </c>
      <c r="AP851" s="1">
        <v>34350766</v>
      </c>
      <c r="AQ851" s="1">
        <v>50310602</v>
      </c>
      <c r="AR851" s="1">
        <v>16628897</v>
      </c>
      <c r="AS851" s="1">
        <v>2494335</v>
      </c>
      <c r="AT851" s="1">
        <f t="shared" si="91"/>
        <v>103784600</v>
      </c>
    </row>
    <row r="852" spans="1:46" x14ac:dyDescent="0.2">
      <c r="A852" s="1" t="str">
        <f>"00972"</f>
        <v>00972</v>
      </c>
      <c r="B852" s="1" t="str">
        <f>"رضا"</f>
        <v>رضا</v>
      </c>
      <c r="C852" s="1" t="str">
        <f>"مقدم"</f>
        <v>مقدم</v>
      </c>
      <c r="D852" s="1" t="str">
        <f t="shared" si="89"/>
        <v>قراردادي بهره بردار</v>
      </c>
      <c r="E852" s="1" t="str">
        <f t="shared" si="90"/>
        <v>پروژه بهره برداري نيروگاه بوشهر</v>
      </c>
      <c r="F852" s="1">
        <v>29201587</v>
      </c>
      <c r="G852" s="1">
        <v>15194286</v>
      </c>
      <c r="H852" s="1">
        <v>0</v>
      </c>
      <c r="I852" s="1">
        <v>30578988</v>
      </c>
      <c r="J852" s="1">
        <v>0</v>
      </c>
      <c r="K852" s="1">
        <v>5500000</v>
      </c>
      <c r="L852" s="1">
        <v>0</v>
      </c>
      <c r="M852" s="1">
        <v>1000000</v>
      </c>
      <c r="N852" s="1">
        <v>4844221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1387000</v>
      </c>
      <c r="U852" s="1">
        <v>0</v>
      </c>
      <c r="V852" s="1">
        <v>18139744</v>
      </c>
      <c r="W852" s="1">
        <v>1900000</v>
      </c>
      <c r="X852" s="1">
        <v>0</v>
      </c>
      <c r="Y852" s="1">
        <v>0</v>
      </c>
      <c r="Z852" s="1">
        <v>0</v>
      </c>
      <c r="AA852" s="1">
        <v>0</v>
      </c>
      <c r="AB852" s="1">
        <v>0</v>
      </c>
      <c r="AC852" s="1">
        <v>5421900</v>
      </c>
      <c r="AD852" s="1">
        <v>0</v>
      </c>
      <c r="AE852" s="1">
        <v>3460158</v>
      </c>
      <c r="AF852" s="1">
        <v>3033762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6228284</v>
      </c>
      <c r="AM852" s="1">
        <v>0</v>
      </c>
      <c r="AN852" s="1">
        <v>0</v>
      </c>
      <c r="AO852" s="1">
        <v>125889930</v>
      </c>
      <c r="AP852" s="1">
        <v>46711821</v>
      </c>
      <c r="AQ852" s="1">
        <v>79178109</v>
      </c>
      <c r="AR852" s="1">
        <v>24571234</v>
      </c>
      <c r="AS852" s="1">
        <v>3685685</v>
      </c>
      <c r="AT852" s="1">
        <f t="shared" si="91"/>
        <v>154146849</v>
      </c>
    </row>
    <row r="853" spans="1:46" x14ac:dyDescent="0.2">
      <c r="A853" s="1" t="str">
        <f>"00973"</f>
        <v>00973</v>
      </c>
      <c r="B853" s="1" t="str">
        <f>"مجيد"</f>
        <v>مجيد</v>
      </c>
      <c r="C853" s="1" t="str">
        <f>"ملک زاده"</f>
        <v>ملک زاده</v>
      </c>
      <c r="D853" s="1" t="str">
        <f t="shared" si="89"/>
        <v>قراردادي بهره بردار</v>
      </c>
      <c r="E853" s="1" t="str">
        <f t="shared" si="90"/>
        <v>پروژه بهره برداري نيروگاه بوشهر</v>
      </c>
      <c r="F853" s="1">
        <v>14664323</v>
      </c>
      <c r="G853" s="1">
        <v>19296501</v>
      </c>
      <c r="H853" s="1">
        <v>0</v>
      </c>
      <c r="I853" s="1">
        <v>15848914</v>
      </c>
      <c r="J853" s="1">
        <v>0</v>
      </c>
      <c r="K853" s="1">
        <v>4620000</v>
      </c>
      <c r="L853" s="1">
        <v>0</v>
      </c>
      <c r="M853" s="1">
        <v>1000000</v>
      </c>
      <c r="N853" s="1">
        <v>2878317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1387000</v>
      </c>
      <c r="U853" s="1">
        <v>0</v>
      </c>
      <c r="V853" s="1">
        <v>8995361</v>
      </c>
      <c r="W853" s="1">
        <v>1900000</v>
      </c>
      <c r="X853" s="1">
        <v>2128692</v>
      </c>
      <c r="Y853" s="1">
        <v>0</v>
      </c>
      <c r="Z853" s="1">
        <v>0</v>
      </c>
      <c r="AA853" s="1">
        <v>0</v>
      </c>
      <c r="AB853" s="1">
        <v>0</v>
      </c>
      <c r="AC853" s="1">
        <v>1331925</v>
      </c>
      <c r="AD853" s="1">
        <v>0</v>
      </c>
      <c r="AE853" s="1">
        <v>2055941</v>
      </c>
      <c r="AF853" s="1">
        <v>3033762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11195840</v>
      </c>
      <c r="AM853" s="1">
        <v>0</v>
      </c>
      <c r="AN853" s="1">
        <v>0</v>
      </c>
      <c r="AO853" s="1">
        <v>90336576</v>
      </c>
      <c r="AP853" s="1">
        <v>31697233</v>
      </c>
      <c r="AQ853" s="1">
        <v>58639343</v>
      </c>
      <c r="AR853" s="1">
        <v>17460563</v>
      </c>
      <c r="AS853" s="1">
        <v>2619084</v>
      </c>
      <c r="AT853" s="1">
        <f t="shared" si="91"/>
        <v>110416223</v>
      </c>
    </row>
    <row r="854" spans="1:46" x14ac:dyDescent="0.2">
      <c r="A854" s="1" t="str">
        <f>"00974"</f>
        <v>00974</v>
      </c>
      <c r="B854" s="1" t="str">
        <f>"سيدحسين"</f>
        <v>سيدحسين</v>
      </c>
      <c r="C854" s="1" t="str">
        <f>"موسوي"</f>
        <v>موسوي</v>
      </c>
      <c r="D854" s="1" t="str">
        <f t="shared" si="89"/>
        <v>قراردادي بهره بردار</v>
      </c>
      <c r="E854" s="1" t="str">
        <f t="shared" si="90"/>
        <v>پروژه بهره برداري نيروگاه بوشهر</v>
      </c>
      <c r="F854" s="1">
        <v>14182376</v>
      </c>
      <c r="G854" s="1">
        <v>17730802</v>
      </c>
      <c r="H854" s="1">
        <v>0</v>
      </c>
      <c r="I854" s="1">
        <v>14184157</v>
      </c>
      <c r="J854" s="1">
        <v>0</v>
      </c>
      <c r="K854" s="1">
        <v>3465000</v>
      </c>
      <c r="L854" s="1">
        <v>0</v>
      </c>
      <c r="M854" s="1">
        <v>1000000</v>
      </c>
      <c r="N854" s="1">
        <v>2709636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1387000</v>
      </c>
      <c r="U854" s="1">
        <v>0</v>
      </c>
      <c r="V854" s="1">
        <v>8265487</v>
      </c>
      <c r="W854" s="1">
        <v>1900000</v>
      </c>
      <c r="X854" s="1">
        <v>2058732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1935454</v>
      </c>
      <c r="AF854" s="1">
        <v>0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11070972</v>
      </c>
      <c r="AM854" s="1">
        <v>0</v>
      </c>
      <c r="AN854" s="1">
        <v>0</v>
      </c>
      <c r="AO854" s="1">
        <v>79889616</v>
      </c>
      <c r="AP854" s="1">
        <v>30309777</v>
      </c>
      <c r="AQ854" s="1">
        <v>49579839</v>
      </c>
      <c r="AR854" s="1">
        <v>15977923</v>
      </c>
      <c r="AS854" s="1">
        <v>2396688</v>
      </c>
      <c r="AT854" s="1">
        <f t="shared" si="91"/>
        <v>98264227</v>
      </c>
    </row>
    <row r="855" spans="1:46" x14ac:dyDescent="0.2">
      <c r="A855" s="1" t="str">
        <f>"00975"</f>
        <v>00975</v>
      </c>
      <c r="B855" s="1" t="str">
        <f>"سيدعلي"</f>
        <v>سيدعلي</v>
      </c>
      <c r="C855" s="1" t="str">
        <f>"موسوي"</f>
        <v>موسوي</v>
      </c>
      <c r="D855" s="1" t="str">
        <f t="shared" si="89"/>
        <v>قراردادي بهره بردار</v>
      </c>
      <c r="E855" s="1" t="str">
        <f t="shared" si="90"/>
        <v>پروژه بهره برداري نيروگاه بوشهر</v>
      </c>
      <c r="F855" s="1">
        <v>14364201</v>
      </c>
      <c r="G855" s="1">
        <v>18840353</v>
      </c>
      <c r="H855" s="1">
        <v>0</v>
      </c>
      <c r="I855" s="1">
        <v>15267232</v>
      </c>
      <c r="J855" s="1">
        <v>0</v>
      </c>
      <c r="K855" s="1">
        <v>4620000</v>
      </c>
      <c r="L855" s="1">
        <v>0</v>
      </c>
      <c r="M855" s="1">
        <v>1000000</v>
      </c>
      <c r="N855" s="1">
        <v>2773274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1606000</v>
      </c>
      <c r="U855" s="1">
        <v>0</v>
      </c>
      <c r="V855" s="1">
        <v>8683900</v>
      </c>
      <c r="W855" s="1">
        <v>1900000</v>
      </c>
      <c r="X855" s="1">
        <v>2085126</v>
      </c>
      <c r="Y855" s="1">
        <v>0</v>
      </c>
      <c r="Z855" s="1">
        <v>0</v>
      </c>
      <c r="AA855" s="1">
        <v>0</v>
      </c>
      <c r="AB855" s="1">
        <v>0</v>
      </c>
      <c r="AC855" s="1">
        <v>1331925</v>
      </c>
      <c r="AD855" s="1">
        <v>0</v>
      </c>
      <c r="AE855" s="1">
        <v>1980910</v>
      </c>
      <c r="AF855" s="1">
        <v>3033762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11222457</v>
      </c>
      <c r="AM855" s="1">
        <v>0</v>
      </c>
      <c r="AN855" s="1">
        <v>0</v>
      </c>
      <c r="AO855" s="1">
        <v>88709140</v>
      </c>
      <c r="AP855" s="1">
        <v>35194093</v>
      </c>
      <c r="AQ855" s="1">
        <v>53515047</v>
      </c>
      <c r="AR855" s="1">
        <v>17135076</v>
      </c>
      <c r="AS855" s="1">
        <v>2570261</v>
      </c>
      <c r="AT855" s="1">
        <f t="shared" si="91"/>
        <v>108414477</v>
      </c>
    </row>
    <row r="856" spans="1:46" x14ac:dyDescent="0.2">
      <c r="A856" s="1" t="str">
        <f>"00977"</f>
        <v>00977</v>
      </c>
      <c r="B856" s="1" t="str">
        <f>"عادل"</f>
        <v>عادل</v>
      </c>
      <c r="C856" s="1" t="str">
        <f>"نامداري"</f>
        <v>نامداري</v>
      </c>
      <c r="D856" s="1" t="str">
        <f t="shared" si="89"/>
        <v>قراردادي بهره بردار</v>
      </c>
      <c r="E856" s="1" t="str">
        <f t="shared" si="90"/>
        <v>پروژه بهره برداري نيروگاه بوشهر</v>
      </c>
      <c r="F856" s="1">
        <v>17085009</v>
      </c>
      <c r="G856" s="1">
        <v>28069566</v>
      </c>
      <c r="H856" s="1">
        <v>0</v>
      </c>
      <c r="I856" s="1">
        <v>19180069</v>
      </c>
      <c r="J856" s="1">
        <v>0</v>
      </c>
      <c r="K856" s="1">
        <v>4620000</v>
      </c>
      <c r="L856" s="1">
        <v>0</v>
      </c>
      <c r="M856" s="1">
        <v>1000000</v>
      </c>
      <c r="N856" s="1">
        <v>3380527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1606000</v>
      </c>
      <c r="U856" s="1">
        <v>0</v>
      </c>
      <c r="V856" s="1">
        <v>10468049</v>
      </c>
      <c r="W856" s="1">
        <v>1900000</v>
      </c>
      <c r="X856" s="1">
        <v>2480082</v>
      </c>
      <c r="Y856" s="1">
        <v>0</v>
      </c>
      <c r="Z856" s="1">
        <v>0</v>
      </c>
      <c r="AA856" s="1">
        <v>0</v>
      </c>
      <c r="AB856" s="1">
        <v>0</v>
      </c>
      <c r="AC856" s="1">
        <v>1331925</v>
      </c>
      <c r="AD856" s="1">
        <v>0</v>
      </c>
      <c r="AE856" s="1">
        <v>2414662</v>
      </c>
      <c r="AF856" s="1">
        <v>1516881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12437400</v>
      </c>
      <c r="AM856" s="1">
        <v>0</v>
      </c>
      <c r="AN856" s="1">
        <v>0</v>
      </c>
      <c r="AO856" s="1">
        <v>107490170</v>
      </c>
      <c r="AP856" s="1">
        <v>35530705</v>
      </c>
      <c r="AQ856" s="1">
        <v>71959465</v>
      </c>
      <c r="AR856" s="1">
        <v>21194658</v>
      </c>
      <c r="AS856" s="1">
        <v>3179199</v>
      </c>
      <c r="AT856" s="1">
        <f t="shared" si="91"/>
        <v>131864027</v>
      </c>
    </row>
    <row r="857" spans="1:46" x14ac:dyDescent="0.2">
      <c r="A857" s="1" t="str">
        <f>"00978"</f>
        <v>00978</v>
      </c>
      <c r="B857" s="1" t="str">
        <f>"محسن"</f>
        <v>محسن</v>
      </c>
      <c r="C857" s="1" t="str">
        <f>"نجفي سيار"</f>
        <v>نجفي سيار</v>
      </c>
      <c r="D857" s="1" t="str">
        <f t="shared" si="89"/>
        <v>قراردادي بهره بردار</v>
      </c>
      <c r="E857" s="1" t="str">
        <f t="shared" si="90"/>
        <v>پروژه بهره برداري نيروگاه بوشهر</v>
      </c>
      <c r="F857" s="1">
        <v>17166064</v>
      </c>
      <c r="G857" s="1">
        <v>24656825</v>
      </c>
      <c r="H857" s="1">
        <v>0</v>
      </c>
      <c r="I857" s="1">
        <v>19552959</v>
      </c>
      <c r="J857" s="1">
        <v>0</v>
      </c>
      <c r="K857" s="1">
        <v>4620000</v>
      </c>
      <c r="L857" s="1">
        <v>0</v>
      </c>
      <c r="M857" s="1">
        <v>1000000</v>
      </c>
      <c r="N857" s="1">
        <v>3408896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1606000</v>
      </c>
      <c r="U857" s="1">
        <v>0</v>
      </c>
      <c r="V857" s="1">
        <v>10847253</v>
      </c>
      <c r="W857" s="1">
        <v>1900000</v>
      </c>
      <c r="X857" s="1">
        <v>2491848</v>
      </c>
      <c r="Y857" s="1">
        <v>0</v>
      </c>
      <c r="Z857" s="1">
        <v>0</v>
      </c>
      <c r="AA857" s="1">
        <v>0</v>
      </c>
      <c r="AB857" s="1">
        <v>0</v>
      </c>
      <c r="AC857" s="1">
        <v>1331925</v>
      </c>
      <c r="AD857" s="1">
        <v>0</v>
      </c>
      <c r="AE857" s="1">
        <v>2434926</v>
      </c>
      <c r="AF857" s="1">
        <v>1516881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12454597</v>
      </c>
      <c r="AM857" s="1">
        <v>0</v>
      </c>
      <c r="AN857" s="1">
        <v>0</v>
      </c>
      <c r="AO857" s="1">
        <v>104988174</v>
      </c>
      <c r="AP857" s="1">
        <v>40671167</v>
      </c>
      <c r="AQ857" s="1">
        <v>64317007</v>
      </c>
      <c r="AR857" s="1">
        <v>20694259</v>
      </c>
      <c r="AS857" s="1">
        <v>3104139</v>
      </c>
      <c r="AT857" s="1">
        <f t="shared" si="91"/>
        <v>128786572</v>
      </c>
    </row>
    <row r="858" spans="1:46" x14ac:dyDescent="0.2">
      <c r="A858" s="1" t="str">
        <f>"00979"</f>
        <v>00979</v>
      </c>
      <c r="B858" s="1" t="str">
        <f>"محسن"</f>
        <v>محسن</v>
      </c>
      <c r="C858" s="1" t="str">
        <f>"نوروزي"</f>
        <v>نوروزي</v>
      </c>
      <c r="D858" s="1" t="str">
        <f t="shared" si="89"/>
        <v>قراردادي بهره بردار</v>
      </c>
      <c r="E858" s="1" t="str">
        <f t="shared" si="90"/>
        <v>پروژه بهره برداري نيروگاه بوشهر</v>
      </c>
      <c r="F858" s="1">
        <v>13100187</v>
      </c>
      <c r="G858" s="1">
        <v>22306173</v>
      </c>
      <c r="H858" s="1">
        <v>0</v>
      </c>
      <c r="I858" s="1">
        <v>11452893</v>
      </c>
      <c r="J858" s="1">
        <v>0</v>
      </c>
      <c r="K858" s="1">
        <v>0</v>
      </c>
      <c r="L858" s="1">
        <v>0</v>
      </c>
      <c r="M858" s="1">
        <v>1000000</v>
      </c>
      <c r="N858" s="1">
        <v>2330869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1606000</v>
      </c>
      <c r="U858" s="1">
        <v>0</v>
      </c>
      <c r="V858" s="1">
        <v>6932244</v>
      </c>
      <c r="W858" s="1">
        <v>1900000</v>
      </c>
      <c r="X858" s="1">
        <v>1901640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1664907</v>
      </c>
      <c r="AF858" s="1">
        <v>0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8423113</v>
      </c>
      <c r="AM858" s="1">
        <v>0</v>
      </c>
      <c r="AN858" s="1">
        <v>0</v>
      </c>
      <c r="AO858" s="1">
        <v>72618026</v>
      </c>
      <c r="AP858" s="1">
        <v>23579564</v>
      </c>
      <c r="AQ858" s="1">
        <v>49038462</v>
      </c>
      <c r="AR858" s="1">
        <v>14523605</v>
      </c>
      <c r="AS858" s="1">
        <v>2178541</v>
      </c>
      <c r="AT858" s="1">
        <f t="shared" si="91"/>
        <v>89320172</v>
      </c>
    </row>
    <row r="859" spans="1:46" x14ac:dyDescent="0.2">
      <c r="A859" s="1" t="str">
        <f>"00980"</f>
        <v>00980</v>
      </c>
      <c r="B859" s="1" t="str">
        <f>"سيدجواد"</f>
        <v>سيدجواد</v>
      </c>
      <c r="C859" s="1" t="str">
        <f>"هاشمي"</f>
        <v>هاشمي</v>
      </c>
      <c r="D859" s="1" t="str">
        <f t="shared" si="89"/>
        <v>قراردادي بهره بردار</v>
      </c>
      <c r="E859" s="1" t="str">
        <f t="shared" si="90"/>
        <v>پروژه بهره برداري نيروگاه بوشهر</v>
      </c>
      <c r="F859" s="1">
        <v>14050936</v>
      </c>
      <c r="G859" s="1">
        <v>18080325</v>
      </c>
      <c r="H859" s="1">
        <v>0</v>
      </c>
      <c r="I859" s="1">
        <v>14230092</v>
      </c>
      <c r="J859" s="1">
        <v>0</v>
      </c>
      <c r="K859" s="1">
        <v>4620000</v>
      </c>
      <c r="L859" s="1">
        <v>0</v>
      </c>
      <c r="M859" s="1">
        <v>1000000</v>
      </c>
      <c r="N859" s="1">
        <v>2663632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1606000</v>
      </c>
      <c r="U859" s="1">
        <v>0</v>
      </c>
      <c r="V859" s="1">
        <v>8333587</v>
      </c>
      <c r="W859" s="1">
        <v>1900000</v>
      </c>
      <c r="X859" s="1">
        <v>2039652</v>
      </c>
      <c r="Y859" s="1">
        <v>0</v>
      </c>
      <c r="Z859" s="1">
        <v>0</v>
      </c>
      <c r="AA859" s="1">
        <v>0</v>
      </c>
      <c r="AB859" s="1">
        <v>0</v>
      </c>
      <c r="AC859" s="1">
        <v>1331925</v>
      </c>
      <c r="AD859" s="1">
        <v>0</v>
      </c>
      <c r="AE859" s="1">
        <v>1902594</v>
      </c>
      <c r="AF859" s="1">
        <v>3033762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10867240</v>
      </c>
      <c r="AM859" s="1">
        <v>0</v>
      </c>
      <c r="AN859" s="1">
        <v>0</v>
      </c>
      <c r="AO859" s="1">
        <v>85659745</v>
      </c>
      <c r="AP859" s="1">
        <v>34089107</v>
      </c>
      <c r="AQ859" s="1">
        <v>51570638</v>
      </c>
      <c r="AR859" s="1">
        <v>16525197</v>
      </c>
      <c r="AS859" s="1">
        <v>2478779</v>
      </c>
      <c r="AT859" s="1">
        <f t="shared" si="91"/>
        <v>104663721</v>
      </c>
    </row>
    <row r="860" spans="1:46" x14ac:dyDescent="0.2">
      <c r="A860" s="1" t="str">
        <f>"00981"</f>
        <v>00981</v>
      </c>
      <c r="B860" s="1" t="str">
        <f>"حسين"</f>
        <v>حسين</v>
      </c>
      <c r="C860" s="1" t="str">
        <f>"هاشمي پور"</f>
        <v>هاشمي پور</v>
      </c>
      <c r="D860" s="1" t="str">
        <f t="shared" si="89"/>
        <v>قراردادي بهره بردار</v>
      </c>
      <c r="E860" s="1" t="str">
        <f t="shared" si="90"/>
        <v>پروژه بهره برداري نيروگاه بوشهر</v>
      </c>
      <c r="F860" s="1">
        <v>15098075</v>
      </c>
      <c r="G860" s="1">
        <v>3090183</v>
      </c>
      <c r="H860" s="1">
        <v>0</v>
      </c>
      <c r="I860" s="1">
        <v>14659222</v>
      </c>
      <c r="J860" s="1">
        <v>0</v>
      </c>
      <c r="K860" s="1">
        <v>4620000</v>
      </c>
      <c r="L860" s="1">
        <v>0</v>
      </c>
      <c r="M860" s="1">
        <v>1000000</v>
      </c>
      <c r="N860" s="1">
        <v>3030130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1387000</v>
      </c>
      <c r="U860" s="1">
        <v>0</v>
      </c>
      <c r="V860" s="1">
        <v>7682862</v>
      </c>
      <c r="W860" s="1">
        <v>1900000</v>
      </c>
      <c r="X860" s="1">
        <v>0</v>
      </c>
      <c r="Y860" s="1">
        <v>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2164379</v>
      </c>
      <c r="AF860" s="1">
        <v>3033762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6023457</v>
      </c>
      <c r="AM860" s="1">
        <v>0</v>
      </c>
      <c r="AN860" s="1">
        <v>0</v>
      </c>
      <c r="AO860" s="1">
        <v>63689070</v>
      </c>
      <c r="AP860" s="1">
        <v>7969795</v>
      </c>
      <c r="AQ860" s="1">
        <v>55719275</v>
      </c>
      <c r="AR860" s="1">
        <v>12131062</v>
      </c>
      <c r="AS860" s="1">
        <v>1819659</v>
      </c>
      <c r="AT860" s="1">
        <f t="shared" si="91"/>
        <v>77639791</v>
      </c>
    </row>
    <row r="861" spans="1:46" x14ac:dyDescent="0.2">
      <c r="A861" s="1" t="str">
        <f>"00982"</f>
        <v>00982</v>
      </c>
      <c r="B861" s="1" t="str">
        <f>"سياوش"</f>
        <v>سياوش</v>
      </c>
      <c r="C861" s="1" t="str">
        <f>"جهانديده"</f>
        <v>جهانديده</v>
      </c>
      <c r="D861" s="1" t="str">
        <f t="shared" si="89"/>
        <v>قراردادي بهره بردار</v>
      </c>
      <c r="E861" s="1" t="str">
        <f t="shared" si="90"/>
        <v>پروژه بهره برداري نيروگاه بوشهر</v>
      </c>
      <c r="F861" s="1">
        <v>11483475</v>
      </c>
      <c r="G861" s="1">
        <v>13865339</v>
      </c>
      <c r="H861" s="1">
        <v>0</v>
      </c>
      <c r="I861" s="1">
        <v>10780308</v>
      </c>
      <c r="J861" s="1">
        <v>0</v>
      </c>
      <c r="K861" s="1">
        <v>4620000</v>
      </c>
      <c r="L861" s="1">
        <v>0</v>
      </c>
      <c r="M861" s="1">
        <v>1000000</v>
      </c>
      <c r="N861" s="1">
        <v>1995040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1387000</v>
      </c>
      <c r="U861" s="1">
        <v>0</v>
      </c>
      <c r="V861" s="1">
        <v>5947932</v>
      </c>
      <c r="W861" s="1">
        <v>1900000</v>
      </c>
      <c r="X861" s="1">
        <v>1666956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1425029</v>
      </c>
      <c r="AF861" s="1">
        <v>0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9303980</v>
      </c>
      <c r="AM861" s="1">
        <v>0</v>
      </c>
      <c r="AN861" s="1">
        <v>0</v>
      </c>
      <c r="AO861" s="1">
        <v>65375059</v>
      </c>
      <c r="AP861" s="1">
        <v>21735033</v>
      </c>
      <c r="AQ861" s="1">
        <v>43640026</v>
      </c>
      <c r="AR861" s="1">
        <v>13075012</v>
      </c>
      <c r="AS861" s="1">
        <v>1961252</v>
      </c>
      <c r="AT861" s="1">
        <f t="shared" si="91"/>
        <v>80411323</v>
      </c>
    </row>
    <row r="862" spans="1:46" x14ac:dyDescent="0.2">
      <c r="A862" s="1" t="str">
        <f>"00983"</f>
        <v>00983</v>
      </c>
      <c r="B862" s="1" t="str">
        <f>"جليل"</f>
        <v>جليل</v>
      </c>
      <c r="C862" s="1" t="str">
        <f>"جليليان"</f>
        <v>جليليان</v>
      </c>
      <c r="D862" s="1" t="str">
        <f t="shared" si="89"/>
        <v>قراردادي بهره بردار</v>
      </c>
      <c r="E862" s="1" t="str">
        <f t="shared" si="90"/>
        <v>پروژه بهره برداري نيروگاه بوشهر</v>
      </c>
      <c r="F862" s="1">
        <v>15152841</v>
      </c>
      <c r="G862" s="1">
        <v>21147216</v>
      </c>
      <c r="H862" s="1">
        <v>0</v>
      </c>
      <c r="I862" s="1">
        <v>14945934</v>
      </c>
      <c r="J862" s="1">
        <v>0</v>
      </c>
      <c r="K862" s="1">
        <v>0</v>
      </c>
      <c r="L862" s="1">
        <v>0</v>
      </c>
      <c r="M862" s="1">
        <v>1000000</v>
      </c>
      <c r="N862" s="1">
        <v>2704268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1387000</v>
      </c>
      <c r="U862" s="1">
        <v>0</v>
      </c>
      <c r="V862" s="1">
        <v>8485018</v>
      </c>
      <c r="W862" s="1">
        <v>1900000</v>
      </c>
      <c r="X862" s="1">
        <v>2199606</v>
      </c>
      <c r="Y862" s="1">
        <v>0</v>
      </c>
      <c r="Z862" s="1">
        <v>6304792</v>
      </c>
      <c r="AA862" s="1">
        <v>0</v>
      </c>
      <c r="AB862" s="1">
        <v>0</v>
      </c>
      <c r="AC862" s="1">
        <v>0</v>
      </c>
      <c r="AD862" s="1">
        <v>0</v>
      </c>
      <c r="AE862" s="1">
        <v>1931620</v>
      </c>
      <c r="AF862" s="1">
        <v>3033762</v>
      </c>
      <c r="AG862" s="1">
        <v>8046171</v>
      </c>
      <c r="AH862" s="1">
        <v>0</v>
      </c>
      <c r="AI862" s="1">
        <v>0</v>
      </c>
      <c r="AJ862" s="1">
        <v>0</v>
      </c>
      <c r="AK862" s="1">
        <v>0</v>
      </c>
      <c r="AL862" s="1">
        <v>11168785</v>
      </c>
      <c r="AM862" s="1">
        <v>0</v>
      </c>
      <c r="AN862" s="1">
        <v>0</v>
      </c>
      <c r="AO862" s="1">
        <v>99407013</v>
      </c>
      <c r="AP862" s="1">
        <v>27434567</v>
      </c>
      <c r="AQ862" s="1">
        <v>71972446</v>
      </c>
      <c r="AR862" s="1">
        <v>18013692</v>
      </c>
      <c r="AS862" s="1">
        <v>2702054</v>
      </c>
      <c r="AT862" s="1">
        <f t="shared" si="91"/>
        <v>120122759</v>
      </c>
    </row>
    <row r="863" spans="1:46" x14ac:dyDescent="0.2">
      <c r="A863" s="1" t="str">
        <f>"01129"</f>
        <v>01129</v>
      </c>
      <c r="B863" s="1" t="str">
        <f>"علي"</f>
        <v>علي</v>
      </c>
      <c r="C863" s="1" t="str">
        <f>"نيک"</f>
        <v>نيک</v>
      </c>
      <c r="D863" s="1" t="str">
        <f>"قراردادي کارگري"</f>
        <v>قراردادي کارگري</v>
      </c>
      <c r="E863" s="1" t="str">
        <f>"پروژه تعميرات نيروگاه بوشهر"</f>
        <v>پروژه تعميرات نيروگاه بوشهر</v>
      </c>
      <c r="F863" s="1">
        <v>8910733</v>
      </c>
      <c r="G863" s="1">
        <v>6729055</v>
      </c>
      <c r="H863" s="1">
        <v>0</v>
      </c>
      <c r="I863" s="1">
        <v>7395909</v>
      </c>
      <c r="J863" s="1">
        <v>0</v>
      </c>
      <c r="K863" s="1">
        <v>0</v>
      </c>
      <c r="L863" s="1">
        <v>7628143</v>
      </c>
      <c r="M863" s="1">
        <v>1000000</v>
      </c>
      <c r="N863" s="1">
        <v>4689860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3162131</v>
      </c>
      <c r="W863" s="1">
        <v>1900000</v>
      </c>
      <c r="X863" s="1">
        <v>0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0</v>
      </c>
      <c r="AF863" s="1">
        <v>1516881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0</v>
      </c>
      <c r="AM863" s="1">
        <v>0</v>
      </c>
      <c r="AN863" s="1">
        <v>0</v>
      </c>
      <c r="AO863" s="1">
        <v>42932712</v>
      </c>
      <c r="AP863" s="1">
        <v>5068468</v>
      </c>
      <c r="AQ863" s="1">
        <v>37864244</v>
      </c>
      <c r="AR863" s="1">
        <v>8283166</v>
      </c>
      <c r="AS863" s="1">
        <v>1242475</v>
      </c>
      <c r="AT863" s="1">
        <f t="shared" si="91"/>
        <v>52458353</v>
      </c>
    </row>
    <row r="864" spans="1:46" x14ac:dyDescent="0.2">
      <c r="A864" s="1" t="str">
        <f>"01130"</f>
        <v>01130</v>
      </c>
      <c r="B864" s="1" t="str">
        <f>"علي"</f>
        <v>علي</v>
      </c>
      <c r="C864" s="1" t="str">
        <f>"فرريزي"</f>
        <v>فرريزي</v>
      </c>
      <c r="D864" s="1" t="str">
        <f>"قراردادي کارگري"</f>
        <v>قراردادي کارگري</v>
      </c>
      <c r="E864" s="1" t="str">
        <f>"پروژه تعميرات نيروگاه بوشهر"</f>
        <v>پروژه تعميرات نيروگاه بوشهر</v>
      </c>
      <c r="F864" s="1">
        <v>6736994</v>
      </c>
      <c r="G864" s="1">
        <v>0</v>
      </c>
      <c r="H864" s="1">
        <v>0</v>
      </c>
      <c r="I864" s="1">
        <v>4042196</v>
      </c>
      <c r="J864" s="1">
        <v>0</v>
      </c>
      <c r="K864" s="1">
        <v>0</v>
      </c>
      <c r="L864" s="1">
        <v>7628143</v>
      </c>
      <c r="M864" s="1">
        <v>1000000</v>
      </c>
      <c r="N864" s="1">
        <v>3593063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5249384</v>
      </c>
      <c r="W864" s="1">
        <v>1900000</v>
      </c>
      <c r="X864" s="1">
        <v>0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0</v>
      </c>
      <c r="AF864" s="1">
        <v>1516881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0</v>
      </c>
      <c r="AM864" s="1">
        <v>0</v>
      </c>
      <c r="AN864" s="1">
        <v>0</v>
      </c>
      <c r="AO864" s="1">
        <v>31666661</v>
      </c>
      <c r="AP864" s="1">
        <v>2116485</v>
      </c>
      <c r="AQ864" s="1">
        <v>29550176</v>
      </c>
      <c r="AR864" s="1">
        <v>6029956</v>
      </c>
      <c r="AS864" s="1">
        <v>904493</v>
      </c>
      <c r="AT864" s="1">
        <f t="shared" si="91"/>
        <v>38601110</v>
      </c>
    </row>
    <row r="865" spans="1:46" x14ac:dyDescent="0.2">
      <c r="A865" s="1" t="str">
        <f>"01131"</f>
        <v>01131</v>
      </c>
      <c r="B865" s="1" t="str">
        <f>"يونس"</f>
        <v>يونس</v>
      </c>
      <c r="C865" s="1" t="str">
        <f>"جمالي"</f>
        <v>جمالي</v>
      </c>
      <c r="D865" s="1" t="str">
        <f>"قراردادي کارگري"</f>
        <v>قراردادي کارگري</v>
      </c>
      <c r="E865" s="1" t="str">
        <f>"پروژه تعميرات نيروگاه بوشهر"</f>
        <v>پروژه تعميرات نيروگاه بوشهر</v>
      </c>
      <c r="F865" s="1">
        <v>5973469</v>
      </c>
      <c r="G865" s="1">
        <v>0</v>
      </c>
      <c r="H865" s="1">
        <v>0</v>
      </c>
      <c r="I865" s="1">
        <v>3703550</v>
      </c>
      <c r="J865" s="1">
        <v>0</v>
      </c>
      <c r="K865" s="1">
        <v>0</v>
      </c>
      <c r="L865" s="1">
        <v>7672721</v>
      </c>
      <c r="M865" s="1">
        <v>1000000</v>
      </c>
      <c r="N865" s="1">
        <v>3143931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7340731</v>
      </c>
      <c r="W865" s="1">
        <v>1900000</v>
      </c>
      <c r="X865" s="1">
        <v>0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4550643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0</v>
      </c>
      <c r="AM865" s="1">
        <v>0</v>
      </c>
      <c r="AN865" s="1">
        <v>0</v>
      </c>
      <c r="AO865" s="1">
        <v>35285045</v>
      </c>
      <c r="AP865" s="1">
        <v>9965495</v>
      </c>
      <c r="AQ865" s="1">
        <v>25319550</v>
      </c>
      <c r="AR865" s="1">
        <v>6146880</v>
      </c>
      <c r="AS865" s="1">
        <v>922032</v>
      </c>
      <c r="AT865" s="1">
        <f t="shared" si="91"/>
        <v>42353957</v>
      </c>
    </row>
    <row r="866" spans="1:46" x14ac:dyDescent="0.2">
      <c r="A866" s="1" t="str">
        <f>"01132"</f>
        <v>01132</v>
      </c>
      <c r="B866" s="1" t="str">
        <f>"بهبود"</f>
        <v>بهبود</v>
      </c>
      <c r="C866" s="1" t="str">
        <f>"ايازي"</f>
        <v>ايازي</v>
      </c>
      <c r="D866" s="1" t="str">
        <f>"قراردادي بهره بردار"</f>
        <v>قراردادي بهره بردار</v>
      </c>
      <c r="E866" s="1" t="str">
        <f>"پروژه بهره برداري نيروگاه بوشهر"</f>
        <v>پروژه بهره برداري نيروگاه بوشهر</v>
      </c>
      <c r="F866" s="1">
        <v>28540005</v>
      </c>
      <c r="G866" s="1">
        <v>7063200</v>
      </c>
      <c r="H866" s="1">
        <v>0</v>
      </c>
      <c r="I866" s="1">
        <v>22691615</v>
      </c>
      <c r="J866" s="1">
        <v>0</v>
      </c>
      <c r="K866" s="1">
        <v>5500000</v>
      </c>
      <c r="L866" s="1">
        <v>0</v>
      </c>
      <c r="M866" s="1">
        <v>1000000</v>
      </c>
      <c r="N866" s="1">
        <v>4612668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1387000</v>
      </c>
      <c r="U866" s="1">
        <v>0</v>
      </c>
      <c r="V866" s="1">
        <v>17862516</v>
      </c>
      <c r="W866" s="1">
        <v>1900000</v>
      </c>
      <c r="X866" s="1">
        <v>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3294763</v>
      </c>
      <c r="AF866" s="1">
        <v>1516881</v>
      </c>
      <c r="AG866" s="1">
        <v>876267</v>
      </c>
      <c r="AH866" s="1">
        <v>0</v>
      </c>
      <c r="AI866" s="1">
        <v>0</v>
      </c>
      <c r="AJ866" s="1">
        <v>0</v>
      </c>
      <c r="AK866" s="1">
        <v>0</v>
      </c>
      <c r="AL866" s="1">
        <v>5535201</v>
      </c>
      <c r="AM866" s="1">
        <v>0</v>
      </c>
      <c r="AN866" s="1">
        <v>0</v>
      </c>
      <c r="AO866" s="1">
        <v>101780116</v>
      </c>
      <c r="AP866" s="1">
        <v>54225505</v>
      </c>
      <c r="AQ866" s="1">
        <v>47554611</v>
      </c>
      <c r="AR866" s="1">
        <v>20052647</v>
      </c>
      <c r="AS866" s="1">
        <v>3007897</v>
      </c>
      <c r="AT866" s="1">
        <f t="shared" si="91"/>
        <v>124840660</v>
      </c>
    </row>
    <row r="867" spans="1:46" x14ac:dyDescent="0.2">
      <c r="A867" s="1" t="str">
        <f>"01133"</f>
        <v>01133</v>
      </c>
      <c r="B867" s="1" t="str">
        <f>"وحيد"</f>
        <v>وحيد</v>
      </c>
      <c r="C867" s="1" t="str">
        <f>"فولادي تنها"</f>
        <v>فولادي تنها</v>
      </c>
      <c r="D867" s="1" t="str">
        <f>"قراردادي کارگري"</f>
        <v>قراردادي کارگري</v>
      </c>
      <c r="E867" s="1" t="str">
        <f>"پروژه تعميرات نيروگاه بوشهر"</f>
        <v>پروژه تعميرات نيروگاه بوشهر</v>
      </c>
      <c r="F867" s="1">
        <v>6376955</v>
      </c>
      <c r="G867" s="1">
        <v>186156</v>
      </c>
      <c r="H867" s="1">
        <v>0</v>
      </c>
      <c r="I867" s="1">
        <v>3826173</v>
      </c>
      <c r="J867" s="1">
        <v>0</v>
      </c>
      <c r="K867" s="1">
        <v>0</v>
      </c>
      <c r="L867" s="1">
        <v>7628143</v>
      </c>
      <c r="M867" s="1">
        <v>1000000</v>
      </c>
      <c r="N867" s="1">
        <v>3401042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5148659</v>
      </c>
      <c r="W867" s="1">
        <v>1900000</v>
      </c>
      <c r="X867" s="1">
        <v>0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0</v>
      </c>
      <c r="AF867" s="1">
        <v>1516881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0</v>
      </c>
      <c r="AM867" s="1">
        <v>0</v>
      </c>
      <c r="AN867" s="1">
        <v>0</v>
      </c>
      <c r="AO867" s="1">
        <v>30984009</v>
      </c>
      <c r="AP867" s="1">
        <v>3494445</v>
      </c>
      <c r="AQ867" s="1">
        <v>27489564</v>
      </c>
      <c r="AR867" s="1">
        <v>5893426</v>
      </c>
      <c r="AS867" s="1">
        <v>884014</v>
      </c>
      <c r="AT867" s="1">
        <f t="shared" si="91"/>
        <v>37761449</v>
      </c>
    </row>
    <row r="868" spans="1:46" x14ac:dyDescent="0.2">
      <c r="A868" s="1" t="str">
        <f>"01135"</f>
        <v>01135</v>
      </c>
      <c r="B868" s="1" t="str">
        <f>"سامان"</f>
        <v>سامان</v>
      </c>
      <c r="C868" s="1" t="str">
        <f>"تجلي"</f>
        <v>تجلي</v>
      </c>
      <c r="D868" s="1" t="str">
        <f t="shared" ref="D868:D873" si="92">"قراردادي بهره بردار"</f>
        <v>قراردادي بهره بردار</v>
      </c>
      <c r="E868" s="1" t="str">
        <f>"پروژه بهره برداري نيروگاه بوشهر"</f>
        <v>پروژه بهره برداري نيروگاه بوشهر</v>
      </c>
      <c r="F868" s="1">
        <v>17847361</v>
      </c>
      <c r="G868" s="1">
        <v>0</v>
      </c>
      <c r="H868" s="1">
        <v>0</v>
      </c>
      <c r="I868" s="1">
        <v>12407751</v>
      </c>
      <c r="J868" s="1">
        <v>0</v>
      </c>
      <c r="K868" s="1">
        <v>4125000</v>
      </c>
      <c r="L868" s="1">
        <v>0</v>
      </c>
      <c r="M868" s="1">
        <v>1000000</v>
      </c>
      <c r="N868" s="1">
        <v>2888284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1387000</v>
      </c>
      <c r="U868" s="1">
        <v>0</v>
      </c>
      <c r="V868" s="1">
        <v>7226275</v>
      </c>
      <c r="W868" s="1">
        <v>1900000</v>
      </c>
      <c r="X868" s="1">
        <v>0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2063060</v>
      </c>
      <c r="AF868" s="1">
        <v>0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4939515</v>
      </c>
      <c r="AM868" s="1">
        <v>0</v>
      </c>
      <c r="AN868" s="1">
        <v>0</v>
      </c>
      <c r="AO868" s="1">
        <v>55784246</v>
      </c>
      <c r="AP868" s="1">
        <v>18371377</v>
      </c>
      <c r="AQ868" s="1">
        <v>37412869</v>
      </c>
      <c r="AR868" s="1">
        <v>11156849</v>
      </c>
      <c r="AS868" s="1">
        <v>1673527</v>
      </c>
      <c r="AT868" s="1">
        <f t="shared" si="91"/>
        <v>68614622</v>
      </c>
    </row>
    <row r="869" spans="1:46" x14ac:dyDescent="0.2">
      <c r="A869" s="1" t="str">
        <f>"01136"</f>
        <v>01136</v>
      </c>
      <c r="B869" s="1" t="str">
        <f>"مجتبي"</f>
        <v>مجتبي</v>
      </c>
      <c r="C869" s="1" t="str">
        <f>"جان احمدي"</f>
        <v>جان احمدي</v>
      </c>
      <c r="D869" s="1" t="str">
        <f t="shared" si="92"/>
        <v>قراردادي بهره بردار</v>
      </c>
      <c r="E869" s="1" t="str">
        <f>"پروژه بهره برداري نيروگاه بوشهر"</f>
        <v>پروژه بهره برداري نيروگاه بوشهر</v>
      </c>
      <c r="F869" s="1">
        <v>17021480</v>
      </c>
      <c r="G869" s="1">
        <v>6962110</v>
      </c>
      <c r="H869" s="1">
        <v>0</v>
      </c>
      <c r="I869" s="1">
        <v>12648082</v>
      </c>
      <c r="J869" s="1">
        <v>0</v>
      </c>
      <c r="K869" s="1">
        <v>5500000</v>
      </c>
      <c r="L869" s="1">
        <v>0</v>
      </c>
      <c r="M869" s="1">
        <v>1000000</v>
      </c>
      <c r="N869" s="1">
        <v>2771741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1387000</v>
      </c>
      <c r="U869" s="1">
        <v>0</v>
      </c>
      <c r="V869" s="1">
        <v>7501392</v>
      </c>
      <c r="W869" s="1">
        <v>1900000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1979815</v>
      </c>
      <c r="AF869" s="1">
        <v>1516881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5059892</v>
      </c>
      <c r="AM869" s="1">
        <v>0</v>
      </c>
      <c r="AN869" s="1">
        <v>0</v>
      </c>
      <c r="AO869" s="1">
        <v>65248393</v>
      </c>
      <c r="AP869" s="1">
        <v>18605230</v>
      </c>
      <c r="AQ869" s="1">
        <v>46643163</v>
      </c>
      <c r="AR869" s="1">
        <v>12746302</v>
      </c>
      <c r="AS869" s="1">
        <v>1911945</v>
      </c>
      <c r="AT869" s="1">
        <f t="shared" si="91"/>
        <v>79906640</v>
      </c>
    </row>
    <row r="870" spans="1:46" x14ac:dyDescent="0.2">
      <c r="A870" s="1" t="str">
        <f>"01137"</f>
        <v>01137</v>
      </c>
      <c r="B870" s="1" t="str">
        <f>"سيد حسن"</f>
        <v>سيد حسن</v>
      </c>
      <c r="C870" s="1" t="str">
        <f>"موسوي"</f>
        <v>موسوي</v>
      </c>
      <c r="D870" s="1" t="str">
        <f t="shared" si="92"/>
        <v>قراردادي بهره بردار</v>
      </c>
      <c r="E870" s="1" t="str">
        <f>"پروژه بهره برداري نيروگاه بوشهر"</f>
        <v>پروژه بهره برداري نيروگاه بوشهر</v>
      </c>
      <c r="F870" s="1">
        <v>21354619</v>
      </c>
      <c r="G870" s="1">
        <v>1968402</v>
      </c>
      <c r="H870" s="1">
        <v>0</v>
      </c>
      <c r="I870" s="1">
        <v>19112718</v>
      </c>
      <c r="J870" s="1">
        <v>0</v>
      </c>
      <c r="K870" s="1">
        <v>5500000</v>
      </c>
      <c r="L870" s="1">
        <v>0</v>
      </c>
      <c r="M870" s="1">
        <v>1000000</v>
      </c>
      <c r="N870" s="1">
        <v>3046232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1387000</v>
      </c>
      <c r="U870" s="1">
        <v>0</v>
      </c>
      <c r="V870" s="1">
        <v>5071829</v>
      </c>
      <c r="W870" s="1">
        <v>1900000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2175880</v>
      </c>
      <c r="AF870" s="1">
        <v>1516881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5028851</v>
      </c>
      <c r="AM870" s="1">
        <v>0</v>
      </c>
      <c r="AN870" s="1">
        <v>0</v>
      </c>
      <c r="AO870" s="1">
        <v>69062412</v>
      </c>
      <c r="AP870" s="1">
        <v>36808820</v>
      </c>
      <c r="AQ870" s="1">
        <v>32253592</v>
      </c>
      <c r="AR870" s="1">
        <v>13509106</v>
      </c>
      <c r="AS870" s="1">
        <v>2026366</v>
      </c>
      <c r="AT870" s="1">
        <f t="shared" si="91"/>
        <v>84597884</v>
      </c>
    </row>
    <row r="871" spans="1:46" x14ac:dyDescent="0.2">
      <c r="A871" s="1" t="str">
        <f>"01138"</f>
        <v>01138</v>
      </c>
      <c r="B871" s="1" t="str">
        <f>"آرمان"</f>
        <v>آرمان</v>
      </c>
      <c r="C871" s="1" t="str">
        <f>"زنده بودي"</f>
        <v>زنده بودي</v>
      </c>
      <c r="D871" s="1" t="str">
        <f t="shared" si="92"/>
        <v>قراردادي بهره بردار</v>
      </c>
      <c r="E871" s="1" t="str">
        <f>"پروژه تعميرات نيروگاه بوشهر"</f>
        <v>پروژه تعميرات نيروگاه بوشهر</v>
      </c>
      <c r="F871" s="1">
        <v>17996327</v>
      </c>
      <c r="G871" s="1">
        <v>5066398</v>
      </c>
      <c r="H871" s="1">
        <v>0</v>
      </c>
      <c r="I871" s="1">
        <v>15718263</v>
      </c>
      <c r="J871" s="1">
        <v>0</v>
      </c>
      <c r="K871" s="1">
        <v>5500000</v>
      </c>
      <c r="L871" s="1">
        <v>0</v>
      </c>
      <c r="M871" s="1">
        <v>1000000</v>
      </c>
      <c r="N871" s="1">
        <v>2940422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1387000</v>
      </c>
      <c r="U871" s="1">
        <v>0</v>
      </c>
      <c r="V871" s="1">
        <v>12720135</v>
      </c>
      <c r="W871" s="1">
        <v>1900000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2100302</v>
      </c>
      <c r="AF871" s="1">
        <v>1516881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8356298</v>
      </c>
      <c r="AM871" s="1">
        <v>0</v>
      </c>
      <c r="AN871" s="1">
        <v>0</v>
      </c>
      <c r="AO871" s="1">
        <v>76202026</v>
      </c>
      <c r="AP871" s="1">
        <v>35466166</v>
      </c>
      <c r="AQ871" s="1">
        <v>40735860</v>
      </c>
      <c r="AR871" s="1">
        <v>14937029</v>
      </c>
      <c r="AS871" s="1">
        <v>2240554</v>
      </c>
      <c r="AT871" s="1">
        <f t="shared" si="91"/>
        <v>93379609</v>
      </c>
    </row>
    <row r="872" spans="1:46" x14ac:dyDescent="0.2">
      <c r="A872" s="1" t="str">
        <f>"01139"</f>
        <v>01139</v>
      </c>
      <c r="B872" s="1" t="str">
        <f>"جواد"</f>
        <v>جواد</v>
      </c>
      <c r="C872" s="1" t="str">
        <f>"كمالي"</f>
        <v>كمالي</v>
      </c>
      <c r="D872" s="1" t="str">
        <f t="shared" si="92"/>
        <v>قراردادي بهره بردار</v>
      </c>
      <c r="E872" s="1" t="str">
        <f>"پروژه تعميرات نيروگاه بوشهر"</f>
        <v>پروژه تعميرات نيروگاه بوشهر</v>
      </c>
      <c r="F872" s="1">
        <v>17595435</v>
      </c>
      <c r="G872" s="1">
        <v>0</v>
      </c>
      <c r="H872" s="1">
        <v>0</v>
      </c>
      <c r="I872" s="1">
        <v>13094785</v>
      </c>
      <c r="J872" s="1">
        <v>0</v>
      </c>
      <c r="K872" s="1">
        <v>4125000</v>
      </c>
      <c r="L872" s="1">
        <v>0</v>
      </c>
      <c r="M872" s="1">
        <v>1000000</v>
      </c>
      <c r="N872" s="1">
        <v>2800110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1387000</v>
      </c>
      <c r="U872" s="1">
        <v>0</v>
      </c>
      <c r="V872" s="1">
        <v>7220210</v>
      </c>
      <c r="W872" s="1">
        <v>1900000</v>
      </c>
      <c r="X872" s="1">
        <v>0</v>
      </c>
      <c r="Y872" s="1">
        <v>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2000079</v>
      </c>
      <c r="AF872" s="1">
        <v>0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4621869</v>
      </c>
      <c r="AM872" s="1">
        <v>0</v>
      </c>
      <c r="AN872" s="1">
        <v>0</v>
      </c>
      <c r="AO872" s="1">
        <v>55744488</v>
      </c>
      <c r="AP872" s="1">
        <v>17151656</v>
      </c>
      <c r="AQ872" s="1">
        <v>38592832</v>
      </c>
      <c r="AR872" s="1">
        <v>11148898</v>
      </c>
      <c r="AS872" s="1">
        <v>1672335</v>
      </c>
      <c r="AT872" s="1">
        <f t="shared" si="91"/>
        <v>68565721</v>
      </c>
    </row>
    <row r="873" spans="1:46" x14ac:dyDescent="0.2">
      <c r="A873" s="1" t="str">
        <f>"01140"</f>
        <v>01140</v>
      </c>
      <c r="B873" s="1" t="str">
        <f>"سعيد"</f>
        <v>سعيد</v>
      </c>
      <c r="C873" s="1" t="str">
        <f>"كارگر"</f>
        <v>كارگر</v>
      </c>
      <c r="D873" s="1" t="str">
        <f t="shared" si="92"/>
        <v>قراردادي بهره بردار</v>
      </c>
      <c r="E873" s="1" t="str">
        <f>"پروژه تعميرات نيروگاه بوشهر"</f>
        <v>پروژه تعميرات نيروگاه بوشهر</v>
      </c>
      <c r="F873" s="1">
        <v>17017099</v>
      </c>
      <c r="G873" s="1">
        <v>4132314</v>
      </c>
      <c r="H873" s="1">
        <v>0</v>
      </c>
      <c r="I873" s="1">
        <v>13620193</v>
      </c>
      <c r="J873" s="1">
        <v>0</v>
      </c>
      <c r="K873" s="1">
        <v>5500000</v>
      </c>
      <c r="L873" s="1">
        <v>0</v>
      </c>
      <c r="M873" s="1">
        <v>1000000</v>
      </c>
      <c r="N873" s="1">
        <v>2597693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1387000</v>
      </c>
      <c r="U873" s="1">
        <v>0</v>
      </c>
      <c r="V873" s="1">
        <v>12598090</v>
      </c>
      <c r="W873" s="1">
        <v>1900000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1855495</v>
      </c>
      <c r="AF873" s="1">
        <v>1516881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5548521</v>
      </c>
      <c r="AM873" s="1">
        <v>0</v>
      </c>
      <c r="AN873" s="1">
        <v>0</v>
      </c>
      <c r="AO873" s="1">
        <v>68673286</v>
      </c>
      <c r="AP873" s="1">
        <v>22959488</v>
      </c>
      <c r="AQ873" s="1">
        <v>45713798</v>
      </c>
      <c r="AR873" s="1">
        <v>13431281</v>
      </c>
      <c r="AS873" s="1">
        <v>2014692</v>
      </c>
      <c r="AT873" s="1">
        <f t="shared" si="91"/>
        <v>84119259</v>
      </c>
    </row>
    <row r="874" spans="1:46" x14ac:dyDescent="0.2">
      <c r="A874" s="1" t="str">
        <f>"01142"</f>
        <v>01142</v>
      </c>
      <c r="B874" s="1" t="str">
        <f>"حبيب"</f>
        <v>حبيب</v>
      </c>
      <c r="C874" s="1" t="str">
        <f>"دهقاني"</f>
        <v>دهقاني</v>
      </c>
      <c r="D874" s="1" t="str">
        <f>"قراردادي کارگري"</f>
        <v>قراردادي کارگري</v>
      </c>
      <c r="E874" s="1" t="str">
        <f>"پروژه تعميرات نيروگاه بوشهر"</f>
        <v>پروژه تعميرات نيروگاه بوشهر</v>
      </c>
      <c r="F874" s="1">
        <v>8970455</v>
      </c>
      <c r="G874" s="1">
        <v>2518705</v>
      </c>
      <c r="H874" s="1">
        <v>0</v>
      </c>
      <c r="I874" s="1">
        <v>5382273</v>
      </c>
      <c r="J874" s="1">
        <v>0</v>
      </c>
      <c r="K874" s="1">
        <v>0</v>
      </c>
      <c r="L874" s="1">
        <v>7628143</v>
      </c>
      <c r="M874" s="1">
        <v>1000000</v>
      </c>
      <c r="N874" s="1">
        <v>4784243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8928534</v>
      </c>
      <c r="W874" s="1">
        <v>1900000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4014767</v>
      </c>
      <c r="AE874" s="1">
        <v>0</v>
      </c>
      <c r="AF874" s="1">
        <v>4550643</v>
      </c>
      <c r="AG874" s="1">
        <v>0</v>
      </c>
      <c r="AH874" s="1">
        <v>0</v>
      </c>
      <c r="AI874" s="1">
        <v>0</v>
      </c>
      <c r="AJ874" s="1">
        <v>4835914</v>
      </c>
      <c r="AK874" s="1">
        <v>0</v>
      </c>
      <c r="AL874" s="1">
        <v>0</v>
      </c>
      <c r="AM874" s="1">
        <v>0</v>
      </c>
      <c r="AN874" s="1">
        <v>0</v>
      </c>
      <c r="AO874" s="1">
        <v>54513677</v>
      </c>
      <c r="AP874" s="1">
        <v>7881119</v>
      </c>
      <c r="AQ874" s="1">
        <v>46632558</v>
      </c>
      <c r="AR874" s="1">
        <v>9992607</v>
      </c>
      <c r="AS874" s="1">
        <v>1498891</v>
      </c>
      <c r="AT874" s="1">
        <f t="shared" si="91"/>
        <v>66005175</v>
      </c>
    </row>
    <row r="875" spans="1:46" x14ac:dyDescent="0.2">
      <c r="A875" s="1" t="str">
        <f>"01144"</f>
        <v>01144</v>
      </c>
      <c r="B875" s="1" t="str">
        <f>"آزاده"</f>
        <v>آزاده</v>
      </c>
      <c r="C875" s="1" t="str">
        <f>"دهقان"</f>
        <v>دهقان</v>
      </c>
      <c r="D875" s="1" t="str">
        <f t="shared" ref="D875:D910" si="93">"قراردادي بهره بردار"</f>
        <v>قراردادي بهره بردار</v>
      </c>
      <c r="E875" s="1" t="str">
        <f t="shared" ref="E875:E910" si="94">"پروژه بهره برداري نيروگاه بوشهر"</f>
        <v>پروژه بهره برداري نيروگاه بوشهر</v>
      </c>
      <c r="F875" s="1">
        <v>15906431</v>
      </c>
      <c r="G875" s="1">
        <v>525306</v>
      </c>
      <c r="H875" s="1">
        <v>0</v>
      </c>
      <c r="I875" s="1">
        <v>10151526</v>
      </c>
      <c r="J875" s="1">
        <v>1100000</v>
      </c>
      <c r="K875" s="1">
        <v>5500000</v>
      </c>
      <c r="L875" s="1">
        <v>0</v>
      </c>
      <c r="M875" s="1">
        <v>1000000</v>
      </c>
      <c r="N875" s="1">
        <v>2381474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1387000</v>
      </c>
      <c r="U875" s="1">
        <v>0</v>
      </c>
      <c r="V875" s="1">
        <v>3383788</v>
      </c>
      <c r="W875" s="1">
        <v>1900000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1701053</v>
      </c>
      <c r="AF875" s="1">
        <v>1516881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3697407</v>
      </c>
      <c r="AM875" s="1">
        <v>0</v>
      </c>
      <c r="AN875" s="1">
        <v>0</v>
      </c>
      <c r="AO875" s="1">
        <v>50150866</v>
      </c>
      <c r="AP875" s="1">
        <v>16898431</v>
      </c>
      <c r="AQ875" s="1">
        <v>33252435</v>
      </c>
      <c r="AR875" s="1">
        <v>9506797</v>
      </c>
      <c r="AS875" s="1">
        <v>1426020</v>
      </c>
      <c r="AT875" s="1">
        <f t="shared" si="91"/>
        <v>61083683</v>
      </c>
    </row>
    <row r="876" spans="1:46" x14ac:dyDescent="0.2">
      <c r="A876" s="1" t="str">
        <f>"01145"</f>
        <v>01145</v>
      </c>
      <c r="B876" s="1" t="str">
        <f>"مسعود"</f>
        <v>مسعود</v>
      </c>
      <c r="C876" s="1" t="str">
        <f>"عبدالهي"</f>
        <v>عبدالهي</v>
      </c>
      <c r="D876" s="1" t="str">
        <f t="shared" si="93"/>
        <v>قراردادي بهره بردار</v>
      </c>
      <c r="E876" s="1" t="str">
        <f t="shared" si="94"/>
        <v>پروژه بهره برداري نيروگاه بوشهر</v>
      </c>
      <c r="F876" s="1">
        <v>11987328</v>
      </c>
      <c r="G876" s="1">
        <v>243480</v>
      </c>
      <c r="H876" s="1">
        <v>0</v>
      </c>
      <c r="I876" s="1">
        <v>9312577</v>
      </c>
      <c r="J876" s="1">
        <v>0</v>
      </c>
      <c r="K876" s="1">
        <v>4620000</v>
      </c>
      <c r="L876" s="1">
        <v>0</v>
      </c>
      <c r="M876" s="1">
        <v>1000000</v>
      </c>
      <c r="N876" s="1">
        <v>2171389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1387000</v>
      </c>
      <c r="U876" s="1">
        <v>0</v>
      </c>
      <c r="V876" s="1">
        <v>3136777</v>
      </c>
      <c r="W876" s="1">
        <v>1900000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2808435</v>
      </c>
      <c r="AD876" s="1">
        <v>0</v>
      </c>
      <c r="AE876" s="1">
        <v>1550992</v>
      </c>
      <c r="AF876" s="1">
        <v>3033762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3537050</v>
      </c>
      <c r="AM876" s="1">
        <v>0</v>
      </c>
      <c r="AN876" s="1">
        <v>0</v>
      </c>
      <c r="AO876" s="1">
        <v>46688790</v>
      </c>
      <c r="AP876" s="1">
        <v>5096446</v>
      </c>
      <c r="AQ876" s="1">
        <v>41592344</v>
      </c>
      <c r="AR876" s="1">
        <v>8731006</v>
      </c>
      <c r="AS876" s="1">
        <v>1309651</v>
      </c>
      <c r="AT876" s="1">
        <f t="shared" si="91"/>
        <v>56729447</v>
      </c>
    </row>
    <row r="877" spans="1:46" x14ac:dyDescent="0.2">
      <c r="A877" s="1" t="str">
        <f>"01146"</f>
        <v>01146</v>
      </c>
      <c r="B877" s="1" t="str">
        <f>"محمدرضا"</f>
        <v>محمدرضا</v>
      </c>
      <c r="C877" s="1" t="str">
        <f>"بشيري"</f>
        <v>بشيري</v>
      </c>
      <c r="D877" s="1" t="str">
        <f t="shared" si="93"/>
        <v>قراردادي بهره بردار</v>
      </c>
      <c r="E877" s="1" t="str">
        <f t="shared" si="94"/>
        <v>پروژه بهره برداري نيروگاه بوشهر</v>
      </c>
      <c r="F877" s="1">
        <v>18774013</v>
      </c>
      <c r="G877" s="1">
        <v>3719768</v>
      </c>
      <c r="H877" s="1">
        <v>0</v>
      </c>
      <c r="I877" s="1">
        <v>13996021</v>
      </c>
      <c r="J877" s="1">
        <v>0</v>
      </c>
      <c r="K877" s="1">
        <v>4125000</v>
      </c>
      <c r="L877" s="1">
        <v>0</v>
      </c>
      <c r="M877" s="1">
        <v>1000000</v>
      </c>
      <c r="N877" s="1">
        <v>3212613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1387000</v>
      </c>
      <c r="U877" s="1">
        <v>0</v>
      </c>
      <c r="V877" s="1">
        <v>4356564</v>
      </c>
      <c r="W877" s="1">
        <v>1900000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2294723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5288269</v>
      </c>
      <c r="AM877" s="1">
        <v>0</v>
      </c>
      <c r="AN877" s="1">
        <v>0</v>
      </c>
      <c r="AO877" s="1">
        <v>60053971</v>
      </c>
      <c r="AP877" s="1">
        <v>34634079</v>
      </c>
      <c r="AQ877" s="1">
        <v>25419892</v>
      </c>
      <c r="AR877" s="1">
        <v>12010794</v>
      </c>
      <c r="AS877" s="1">
        <v>1801619</v>
      </c>
      <c r="AT877" s="1">
        <f t="shared" si="91"/>
        <v>73866384</v>
      </c>
    </row>
    <row r="878" spans="1:46" x14ac:dyDescent="0.2">
      <c r="A878" s="1" t="str">
        <f>"01147"</f>
        <v>01147</v>
      </c>
      <c r="B878" s="1" t="str">
        <f>"بهروز"</f>
        <v>بهروز</v>
      </c>
      <c r="C878" s="1" t="str">
        <f>"جلالي"</f>
        <v>جلالي</v>
      </c>
      <c r="D878" s="1" t="str">
        <f t="shared" si="93"/>
        <v>قراردادي بهره بردار</v>
      </c>
      <c r="E878" s="1" t="str">
        <f t="shared" si="94"/>
        <v>پروژه بهره برداري نيروگاه بوشهر</v>
      </c>
      <c r="F878" s="1">
        <v>15967769</v>
      </c>
      <c r="G878" s="1">
        <v>551322</v>
      </c>
      <c r="H878" s="1">
        <v>0</v>
      </c>
      <c r="I878" s="1">
        <v>11226596</v>
      </c>
      <c r="J878" s="1">
        <v>0</v>
      </c>
      <c r="K878" s="1">
        <v>5500000</v>
      </c>
      <c r="L878" s="1">
        <v>0</v>
      </c>
      <c r="M878" s="1">
        <v>1000000</v>
      </c>
      <c r="N878" s="1">
        <v>2402942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1387000</v>
      </c>
      <c r="U878" s="1">
        <v>0</v>
      </c>
      <c r="V878" s="1">
        <v>3551376</v>
      </c>
      <c r="W878" s="1">
        <v>1900000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1716387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4200056</v>
      </c>
      <c r="AM878" s="1">
        <v>0</v>
      </c>
      <c r="AN878" s="1">
        <v>0</v>
      </c>
      <c r="AO878" s="1">
        <v>49403448</v>
      </c>
      <c r="AP878" s="1">
        <v>18614162</v>
      </c>
      <c r="AQ878" s="1">
        <v>30789286</v>
      </c>
      <c r="AR878" s="1">
        <v>9880690</v>
      </c>
      <c r="AS878" s="1">
        <v>1482103</v>
      </c>
      <c r="AT878" s="1">
        <f t="shared" si="91"/>
        <v>60766241</v>
      </c>
    </row>
    <row r="879" spans="1:46" x14ac:dyDescent="0.2">
      <c r="A879" s="1" t="str">
        <f>"01148"</f>
        <v>01148</v>
      </c>
      <c r="B879" s="1" t="str">
        <f>"حسن"</f>
        <v>حسن</v>
      </c>
      <c r="C879" s="1" t="str">
        <f>"محمدي"</f>
        <v>محمدي</v>
      </c>
      <c r="D879" s="1" t="str">
        <f t="shared" si="93"/>
        <v>قراردادي بهره بردار</v>
      </c>
      <c r="E879" s="1" t="str">
        <f t="shared" si="94"/>
        <v>پروژه بهره برداري نيروگاه بوشهر</v>
      </c>
      <c r="F879" s="1">
        <v>15823185</v>
      </c>
      <c r="G879" s="1">
        <v>0</v>
      </c>
      <c r="H879" s="1">
        <v>0</v>
      </c>
      <c r="I879" s="1">
        <v>8856497</v>
      </c>
      <c r="J879" s="1">
        <v>0</v>
      </c>
      <c r="K879" s="1">
        <v>5500000</v>
      </c>
      <c r="L879" s="1">
        <v>0</v>
      </c>
      <c r="M879" s="1">
        <v>1000000</v>
      </c>
      <c r="N879" s="1">
        <v>2352338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1387000</v>
      </c>
      <c r="U879" s="1">
        <v>0</v>
      </c>
      <c r="V879" s="1">
        <v>3359885</v>
      </c>
      <c r="W879" s="1">
        <v>1900000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1680241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4886589</v>
      </c>
      <c r="AM879" s="1">
        <v>0</v>
      </c>
      <c r="AN879" s="1">
        <v>0</v>
      </c>
      <c r="AO879" s="1">
        <v>46745735</v>
      </c>
      <c r="AP879" s="1">
        <v>5696854</v>
      </c>
      <c r="AQ879" s="1">
        <v>41048881</v>
      </c>
      <c r="AR879" s="1">
        <v>9349147</v>
      </c>
      <c r="AS879" s="1">
        <v>1402372</v>
      </c>
      <c r="AT879" s="1">
        <f t="shared" si="91"/>
        <v>57497254</v>
      </c>
    </row>
    <row r="880" spans="1:46" x14ac:dyDescent="0.2">
      <c r="A880" s="1" t="str">
        <f>"01149"</f>
        <v>01149</v>
      </c>
      <c r="B880" s="1" t="str">
        <f>"ناصر"</f>
        <v>ناصر</v>
      </c>
      <c r="C880" s="1" t="str">
        <f>"مرادي"</f>
        <v>مرادي</v>
      </c>
      <c r="D880" s="1" t="str">
        <f t="shared" si="93"/>
        <v>قراردادي بهره بردار</v>
      </c>
      <c r="E880" s="1" t="str">
        <f t="shared" si="94"/>
        <v>پروژه بهره برداري نيروگاه بوشهر</v>
      </c>
      <c r="F880" s="1">
        <v>18861640</v>
      </c>
      <c r="G880" s="1">
        <v>1498388</v>
      </c>
      <c r="H880" s="1">
        <v>0</v>
      </c>
      <c r="I880" s="1">
        <v>16524690</v>
      </c>
      <c r="J880" s="1">
        <v>0</v>
      </c>
      <c r="K880" s="1">
        <v>5500000</v>
      </c>
      <c r="L880" s="1">
        <v>0</v>
      </c>
      <c r="M880" s="1">
        <v>1000000</v>
      </c>
      <c r="N880" s="1">
        <v>3059266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1606000</v>
      </c>
      <c r="U880" s="1">
        <v>0</v>
      </c>
      <c r="V880" s="1">
        <v>4825979</v>
      </c>
      <c r="W880" s="1">
        <v>1900000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3384580</v>
      </c>
      <c r="AD880" s="1">
        <v>0</v>
      </c>
      <c r="AE880" s="1">
        <v>2185190</v>
      </c>
      <c r="AF880" s="1">
        <v>4550643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4244417</v>
      </c>
      <c r="AM880" s="1">
        <v>0</v>
      </c>
      <c r="AN880" s="1">
        <v>0</v>
      </c>
      <c r="AO880" s="1">
        <v>69140793</v>
      </c>
      <c r="AP880" s="1">
        <v>25428693</v>
      </c>
      <c r="AQ880" s="1">
        <v>43712100</v>
      </c>
      <c r="AR880" s="1">
        <v>12918030</v>
      </c>
      <c r="AS880" s="1">
        <v>1937705</v>
      </c>
      <c r="AT880" s="1">
        <f t="shared" si="91"/>
        <v>83996528</v>
      </c>
    </row>
    <row r="881" spans="1:46" x14ac:dyDescent="0.2">
      <c r="A881" s="1" t="str">
        <f>"01150"</f>
        <v>01150</v>
      </c>
      <c r="B881" s="1" t="str">
        <f>"شهلا"</f>
        <v>شهلا</v>
      </c>
      <c r="C881" s="1" t="str">
        <f>"دهقاني"</f>
        <v>دهقاني</v>
      </c>
      <c r="D881" s="1" t="str">
        <f t="shared" si="93"/>
        <v>قراردادي بهره بردار</v>
      </c>
      <c r="E881" s="1" t="str">
        <f t="shared" si="94"/>
        <v>پروژه بهره برداري نيروگاه بوشهر</v>
      </c>
      <c r="F881" s="1">
        <v>16666592</v>
      </c>
      <c r="G881" s="1">
        <v>0</v>
      </c>
      <c r="H881" s="1">
        <v>0</v>
      </c>
      <c r="I881" s="1">
        <v>11592148</v>
      </c>
      <c r="J881" s="1">
        <v>0</v>
      </c>
      <c r="K881" s="1">
        <v>4125000</v>
      </c>
      <c r="L881" s="1">
        <v>0</v>
      </c>
      <c r="M881" s="1">
        <v>1000000</v>
      </c>
      <c r="N881" s="1">
        <v>2475015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1606000</v>
      </c>
      <c r="U881" s="1">
        <v>0</v>
      </c>
      <c r="V881" s="1">
        <v>3680080</v>
      </c>
      <c r="W881" s="1">
        <v>1900000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1767868</v>
      </c>
      <c r="AF881" s="1">
        <v>0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4299183</v>
      </c>
      <c r="AM881" s="1">
        <v>0</v>
      </c>
      <c r="AN881" s="1">
        <v>0</v>
      </c>
      <c r="AO881" s="1">
        <v>49111886</v>
      </c>
      <c r="AP881" s="1">
        <v>4654637</v>
      </c>
      <c r="AQ881" s="1">
        <v>44457249</v>
      </c>
      <c r="AR881" s="1">
        <v>9822377</v>
      </c>
      <c r="AS881" s="1">
        <v>1473357</v>
      </c>
      <c r="AT881" s="1">
        <f t="shared" si="91"/>
        <v>60407620</v>
      </c>
    </row>
    <row r="882" spans="1:46" x14ac:dyDescent="0.2">
      <c r="A882" s="1" t="str">
        <f>"01151"</f>
        <v>01151</v>
      </c>
      <c r="B882" s="1" t="str">
        <f>"آرش"</f>
        <v>آرش</v>
      </c>
      <c r="C882" s="1" t="str">
        <f>"كشاورزي"</f>
        <v>كشاورزي</v>
      </c>
      <c r="D882" s="1" t="str">
        <f t="shared" si="93"/>
        <v>قراردادي بهره بردار</v>
      </c>
      <c r="E882" s="1" t="str">
        <f t="shared" si="94"/>
        <v>پروژه بهره برداري نيروگاه بوشهر</v>
      </c>
      <c r="F882" s="1">
        <v>10648831</v>
      </c>
      <c r="G882" s="1">
        <v>2816745</v>
      </c>
      <c r="H882" s="1">
        <v>0</v>
      </c>
      <c r="I882" s="1">
        <v>7138183</v>
      </c>
      <c r="J882" s="1">
        <v>0</v>
      </c>
      <c r="K882" s="1">
        <v>4620000</v>
      </c>
      <c r="L882" s="1">
        <v>0</v>
      </c>
      <c r="M882" s="1">
        <v>1000000</v>
      </c>
      <c r="N882" s="1">
        <v>1702915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1387000</v>
      </c>
      <c r="U882" s="1">
        <v>0</v>
      </c>
      <c r="V882" s="1">
        <v>2419231</v>
      </c>
      <c r="W882" s="1">
        <v>1900000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1216368</v>
      </c>
      <c r="AF882" s="1">
        <v>1516881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3486008</v>
      </c>
      <c r="AM882" s="1">
        <v>0</v>
      </c>
      <c r="AN882" s="1">
        <v>0</v>
      </c>
      <c r="AO882" s="1">
        <v>39852162</v>
      </c>
      <c r="AP882" s="1">
        <v>11169642</v>
      </c>
      <c r="AQ882" s="1">
        <v>28682520</v>
      </c>
      <c r="AR882" s="1">
        <v>7667056</v>
      </c>
      <c r="AS882" s="1">
        <v>1150058</v>
      </c>
      <c r="AT882" s="1">
        <f t="shared" si="91"/>
        <v>48669276</v>
      </c>
    </row>
    <row r="883" spans="1:46" x14ac:dyDescent="0.2">
      <c r="A883" s="1" t="str">
        <f>"01152"</f>
        <v>01152</v>
      </c>
      <c r="B883" s="1" t="str">
        <f>"سجاد"</f>
        <v>سجاد</v>
      </c>
      <c r="C883" s="1" t="str">
        <f>"اميرخاني"</f>
        <v>اميرخاني</v>
      </c>
      <c r="D883" s="1" t="str">
        <f t="shared" si="93"/>
        <v>قراردادي بهره بردار</v>
      </c>
      <c r="E883" s="1" t="str">
        <f t="shared" si="94"/>
        <v>پروژه بهره برداري نيروگاه بوشهر</v>
      </c>
      <c r="F883" s="1">
        <v>17192352</v>
      </c>
      <c r="G883" s="1">
        <v>1991159</v>
      </c>
      <c r="H883" s="1">
        <v>0</v>
      </c>
      <c r="I883" s="1">
        <v>11582690</v>
      </c>
      <c r="J883" s="1">
        <v>0</v>
      </c>
      <c r="K883" s="1">
        <v>0</v>
      </c>
      <c r="L883" s="1">
        <v>0</v>
      </c>
      <c r="M883" s="1">
        <v>1000000</v>
      </c>
      <c r="N883" s="1">
        <v>2659031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1387000</v>
      </c>
      <c r="U883" s="1">
        <v>0</v>
      </c>
      <c r="V883" s="1">
        <v>8162108</v>
      </c>
      <c r="W883" s="1">
        <v>1900000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1899308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5533800</v>
      </c>
      <c r="AM883" s="1">
        <v>0</v>
      </c>
      <c r="AN883" s="1">
        <v>0</v>
      </c>
      <c r="AO883" s="1">
        <v>53307448</v>
      </c>
      <c r="AP883" s="1">
        <v>10497409</v>
      </c>
      <c r="AQ883" s="1">
        <v>42810039</v>
      </c>
      <c r="AR883" s="1">
        <v>10661490</v>
      </c>
      <c r="AS883" s="1">
        <v>1599223</v>
      </c>
      <c r="AT883" s="1">
        <f t="shared" si="91"/>
        <v>65568161</v>
      </c>
    </row>
    <row r="884" spans="1:46" x14ac:dyDescent="0.2">
      <c r="A884" s="1" t="str">
        <f>"01153"</f>
        <v>01153</v>
      </c>
      <c r="B884" s="1" t="str">
        <f>"جعفر"</f>
        <v>جعفر</v>
      </c>
      <c r="C884" s="1" t="str">
        <f>"اميني نيک"</f>
        <v>اميني نيک</v>
      </c>
      <c r="D884" s="1" t="str">
        <f t="shared" si="93"/>
        <v>قراردادي بهره بردار</v>
      </c>
      <c r="E884" s="1" t="str">
        <f t="shared" si="94"/>
        <v>پروژه بهره برداري نيروگاه بوشهر</v>
      </c>
      <c r="F884" s="1">
        <v>18329308</v>
      </c>
      <c r="G884" s="1">
        <v>0</v>
      </c>
      <c r="H884" s="1">
        <v>0</v>
      </c>
      <c r="I884" s="1">
        <v>12922819</v>
      </c>
      <c r="J884" s="1">
        <v>0</v>
      </c>
      <c r="K884" s="1">
        <v>5500000</v>
      </c>
      <c r="L884" s="1">
        <v>0</v>
      </c>
      <c r="M884" s="1">
        <v>1000000</v>
      </c>
      <c r="N884" s="1">
        <v>3056966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1387000</v>
      </c>
      <c r="U884" s="1">
        <v>0</v>
      </c>
      <c r="V884" s="1">
        <v>10278627</v>
      </c>
      <c r="W884" s="1">
        <v>1900000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2183547</v>
      </c>
      <c r="AF884" s="1">
        <v>0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4621869</v>
      </c>
      <c r="AM884" s="1">
        <v>0</v>
      </c>
      <c r="AN884" s="1">
        <v>0</v>
      </c>
      <c r="AO884" s="1">
        <v>61180136</v>
      </c>
      <c r="AP884" s="1">
        <v>8033918</v>
      </c>
      <c r="AQ884" s="1">
        <v>53146218</v>
      </c>
      <c r="AR884" s="1">
        <v>12236027</v>
      </c>
      <c r="AS884" s="1">
        <v>1835404</v>
      </c>
      <c r="AT884" s="1">
        <f t="shared" si="91"/>
        <v>75251567</v>
      </c>
    </row>
    <row r="885" spans="1:46" x14ac:dyDescent="0.2">
      <c r="A885" s="1" t="str">
        <f>"01154"</f>
        <v>01154</v>
      </c>
      <c r="B885" s="1" t="str">
        <f>"مهدي"</f>
        <v>مهدي</v>
      </c>
      <c r="C885" s="1" t="str">
        <f>"اورک"</f>
        <v>اورک</v>
      </c>
      <c r="D885" s="1" t="str">
        <f t="shared" si="93"/>
        <v>قراردادي بهره بردار</v>
      </c>
      <c r="E885" s="1" t="str">
        <f t="shared" si="94"/>
        <v>پروژه بهره برداري نيروگاه بوشهر</v>
      </c>
      <c r="F885" s="1">
        <v>17945941</v>
      </c>
      <c r="G885" s="1">
        <v>4709657</v>
      </c>
      <c r="H885" s="1">
        <v>0</v>
      </c>
      <c r="I885" s="1">
        <v>12713765</v>
      </c>
      <c r="J885" s="1">
        <v>0</v>
      </c>
      <c r="K885" s="1">
        <v>5500000</v>
      </c>
      <c r="L885" s="1">
        <v>0</v>
      </c>
      <c r="M885" s="1">
        <v>1000000</v>
      </c>
      <c r="N885" s="1">
        <v>2922787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1387000</v>
      </c>
      <c r="U885" s="1">
        <v>0</v>
      </c>
      <c r="V885" s="1">
        <v>14112235</v>
      </c>
      <c r="W885" s="1">
        <v>1900000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2087705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5836374</v>
      </c>
      <c r="AM885" s="1">
        <v>0</v>
      </c>
      <c r="AN885" s="1">
        <v>0</v>
      </c>
      <c r="AO885" s="1">
        <v>70115464</v>
      </c>
      <c r="AP885" s="1">
        <v>14603324</v>
      </c>
      <c r="AQ885" s="1">
        <v>55512140</v>
      </c>
      <c r="AR885" s="1">
        <v>14023093</v>
      </c>
      <c r="AS885" s="1">
        <v>2103464</v>
      </c>
      <c r="AT885" s="1">
        <f t="shared" si="91"/>
        <v>86242021</v>
      </c>
    </row>
    <row r="886" spans="1:46" x14ac:dyDescent="0.2">
      <c r="A886" s="1" t="str">
        <f>"01155"</f>
        <v>01155</v>
      </c>
      <c r="B886" s="1" t="str">
        <f>"علي"</f>
        <v>علي</v>
      </c>
      <c r="C886" s="1" t="str">
        <f>"بهسرشت"</f>
        <v>بهسرشت</v>
      </c>
      <c r="D886" s="1" t="str">
        <f t="shared" si="93"/>
        <v>قراردادي بهره بردار</v>
      </c>
      <c r="E886" s="1" t="str">
        <f t="shared" si="94"/>
        <v>پروژه بهره برداري نيروگاه بوشهر</v>
      </c>
      <c r="F886" s="1">
        <v>18692959</v>
      </c>
      <c r="G886" s="1">
        <v>10560806</v>
      </c>
      <c r="H886" s="1">
        <v>0</v>
      </c>
      <c r="I886" s="1">
        <v>14672537</v>
      </c>
      <c r="J886" s="1">
        <v>0</v>
      </c>
      <c r="K886" s="1">
        <v>5500000</v>
      </c>
      <c r="L886" s="1">
        <v>0</v>
      </c>
      <c r="M886" s="1">
        <v>1000000</v>
      </c>
      <c r="N886" s="1">
        <v>3184244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1606000</v>
      </c>
      <c r="U886" s="1">
        <v>0</v>
      </c>
      <c r="V886" s="1">
        <v>11245073</v>
      </c>
      <c r="W886" s="1">
        <v>1900000</v>
      </c>
      <c r="X886" s="1">
        <v>2713494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2274460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12289771</v>
      </c>
      <c r="AM886" s="1">
        <v>0</v>
      </c>
      <c r="AN886" s="1">
        <v>0</v>
      </c>
      <c r="AO886" s="1">
        <v>85639344</v>
      </c>
      <c r="AP886" s="1">
        <v>31094165</v>
      </c>
      <c r="AQ886" s="1">
        <v>54545179</v>
      </c>
      <c r="AR886" s="1">
        <v>17127869</v>
      </c>
      <c r="AS886" s="1">
        <v>2569180</v>
      </c>
      <c r="AT886" s="1">
        <f t="shared" si="91"/>
        <v>105336393</v>
      </c>
    </row>
    <row r="887" spans="1:46" x14ac:dyDescent="0.2">
      <c r="A887" s="1" t="str">
        <f>"01156"</f>
        <v>01156</v>
      </c>
      <c r="B887" s="1" t="str">
        <f>"امير"</f>
        <v>امير</v>
      </c>
      <c r="C887" s="1" t="str">
        <f>"بهسرشت"</f>
        <v>بهسرشت</v>
      </c>
      <c r="D887" s="1" t="str">
        <f t="shared" si="93"/>
        <v>قراردادي بهره بردار</v>
      </c>
      <c r="E887" s="1" t="str">
        <f t="shared" si="94"/>
        <v>پروژه بهره برداري نيروگاه بوشهر</v>
      </c>
      <c r="F887" s="1">
        <v>18083953</v>
      </c>
      <c r="G887" s="1">
        <v>3039709</v>
      </c>
      <c r="H887" s="1">
        <v>0</v>
      </c>
      <c r="I887" s="1">
        <v>13185952</v>
      </c>
      <c r="J887" s="1">
        <v>0</v>
      </c>
      <c r="K887" s="1">
        <v>5500000</v>
      </c>
      <c r="L887" s="1">
        <v>0</v>
      </c>
      <c r="M887" s="1">
        <v>1000000</v>
      </c>
      <c r="N887" s="1">
        <v>2971092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1606000</v>
      </c>
      <c r="U887" s="1">
        <v>0</v>
      </c>
      <c r="V887" s="1">
        <v>12104975</v>
      </c>
      <c r="W887" s="1">
        <v>1900000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2122208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5378087</v>
      </c>
      <c r="AM887" s="1">
        <v>0</v>
      </c>
      <c r="AN887" s="1">
        <v>0</v>
      </c>
      <c r="AO887" s="1">
        <v>66891976</v>
      </c>
      <c r="AP887" s="1">
        <v>22736798</v>
      </c>
      <c r="AQ887" s="1">
        <v>44155178</v>
      </c>
      <c r="AR887" s="1">
        <v>13378395</v>
      </c>
      <c r="AS887" s="1">
        <v>2006759</v>
      </c>
      <c r="AT887" s="1">
        <f t="shared" si="91"/>
        <v>82277130</v>
      </c>
    </row>
    <row r="888" spans="1:46" x14ac:dyDescent="0.2">
      <c r="A888" s="1" t="str">
        <f>"01157"</f>
        <v>01157</v>
      </c>
      <c r="B888" s="1" t="str">
        <f>"مقداد"</f>
        <v>مقداد</v>
      </c>
      <c r="C888" s="1" t="str">
        <f>"پاداش"</f>
        <v>پاداش</v>
      </c>
      <c r="D888" s="1" t="str">
        <f t="shared" si="93"/>
        <v>قراردادي بهره بردار</v>
      </c>
      <c r="E888" s="1" t="str">
        <f t="shared" si="94"/>
        <v>پروژه بهره برداري نيروگاه بوشهر</v>
      </c>
      <c r="F888" s="1">
        <v>18160627</v>
      </c>
      <c r="G888" s="1">
        <v>8049139</v>
      </c>
      <c r="H888" s="1">
        <v>0</v>
      </c>
      <c r="I888" s="1">
        <v>13386874</v>
      </c>
      <c r="J888" s="1">
        <v>0</v>
      </c>
      <c r="K888" s="1">
        <v>5500000</v>
      </c>
      <c r="L888" s="1">
        <v>0</v>
      </c>
      <c r="M888" s="1">
        <v>1000000</v>
      </c>
      <c r="N888" s="1">
        <v>2997927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1606000</v>
      </c>
      <c r="U888" s="1">
        <v>0</v>
      </c>
      <c r="V888" s="1">
        <v>14471288</v>
      </c>
      <c r="W888" s="1">
        <v>1900000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2141377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5875806</v>
      </c>
      <c r="AM888" s="1">
        <v>0</v>
      </c>
      <c r="AN888" s="1">
        <v>0</v>
      </c>
      <c r="AO888" s="1">
        <v>75089038</v>
      </c>
      <c r="AP888" s="1">
        <v>10967878</v>
      </c>
      <c r="AQ888" s="1">
        <v>64121160</v>
      </c>
      <c r="AR888" s="1">
        <v>15017808</v>
      </c>
      <c r="AS888" s="1">
        <v>2252671</v>
      </c>
      <c r="AT888" s="1">
        <f t="shared" si="91"/>
        <v>92359517</v>
      </c>
    </row>
    <row r="889" spans="1:46" x14ac:dyDescent="0.2">
      <c r="A889" s="1" t="str">
        <f>"01158"</f>
        <v>01158</v>
      </c>
      <c r="B889" s="1" t="str">
        <f>"ميثم"</f>
        <v>ميثم</v>
      </c>
      <c r="C889" s="1" t="str">
        <f>"خان محمدي هزاوه"</f>
        <v>خان محمدي هزاوه</v>
      </c>
      <c r="D889" s="1" t="str">
        <f t="shared" si="93"/>
        <v>قراردادي بهره بردار</v>
      </c>
      <c r="E889" s="1" t="str">
        <f t="shared" si="94"/>
        <v>پروژه بهره برداري نيروگاه بوشهر</v>
      </c>
      <c r="F889" s="1">
        <v>17970039</v>
      </c>
      <c r="G889" s="1">
        <v>5385649</v>
      </c>
      <c r="H889" s="1">
        <v>0</v>
      </c>
      <c r="I889" s="1">
        <v>12639839</v>
      </c>
      <c r="J889" s="1">
        <v>0</v>
      </c>
      <c r="K889" s="1">
        <v>5500000</v>
      </c>
      <c r="L889" s="1">
        <v>0</v>
      </c>
      <c r="M889" s="1">
        <v>1000000</v>
      </c>
      <c r="N889" s="1">
        <v>2931222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1387000</v>
      </c>
      <c r="U889" s="1">
        <v>0</v>
      </c>
      <c r="V889" s="1">
        <v>13198257</v>
      </c>
      <c r="W889" s="1">
        <v>1900000</v>
      </c>
      <c r="X889" s="1">
        <v>2608554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2093730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9876402</v>
      </c>
      <c r="AM889" s="1">
        <v>0</v>
      </c>
      <c r="AN889" s="1">
        <v>0</v>
      </c>
      <c r="AO889" s="1">
        <v>76490692</v>
      </c>
      <c r="AP889" s="1">
        <v>22041430</v>
      </c>
      <c r="AQ889" s="1">
        <v>54449262</v>
      </c>
      <c r="AR889" s="1">
        <v>15298138</v>
      </c>
      <c r="AS889" s="1">
        <v>2294721</v>
      </c>
      <c r="AT889" s="1">
        <f t="shared" si="91"/>
        <v>94083551</v>
      </c>
    </row>
    <row r="890" spans="1:46" x14ac:dyDescent="0.2">
      <c r="A890" s="1" t="str">
        <f>"01159"</f>
        <v>01159</v>
      </c>
      <c r="B890" s="1" t="str">
        <f>"عليرضا"</f>
        <v>عليرضا</v>
      </c>
      <c r="C890" s="1" t="str">
        <f>"دهقاني"</f>
        <v>دهقاني</v>
      </c>
      <c r="D890" s="1" t="str">
        <f t="shared" si="93"/>
        <v>قراردادي بهره بردار</v>
      </c>
      <c r="E890" s="1" t="str">
        <f t="shared" si="94"/>
        <v>پروژه بهره برداري نيروگاه بوشهر</v>
      </c>
      <c r="F890" s="1">
        <v>18013852</v>
      </c>
      <c r="G890" s="1">
        <v>0</v>
      </c>
      <c r="H890" s="1">
        <v>0</v>
      </c>
      <c r="I890" s="1">
        <v>12223363</v>
      </c>
      <c r="J890" s="1">
        <v>0</v>
      </c>
      <c r="K890" s="1">
        <v>5500000</v>
      </c>
      <c r="L890" s="1">
        <v>0</v>
      </c>
      <c r="M890" s="1">
        <v>1000000</v>
      </c>
      <c r="N890" s="1">
        <v>2946556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1387000</v>
      </c>
      <c r="U890" s="1">
        <v>0</v>
      </c>
      <c r="V890" s="1">
        <v>6779742</v>
      </c>
      <c r="W890" s="1">
        <v>1900000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2104683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4592382</v>
      </c>
      <c r="AM890" s="1">
        <v>0</v>
      </c>
      <c r="AN890" s="1">
        <v>0</v>
      </c>
      <c r="AO890" s="1">
        <v>56447578</v>
      </c>
      <c r="AP890" s="1">
        <v>7077945</v>
      </c>
      <c r="AQ890" s="1">
        <v>49369633</v>
      </c>
      <c r="AR890" s="1">
        <v>11289516</v>
      </c>
      <c r="AS890" s="1">
        <v>1693427</v>
      </c>
      <c r="AT890" s="1">
        <f t="shared" si="91"/>
        <v>69430521</v>
      </c>
    </row>
    <row r="891" spans="1:46" x14ac:dyDescent="0.2">
      <c r="A891" s="1" t="str">
        <f>"01160"</f>
        <v>01160</v>
      </c>
      <c r="B891" s="1" t="str">
        <f>"سيدحميدرضا"</f>
        <v>سيدحميدرضا</v>
      </c>
      <c r="C891" s="1" t="str">
        <f>"قريشي"</f>
        <v>قريشي</v>
      </c>
      <c r="D891" s="1" t="str">
        <f t="shared" si="93"/>
        <v>قراردادي بهره بردار</v>
      </c>
      <c r="E891" s="1" t="str">
        <f t="shared" si="94"/>
        <v>پروژه بهره برداري نيروگاه بوشهر</v>
      </c>
      <c r="F891" s="1">
        <v>17707159</v>
      </c>
      <c r="G891" s="1">
        <v>1101617</v>
      </c>
      <c r="H891" s="1">
        <v>0</v>
      </c>
      <c r="I891" s="1">
        <v>12469295</v>
      </c>
      <c r="J891" s="1">
        <v>0</v>
      </c>
      <c r="K891" s="1">
        <v>4125000</v>
      </c>
      <c r="L891" s="1">
        <v>0</v>
      </c>
      <c r="M891" s="1">
        <v>1000000</v>
      </c>
      <c r="N891" s="1">
        <v>2839214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1387000</v>
      </c>
      <c r="U891" s="1">
        <v>0</v>
      </c>
      <c r="V891" s="1">
        <v>11698526</v>
      </c>
      <c r="W891" s="1">
        <v>1900000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2028010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5296068</v>
      </c>
      <c r="AM891" s="1">
        <v>0</v>
      </c>
      <c r="AN891" s="1">
        <v>0</v>
      </c>
      <c r="AO891" s="1">
        <v>61551889</v>
      </c>
      <c r="AP891" s="1">
        <v>6710258</v>
      </c>
      <c r="AQ891" s="1">
        <v>54841631</v>
      </c>
      <c r="AR891" s="1">
        <v>12310378</v>
      </c>
      <c r="AS891" s="1">
        <v>1846557</v>
      </c>
      <c r="AT891" s="1">
        <f t="shared" si="91"/>
        <v>75708824</v>
      </c>
    </row>
    <row r="892" spans="1:46" x14ac:dyDescent="0.2">
      <c r="A892" s="1" t="str">
        <f>"01161"</f>
        <v>01161</v>
      </c>
      <c r="B892" s="1" t="str">
        <f>"صادق"</f>
        <v>صادق</v>
      </c>
      <c r="C892" s="1" t="str">
        <f>"گنجي"</f>
        <v>گنجي</v>
      </c>
      <c r="D892" s="1" t="str">
        <f t="shared" si="93"/>
        <v>قراردادي بهره بردار</v>
      </c>
      <c r="E892" s="1" t="str">
        <f t="shared" si="94"/>
        <v>پروژه بهره برداري نيروگاه بوشهر</v>
      </c>
      <c r="F892" s="1">
        <v>18568091</v>
      </c>
      <c r="G892" s="1">
        <v>1176551</v>
      </c>
      <c r="H892" s="1">
        <v>0</v>
      </c>
      <c r="I892" s="1">
        <v>13496845</v>
      </c>
      <c r="J892" s="1">
        <v>0</v>
      </c>
      <c r="K892" s="1">
        <v>5500000</v>
      </c>
      <c r="L892" s="1">
        <v>0</v>
      </c>
      <c r="M892" s="1">
        <v>1000000</v>
      </c>
      <c r="N892" s="1">
        <v>3140540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1387000</v>
      </c>
      <c r="U892" s="1">
        <v>0</v>
      </c>
      <c r="V892" s="1">
        <v>12825696</v>
      </c>
      <c r="W892" s="1">
        <v>1900000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2243243</v>
      </c>
      <c r="AF892" s="1">
        <v>1516881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5303604</v>
      </c>
      <c r="AM892" s="1">
        <v>0</v>
      </c>
      <c r="AN892" s="1">
        <v>0</v>
      </c>
      <c r="AO892" s="1">
        <v>68058451</v>
      </c>
      <c r="AP892" s="1">
        <v>31844160</v>
      </c>
      <c r="AQ892" s="1">
        <v>36214291</v>
      </c>
      <c r="AR892" s="1">
        <v>13308314</v>
      </c>
      <c r="AS892" s="1">
        <v>1996247</v>
      </c>
      <c r="AT892" s="1">
        <f t="shared" si="91"/>
        <v>83363012</v>
      </c>
    </row>
    <row r="893" spans="1:46" x14ac:dyDescent="0.2">
      <c r="A893" s="1" t="str">
        <f>"01163"</f>
        <v>01163</v>
      </c>
      <c r="B893" s="1" t="str">
        <f>"علي"</f>
        <v>علي</v>
      </c>
      <c r="C893" s="1" t="str">
        <f>"مطهر"</f>
        <v>مطهر</v>
      </c>
      <c r="D893" s="1" t="str">
        <f t="shared" si="93"/>
        <v>قراردادي بهره بردار</v>
      </c>
      <c r="E893" s="1" t="str">
        <f t="shared" si="94"/>
        <v>پروژه بهره برداري نيروگاه بوشهر</v>
      </c>
      <c r="F893" s="1">
        <v>17626104</v>
      </c>
      <c r="G893" s="1">
        <v>1721274</v>
      </c>
      <c r="H893" s="1">
        <v>0</v>
      </c>
      <c r="I893" s="1">
        <v>12197380</v>
      </c>
      <c r="J893" s="1">
        <v>0</v>
      </c>
      <c r="K893" s="1">
        <v>5500000</v>
      </c>
      <c r="L893" s="1">
        <v>0</v>
      </c>
      <c r="M893" s="1">
        <v>1000000</v>
      </c>
      <c r="N893" s="1">
        <v>2810844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1387000</v>
      </c>
      <c r="U893" s="1">
        <v>0</v>
      </c>
      <c r="V893" s="1">
        <v>9757166</v>
      </c>
      <c r="W893" s="1">
        <v>1900000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2007746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4386591</v>
      </c>
      <c r="AM893" s="1">
        <v>0</v>
      </c>
      <c r="AN893" s="1">
        <v>0</v>
      </c>
      <c r="AO893" s="1">
        <v>60294105</v>
      </c>
      <c r="AP893" s="1">
        <v>21822406</v>
      </c>
      <c r="AQ893" s="1">
        <v>38471699</v>
      </c>
      <c r="AR893" s="1">
        <v>12058821</v>
      </c>
      <c r="AS893" s="1">
        <v>1808823</v>
      </c>
      <c r="AT893" s="1">
        <f t="shared" si="91"/>
        <v>74161749</v>
      </c>
    </row>
    <row r="894" spans="1:46" x14ac:dyDescent="0.2">
      <c r="A894" s="1" t="str">
        <f>"01164"</f>
        <v>01164</v>
      </c>
      <c r="B894" s="1" t="str">
        <f>"مجتبي"</f>
        <v>مجتبي</v>
      </c>
      <c r="C894" s="1" t="str">
        <f>"منفرد"</f>
        <v>منفرد</v>
      </c>
      <c r="D894" s="1" t="str">
        <f t="shared" si="93"/>
        <v>قراردادي بهره بردار</v>
      </c>
      <c r="E894" s="1" t="str">
        <f t="shared" si="94"/>
        <v>پروژه بهره برداري نيروگاه بوشهر</v>
      </c>
      <c r="F894" s="1">
        <v>17203305</v>
      </c>
      <c r="G894" s="1">
        <v>737407</v>
      </c>
      <c r="H894" s="1">
        <v>0</v>
      </c>
      <c r="I894" s="1">
        <v>11728776</v>
      </c>
      <c r="J894" s="1">
        <v>0</v>
      </c>
      <c r="K894" s="1">
        <v>4125000</v>
      </c>
      <c r="L894" s="1">
        <v>0</v>
      </c>
      <c r="M894" s="1">
        <v>1000000</v>
      </c>
      <c r="N894" s="1">
        <v>2662865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1387000</v>
      </c>
      <c r="U894" s="1">
        <v>0</v>
      </c>
      <c r="V894" s="1">
        <v>13257598</v>
      </c>
      <c r="W894" s="1">
        <v>1900000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1902046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5495945</v>
      </c>
      <c r="AM894" s="1">
        <v>0</v>
      </c>
      <c r="AN894" s="1">
        <v>0</v>
      </c>
      <c r="AO894" s="1">
        <v>61399942</v>
      </c>
      <c r="AP894" s="1">
        <v>33371251</v>
      </c>
      <c r="AQ894" s="1">
        <v>28028691</v>
      </c>
      <c r="AR894" s="1">
        <v>12279988</v>
      </c>
      <c r="AS894" s="1">
        <v>1841998</v>
      </c>
      <c r="AT894" s="1">
        <f t="shared" si="91"/>
        <v>75521928</v>
      </c>
    </row>
    <row r="895" spans="1:46" x14ac:dyDescent="0.2">
      <c r="A895" s="1" t="str">
        <f>"01165"</f>
        <v>01165</v>
      </c>
      <c r="B895" s="1" t="str">
        <f>"کاظم"</f>
        <v>کاظم</v>
      </c>
      <c r="C895" s="1" t="str">
        <f>"مهربانيان"</f>
        <v>مهربانيان</v>
      </c>
      <c r="D895" s="1" t="str">
        <f t="shared" si="93"/>
        <v>قراردادي بهره بردار</v>
      </c>
      <c r="E895" s="1" t="str">
        <f t="shared" si="94"/>
        <v>پروژه بهره برداري نيروگاه بوشهر</v>
      </c>
      <c r="F895" s="1">
        <v>18822208</v>
      </c>
      <c r="G895" s="1">
        <v>3951152</v>
      </c>
      <c r="H895" s="1">
        <v>0</v>
      </c>
      <c r="I895" s="1">
        <v>13471982</v>
      </c>
      <c r="J895" s="1">
        <v>0</v>
      </c>
      <c r="K895" s="1">
        <v>5500000</v>
      </c>
      <c r="L895" s="1">
        <v>0</v>
      </c>
      <c r="M895" s="1">
        <v>1000000</v>
      </c>
      <c r="N895" s="1">
        <v>3229481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1387000</v>
      </c>
      <c r="U895" s="1">
        <v>0</v>
      </c>
      <c r="V895" s="1">
        <v>13986311</v>
      </c>
      <c r="W895" s="1">
        <v>1900000</v>
      </c>
      <c r="X895" s="1">
        <v>2732256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2306772</v>
      </c>
      <c r="AF895" s="1">
        <v>1516881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10398218</v>
      </c>
      <c r="AM895" s="1">
        <v>0</v>
      </c>
      <c r="AN895" s="1">
        <v>0</v>
      </c>
      <c r="AO895" s="1">
        <v>80202261</v>
      </c>
      <c r="AP895" s="1">
        <v>11242214</v>
      </c>
      <c r="AQ895" s="1">
        <v>68960047</v>
      </c>
      <c r="AR895" s="1">
        <v>15737076</v>
      </c>
      <c r="AS895" s="1">
        <v>2360561</v>
      </c>
      <c r="AT895" s="1">
        <f t="shared" si="91"/>
        <v>98299898</v>
      </c>
    </row>
    <row r="896" spans="1:46" x14ac:dyDescent="0.2">
      <c r="A896" s="1" t="str">
        <f>"01166"</f>
        <v>01166</v>
      </c>
      <c r="B896" s="1" t="str">
        <f>"محمد"</f>
        <v>محمد</v>
      </c>
      <c r="C896" s="1" t="str">
        <f>"ميرعلائي"</f>
        <v>ميرعلائي</v>
      </c>
      <c r="D896" s="1" t="str">
        <f t="shared" si="93"/>
        <v>قراردادي بهره بردار</v>
      </c>
      <c r="E896" s="1" t="str">
        <f t="shared" si="94"/>
        <v>پروژه بهره برداري نيروگاه بوشهر</v>
      </c>
      <c r="F896" s="1">
        <v>18640383</v>
      </c>
      <c r="G896" s="1">
        <v>5164201</v>
      </c>
      <c r="H896" s="1">
        <v>0</v>
      </c>
      <c r="I896" s="1">
        <v>13483038</v>
      </c>
      <c r="J896" s="1">
        <v>0</v>
      </c>
      <c r="K896" s="1">
        <v>4125000</v>
      </c>
      <c r="L896" s="1">
        <v>0</v>
      </c>
      <c r="M896" s="1">
        <v>1000000</v>
      </c>
      <c r="N896" s="1">
        <v>3165842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1387000</v>
      </c>
      <c r="U896" s="1">
        <v>0</v>
      </c>
      <c r="V896" s="1">
        <v>13647386</v>
      </c>
      <c r="W896" s="1">
        <v>1900000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2261316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5097506</v>
      </c>
      <c r="AM896" s="1">
        <v>0</v>
      </c>
      <c r="AN896" s="1">
        <v>0</v>
      </c>
      <c r="AO896" s="1">
        <v>69871672</v>
      </c>
      <c r="AP896" s="1">
        <v>10128694</v>
      </c>
      <c r="AQ896" s="1">
        <v>59742978</v>
      </c>
      <c r="AR896" s="1">
        <v>13974334</v>
      </c>
      <c r="AS896" s="1">
        <v>2096150</v>
      </c>
      <c r="AT896" s="1">
        <f t="shared" si="91"/>
        <v>85942156</v>
      </c>
    </row>
    <row r="897" spans="1:46" x14ac:dyDescent="0.2">
      <c r="A897" s="1" t="str">
        <f>"01167"</f>
        <v>01167</v>
      </c>
      <c r="B897" s="1" t="str">
        <f>"محمد"</f>
        <v>محمد</v>
      </c>
      <c r="C897" s="1" t="str">
        <f>"سروش"</f>
        <v>سروش</v>
      </c>
      <c r="D897" s="1" t="str">
        <f t="shared" si="93"/>
        <v>قراردادي بهره بردار</v>
      </c>
      <c r="E897" s="1" t="str">
        <f t="shared" si="94"/>
        <v>پروژه بهره برداري نيروگاه بوشهر</v>
      </c>
      <c r="F897" s="1">
        <v>17886793</v>
      </c>
      <c r="G897" s="1">
        <v>1089820</v>
      </c>
      <c r="H897" s="1">
        <v>0</v>
      </c>
      <c r="I897" s="1">
        <v>12569353</v>
      </c>
      <c r="J897" s="1">
        <v>0</v>
      </c>
      <c r="K897" s="1">
        <v>5500000</v>
      </c>
      <c r="L897" s="1">
        <v>0</v>
      </c>
      <c r="M897" s="1">
        <v>1000000</v>
      </c>
      <c r="N897" s="1">
        <v>2902086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1387000</v>
      </c>
      <c r="U897" s="1">
        <v>0</v>
      </c>
      <c r="V897" s="1">
        <v>11573256</v>
      </c>
      <c r="W897" s="1">
        <v>1900000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2072918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4476627</v>
      </c>
      <c r="AM897" s="1">
        <v>0</v>
      </c>
      <c r="AN897" s="1">
        <v>0</v>
      </c>
      <c r="AO897" s="1">
        <v>62357853</v>
      </c>
      <c r="AP897" s="1">
        <v>18229635</v>
      </c>
      <c r="AQ897" s="1">
        <v>44128218</v>
      </c>
      <c r="AR897" s="1">
        <v>12471571</v>
      </c>
      <c r="AS897" s="1">
        <v>1870736</v>
      </c>
      <c r="AT897" s="1">
        <f t="shared" si="91"/>
        <v>76700160</v>
      </c>
    </row>
    <row r="898" spans="1:46" x14ac:dyDescent="0.2">
      <c r="A898" s="1" t="str">
        <f>"01169"</f>
        <v>01169</v>
      </c>
      <c r="B898" s="1" t="str">
        <f>"محمدمهدي"</f>
        <v>محمدمهدي</v>
      </c>
      <c r="C898" s="1" t="str">
        <f>"مهدي نياي رود پشتي"</f>
        <v>مهدي نياي رود پشتي</v>
      </c>
      <c r="D898" s="1" t="str">
        <f t="shared" si="93"/>
        <v>قراردادي بهره بردار</v>
      </c>
      <c r="E898" s="1" t="str">
        <f t="shared" si="94"/>
        <v>پروژه بهره برداري نيروگاه بوشهر</v>
      </c>
      <c r="F898" s="1">
        <v>18287685</v>
      </c>
      <c r="G898" s="1">
        <v>3387328</v>
      </c>
      <c r="H898" s="1">
        <v>0</v>
      </c>
      <c r="I898" s="1">
        <v>12821913</v>
      </c>
      <c r="J898" s="1">
        <v>0</v>
      </c>
      <c r="K898" s="1">
        <v>5500000</v>
      </c>
      <c r="L898" s="1">
        <v>0</v>
      </c>
      <c r="M898" s="1">
        <v>1000000</v>
      </c>
      <c r="N898" s="1">
        <v>3042398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1387000</v>
      </c>
      <c r="U898" s="1">
        <v>0</v>
      </c>
      <c r="V898" s="1">
        <v>13489294</v>
      </c>
      <c r="W898" s="1">
        <v>1900000</v>
      </c>
      <c r="X898" s="1">
        <v>2654664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2173141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10189667</v>
      </c>
      <c r="AM898" s="1">
        <v>0</v>
      </c>
      <c r="AN898" s="1">
        <v>0</v>
      </c>
      <c r="AO898" s="1">
        <v>75833090</v>
      </c>
      <c r="AP898" s="1">
        <v>21963694</v>
      </c>
      <c r="AQ898" s="1">
        <v>53869396</v>
      </c>
      <c r="AR898" s="1">
        <v>15166618</v>
      </c>
      <c r="AS898" s="1">
        <v>2274993</v>
      </c>
      <c r="AT898" s="1">
        <f t="shared" si="91"/>
        <v>93274701</v>
      </c>
    </row>
    <row r="899" spans="1:46" x14ac:dyDescent="0.2">
      <c r="A899" s="1" t="str">
        <f>"01170"</f>
        <v>01170</v>
      </c>
      <c r="B899" s="1" t="str">
        <f>"عماد"</f>
        <v>عماد</v>
      </c>
      <c r="C899" s="1" t="str">
        <f>"نوري فر"</f>
        <v>نوري فر</v>
      </c>
      <c r="D899" s="1" t="str">
        <f t="shared" si="93"/>
        <v>قراردادي بهره بردار</v>
      </c>
      <c r="E899" s="1" t="str">
        <f t="shared" si="94"/>
        <v>پروژه بهره برداري نيروگاه بوشهر</v>
      </c>
      <c r="F899" s="1">
        <v>18679815</v>
      </c>
      <c r="G899" s="1">
        <v>2703529</v>
      </c>
      <c r="H899" s="1">
        <v>0</v>
      </c>
      <c r="I899" s="1">
        <v>13582390</v>
      </c>
      <c r="J899" s="1">
        <v>0</v>
      </c>
      <c r="K899" s="1">
        <v>5500000</v>
      </c>
      <c r="L899" s="1">
        <v>0</v>
      </c>
      <c r="M899" s="1">
        <v>1000000</v>
      </c>
      <c r="N899" s="1">
        <v>3179643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1387000</v>
      </c>
      <c r="U899" s="1">
        <v>0</v>
      </c>
      <c r="V899" s="1">
        <v>12304245</v>
      </c>
      <c r="W899" s="1">
        <v>1900000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2271174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4715410</v>
      </c>
      <c r="AM899" s="1">
        <v>0</v>
      </c>
      <c r="AN899" s="1">
        <v>0</v>
      </c>
      <c r="AO899" s="1">
        <v>67223206</v>
      </c>
      <c r="AP899" s="1">
        <v>28658194</v>
      </c>
      <c r="AQ899" s="1">
        <v>38565012</v>
      </c>
      <c r="AR899" s="1">
        <v>13444641</v>
      </c>
      <c r="AS899" s="1">
        <v>2016696</v>
      </c>
      <c r="AT899" s="1">
        <f t="shared" ref="AT899:AT962" si="95">AO899+AR899+AS899</f>
        <v>82684543</v>
      </c>
    </row>
    <row r="900" spans="1:46" x14ac:dyDescent="0.2">
      <c r="A900" s="1" t="str">
        <f>"01172"</f>
        <v>01172</v>
      </c>
      <c r="B900" s="1" t="str">
        <f>"مظاهر"</f>
        <v>مظاهر</v>
      </c>
      <c r="C900" s="1" t="str">
        <f>"اسکندري"</f>
        <v>اسکندري</v>
      </c>
      <c r="D900" s="1" t="str">
        <f t="shared" si="93"/>
        <v>قراردادي بهره بردار</v>
      </c>
      <c r="E900" s="1" t="str">
        <f t="shared" si="94"/>
        <v>پروژه بهره برداري نيروگاه بوشهر</v>
      </c>
      <c r="F900" s="1">
        <v>17685252</v>
      </c>
      <c r="G900" s="1">
        <v>1107577</v>
      </c>
      <c r="H900" s="1">
        <v>0</v>
      </c>
      <c r="I900" s="1">
        <v>12746988</v>
      </c>
      <c r="J900" s="1">
        <v>0</v>
      </c>
      <c r="K900" s="1">
        <v>5500000</v>
      </c>
      <c r="L900" s="1">
        <v>0</v>
      </c>
      <c r="M900" s="1">
        <v>1000000</v>
      </c>
      <c r="N900" s="1">
        <v>2831546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1387000</v>
      </c>
      <c r="U900" s="1">
        <v>0</v>
      </c>
      <c r="V900" s="1">
        <v>12381032</v>
      </c>
      <c r="W900" s="1">
        <v>1900000</v>
      </c>
      <c r="X900" s="1">
        <v>0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2022533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4652494</v>
      </c>
      <c r="AM900" s="1">
        <v>0</v>
      </c>
      <c r="AN900" s="1">
        <v>0</v>
      </c>
      <c r="AO900" s="1">
        <v>63214422</v>
      </c>
      <c r="AP900" s="1">
        <v>26120077</v>
      </c>
      <c r="AQ900" s="1">
        <v>37094345</v>
      </c>
      <c r="AR900" s="1">
        <v>12642884</v>
      </c>
      <c r="AS900" s="1">
        <v>1896433</v>
      </c>
      <c r="AT900" s="1">
        <f t="shared" si="95"/>
        <v>77753739</v>
      </c>
    </row>
    <row r="901" spans="1:46" x14ac:dyDescent="0.2">
      <c r="A901" s="1" t="str">
        <f>"01173"</f>
        <v>01173</v>
      </c>
      <c r="B901" s="1" t="str">
        <f>"حجت"</f>
        <v>حجت</v>
      </c>
      <c r="C901" s="1" t="str">
        <f>"تنگسير اصل"</f>
        <v>تنگسير اصل</v>
      </c>
      <c r="D901" s="1" t="str">
        <f t="shared" si="93"/>
        <v>قراردادي بهره بردار</v>
      </c>
      <c r="E901" s="1" t="str">
        <f t="shared" si="94"/>
        <v>پروژه بهره برداري نيروگاه بوشهر</v>
      </c>
      <c r="F901" s="1">
        <v>17424563</v>
      </c>
      <c r="G901" s="1">
        <v>1408021</v>
      </c>
      <c r="H901" s="1">
        <v>0</v>
      </c>
      <c r="I901" s="1">
        <v>12107181</v>
      </c>
      <c r="J901" s="1">
        <v>0</v>
      </c>
      <c r="K901" s="1">
        <v>4125000</v>
      </c>
      <c r="L901" s="1">
        <v>0</v>
      </c>
      <c r="M901" s="1">
        <v>1000000</v>
      </c>
      <c r="N901" s="1">
        <v>2740305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1387000</v>
      </c>
      <c r="U901" s="1">
        <v>0</v>
      </c>
      <c r="V901" s="1">
        <v>11214269</v>
      </c>
      <c r="W901" s="1">
        <v>1900000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1957361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4440481</v>
      </c>
      <c r="AM901" s="1">
        <v>0</v>
      </c>
      <c r="AN901" s="1">
        <v>0</v>
      </c>
      <c r="AO901" s="1">
        <v>59704181</v>
      </c>
      <c r="AP901" s="1">
        <v>24373396</v>
      </c>
      <c r="AQ901" s="1">
        <v>35330785</v>
      </c>
      <c r="AR901" s="1">
        <v>11940836</v>
      </c>
      <c r="AS901" s="1">
        <v>1791125</v>
      </c>
      <c r="AT901" s="1">
        <f t="shared" si="95"/>
        <v>73436142</v>
      </c>
    </row>
    <row r="902" spans="1:46" x14ac:dyDescent="0.2">
      <c r="A902" s="1" t="str">
        <f>"01174"</f>
        <v>01174</v>
      </c>
      <c r="B902" s="1" t="str">
        <f>"محمد"</f>
        <v>محمد</v>
      </c>
      <c r="C902" s="1" t="str">
        <f>"جاماسب خلاري"</f>
        <v>جاماسب خلاري</v>
      </c>
      <c r="D902" s="1" t="str">
        <f t="shared" si="93"/>
        <v>قراردادي بهره بردار</v>
      </c>
      <c r="E902" s="1" t="str">
        <f t="shared" si="94"/>
        <v>پروژه بهره برداري نيروگاه بوشهر</v>
      </c>
      <c r="F902" s="1">
        <v>17183589</v>
      </c>
      <c r="G902" s="1">
        <v>3657130</v>
      </c>
      <c r="H902" s="1">
        <v>0</v>
      </c>
      <c r="I902" s="1">
        <v>11709455</v>
      </c>
      <c r="J902" s="1">
        <v>0</v>
      </c>
      <c r="K902" s="1">
        <v>4125000</v>
      </c>
      <c r="L902" s="1">
        <v>0</v>
      </c>
      <c r="M902" s="1">
        <v>1000000</v>
      </c>
      <c r="N902" s="1">
        <v>2655964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1387000</v>
      </c>
      <c r="U902" s="1">
        <v>0</v>
      </c>
      <c r="V902" s="1">
        <v>12859269</v>
      </c>
      <c r="W902" s="1">
        <v>1900000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1897117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5521356</v>
      </c>
      <c r="AM902" s="1">
        <v>0</v>
      </c>
      <c r="AN902" s="1">
        <v>0</v>
      </c>
      <c r="AO902" s="1">
        <v>63895880</v>
      </c>
      <c r="AP902" s="1">
        <v>22115835</v>
      </c>
      <c r="AQ902" s="1">
        <v>41780045</v>
      </c>
      <c r="AR902" s="1">
        <v>12779176</v>
      </c>
      <c r="AS902" s="1">
        <v>1916876</v>
      </c>
      <c r="AT902" s="1">
        <f t="shared" si="95"/>
        <v>78591932</v>
      </c>
    </row>
    <row r="903" spans="1:46" x14ac:dyDescent="0.2">
      <c r="A903" s="1" t="str">
        <f>"01175"</f>
        <v>01175</v>
      </c>
      <c r="B903" s="1" t="str">
        <f>"محمد مرتضي"</f>
        <v>محمد مرتضي</v>
      </c>
      <c r="C903" s="1" t="str">
        <f>"غلامي"</f>
        <v>غلامي</v>
      </c>
      <c r="D903" s="1" t="str">
        <f t="shared" si="93"/>
        <v>قراردادي بهره بردار</v>
      </c>
      <c r="E903" s="1" t="str">
        <f t="shared" si="94"/>
        <v>پروژه بهره برداري نيروگاه بوشهر</v>
      </c>
      <c r="F903" s="1">
        <v>17742209</v>
      </c>
      <c r="G903" s="1">
        <v>0</v>
      </c>
      <c r="H903" s="1">
        <v>0</v>
      </c>
      <c r="I903" s="1">
        <v>11676242</v>
      </c>
      <c r="J903" s="1">
        <v>0</v>
      </c>
      <c r="K903" s="1">
        <v>4125000</v>
      </c>
      <c r="L903" s="1">
        <v>0</v>
      </c>
      <c r="M903" s="1">
        <v>1000000</v>
      </c>
      <c r="N903" s="1">
        <v>2851481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1387000</v>
      </c>
      <c r="U903" s="1">
        <v>0</v>
      </c>
      <c r="V903" s="1">
        <v>8231382</v>
      </c>
      <c r="W903" s="1">
        <v>1900000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2036772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4890356</v>
      </c>
      <c r="AM903" s="1">
        <v>0</v>
      </c>
      <c r="AN903" s="1">
        <v>0</v>
      </c>
      <c r="AO903" s="1">
        <v>55840442</v>
      </c>
      <c r="AP903" s="1">
        <v>7536079</v>
      </c>
      <c r="AQ903" s="1">
        <v>48304363</v>
      </c>
      <c r="AR903" s="1">
        <v>11168088</v>
      </c>
      <c r="AS903" s="1">
        <v>1675213</v>
      </c>
      <c r="AT903" s="1">
        <f t="shared" si="95"/>
        <v>68683743</v>
      </c>
    </row>
    <row r="904" spans="1:46" x14ac:dyDescent="0.2">
      <c r="A904" s="1" t="str">
        <f>"01176"</f>
        <v>01176</v>
      </c>
      <c r="B904" s="1" t="str">
        <f>"محمد"</f>
        <v>محمد</v>
      </c>
      <c r="C904" s="1" t="str">
        <f>"مهري"</f>
        <v>مهري</v>
      </c>
      <c r="D904" s="1" t="str">
        <f t="shared" si="93"/>
        <v>قراردادي بهره بردار</v>
      </c>
      <c r="E904" s="1" t="str">
        <f t="shared" si="94"/>
        <v>پروژه بهره برداري نيروگاه بوشهر</v>
      </c>
      <c r="F904" s="1">
        <v>17236165</v>
      </c>
      <c r="G904" s="1">
        <v>3633828</v>
      </c>
      <c r="H904" s="1">
        <v>0</v>
      </c>
      <c r="I904" s="1">
        <v>11987315</v>
      </c>
      <c r="J904" s="1">
        <v>0</v>
      </c>
      <c r="K904" s="1">
        <v>5500000</v>
      </c>
      <c r="L904" s="1">
        <v>0</v>
      </c>
      <c r="M904" s="1">
        <v>1000000</v>
      </c>
      <c r="N904" s="1">
        <v>2674366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1387000</v>
      </c>
      <c r="U904" s="1">
        <v>0</v>
      </c>
      <c r="V904" s="1">
        <v>16538198</v>
      </c>
      <c r="W904" s="1">
        <v>1900000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1910261</v>
      </c>
      <c r="AF904" s="1">
        <v>0</v>
      </c>
      <c r="AG904" s="1">
        <v>19399640</v>
      </c>
      <c r="AH904" s="1">
        <v>0</v>
      </c>
      <c r="AI904" s="1">
        <v>0</v>
      </c>
      <c r="AJ904" s="1">
        <v>0</v>
      </c>
      <c r="AK904" s="1">
        <v>0</v>
      </c>
      <c r="AL904" s="1">
        <v>3820523</v>
      </c>
      <c r="AM904" s="1">
        <v>0</v>
      </c>
      <c r="AN904" s="1">
        <v>0</v>
      </c>
      <c r="AO904" s="1">
        <v>86987296</v>
      </c>
      <c r="AP904" s="1">
        <v>27565353</v>
      </c>
      <c r="AQ904" s="1">
        <v>59421943</v>
      </c>
      <c r="AR904" s="1">
        <v>17397459</v>
      </c>
      <c r="AS904" s="1">
        <v>2609619</v>
      </c>
      <c r="AT904" s="1">
        <f t="shared" si="95"/>
        <v>106994374</v>
      </c>
    </row>
    <row r="905" spans="1:46" x14ac:dyDescent="0.2">
      <c r="A905" s="1" t="str">
        <f>"01177"</f>
        <v>01177</v>
      </c>
      <c r="B905" s="1" t="str">
        <f>"مسلم"</f>
        <v>مسلم</v>
      </c>
      <c r="C905" s="1" t="str">
        <f>"صالحي"</f>
        <v>صالحي</v>
      </c>
      <c r="D905" s="1" t="str">
        <f t="shared" si="93"/>
        <v>قراردادي بهره بردار</v>
      </c>
      <c r="E905" s="1" t="str">
        <f t="shared" si="94"/>
        <v>پروژه بهره برداري نيروگاه بوشهر</v>
      </c>
      <c r="F905" s="1">
        <v>10631305</v>
      </c>
      <c r="G905" s="1">
        <v>893257</v>
      </c>
      <c r="H905" s="1">
        <v>0</v>
      </c>
      <c r="I905" s="1">
        <v>5226896</v>
      </c>
      <c r="J905" s="1">
        <v>0</v>
      </c>
      <c r="K905" s="1">
        <v>0</v>
      </c>
      <c r="L905" s="1">
        <v>0</v>
      </c>
      <c r="M905" s="1">
        <v>1000000</v>
      </c>
      <c r="N905" s="1">
        <v>1466761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1606000</v>
      </c>
      <c r="U905" s="1">
        <v>0</v>
      </c>
      <c r="V905" s="1">
        <v>2301588</v>
      </c>
      <c r="W905" s="1">
        <v>1900000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1047686</v>
      </c>
      <c r="AF905" s="1">
        <v>1516881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4643228</v>
      </c>
      <c r="AM905" s="1">
        <v>0</v>
      </c>
      <c r="AN905" s="1">
        <v>0</v>
      </c>
      <c r="AO905" s="1">
        <v>32233602</v>
      </c>
      <c r="AP905" s="1">
        <v>19728734</v>
      </c>
      <c r="AQ905" s="1">
        <v>12504868</v>
      </c>
      <c r="AR905" s="1">
        <v>6143344</v>
      </c>
      <c r="AS905" s="1">
        <v>921502</v>
      </c>
      <c r="AT905" s="1">
        <f t="shared" si="95"/>
        <v>39298448</v>
      </c>
    </row>
    <row r="906" spans="1:46" x14ac:dyDescent="0.2">
      <c r="A906" s="1" t="str">
        <f>"01178"</f>
        <v>01178</v>
      </c>
      <c r="B906" s="1" t="str">
        <f>"مجيد"</f>
        <v>مجيد</v>
      </c>
      <c r="C906" s="1" t="str">
        <f>"دانيالي"</f>
        <v>دانيالي</v>
      </c>
      <c r="D906" s="1" t="str">
        <f t="shared" si="93"/>
        <v>قراردادي بهره بردار</v>
      </c>
      <c r="E906" s="1" t="str">
        <f t="shared" si="94"/>
        <v>پروژه بهره برداري نيروگاه بوشهر</v>
      </c>
      <c r="F906" s="1">
        <v>17965657</v>
      </c>
      <c r="G906" s="1">
        <v>0</v>
      </c>
      <c r="H906" s="1">
        <v>0</v>
      </c>
      <c r="I906" s="1">
        <v>12520227</v>
      </c>
      <c r="J906" s="1">
        <v>0</v>
      </c>
      <c r="K906" s="1">
        <v>5500000</v>
      </c>
      <c r="L906" s="1">
        <v>0</v>
      </c>
      <c r="M906" s="1">
        <v>1000000</v>
      </c>
      <c r="N906" s="1">
        <v>2929688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1387000</v>
      </c>
      <c r="U906" s="1">
        <v>0</v>
      </c>
      <c r="V906" s="1">
        <v>10001083</v>
      </c>
      <c r="W906" s="1">
        <v>1900000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2092634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4496124</v>
      </c>
      <c r="AM906" s="1">
        <v>0</v>
      </c>
      <c r="AN906" s="1">
        <v>0</v>
      </c>
      <c r="AO906" s="1">
        <v>59792413</v>
      </c>
      <c r="AP906" s="1">
        <v>6423463</v>
      </c>
      <c r="AQ906" s="1">
        <v>53368950</v>
      </c>
      <c r="AR906" s="1">
        <v>11958483</v>
      </c>
      <c r="AS906" s="1">
        <v>1793772</v>
      </c>
      <c r="AT906" s="1">
        <f t="shared" si="95"/>
        <v>73544668</v>
      </c>
    </row>
    <row r="907" spans="1:46" x14ac:dyDescent="0.2">
      <c r="A907" s="1" t="str">
        <f>"01179"</f>
        <v>01179</v>
      </c>
      <c r="B907" s="1" t="str">
        <f>"جواد"</f>
        <v>جواد</v>
      </c>
      <c r="C907" s="1" t="str">
        <f>"ذبيحي شيخ آبادي"</f>
        <v>ذبيحي شيخ آبادي</v>
      </c>
      <c r="D907" s="1" t="str">
        <f t="shared" si="93"/>
        <v>قراردادي بهره بردار</v>
      </c>
      <c r="E907" s="1" t="str">
        <f t="shared" si="94"/>
        <v>پروژه بهره برداري نيروگاه بوشهر</v>
      </c>
      <c r="F907" s="1">
        <v>17961276</v>
      </c>
      <c r="G907" s="1">
        <v>3470273</v>
      </c>
      <c r="H907" s="1">
        <v>0</v>
      </c>
      <c r="I907" s="1">
        <v>13070536</v>
      </c>
      <c r="J907" s="1">
        <v>0</v>
      </c>
      <c r="K907" s="1">
        <v>0</v>
      </c>
      <c r="L907" s="1">
        <v>0</v>
      </c>
      <c r="M907" s="1">
        <v>1000000</v>
      </c>
      <c r="N907" s="1">
        <v>2928155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1387000</v>
      </c>
      <c r="U907" s="1">
        <v>0</v>
      </c>
      <c r="V907" s="1">
        <v>12930792</v>
      </c>
      <c r="W907" s="1">
        <v>1900000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2091539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5660726</v>
      </c>
      <c r="AM907" s="1">
        <v>0</v>
      </c>
      <c r="AN907" s="1">
        <v>0</v>
      </c>
      <c r="AO907" s="1">
        <v>62400297</v>
      </c>
      <c r="AP907" s="1">
        <v>10706327</v>
      </c>
      <c r="AQ907" s="1">
        <v>51693970</v>
      </c>
      <c r="AR907" s="1">
        <v>12480059</v>
      </c>
      <c r="AS907" s="1">
        <v>1872009</v>
      </c>
      <c r="AT907" s="1">
        <f t="shared" si="95"/>
        <v>76752365</v>
      </c>
    </row>
    <row r="908" spans="1:46" x14ac:dyDescent="0.2">
      <c r="A908" s="1" t="str">
        <f>"01180"</f>
        <v>01180</v>
      </c>
      <c r="B908" s="1" t="str">
        <f>"نجمه"</f>
        <v>نجمه</v>
      </c>
      <c r="C908" s="1" t="str">
        <f>"ناظمي"</f>
        <v>ناظمي</v>
      </c>
      <c r="D908" s="1" t="str">
        <f t="shared" si="93"/>
        <v>قراردادي بهره بردار</v>
      </c>
      <c r="E908" s="1" t="str">
        <f t="shared" si="94"/>
        <v>پروژه بهره برداري نيروگاه بوشهر</v>
      </c>
      <c r="F908" s="1">
        <v>17461804</v>
      </c>
      <c r="G908" s="1">
        <v>0</v>
      </c>
      <c r="H908" s="1">
        <v>0</v>
      </c>
      <c r="I908" s="1">
        <v>12936823</v>
      </c>
      <c r="J908" s="1">
        <v>0</v>
      </c>
      <c r="K908" s="1">
        <v>4125000</v>
      </c>
      <c r="L908" s="1">
        <v>0</v>
      </c>
      <c r="M908" s="1">
        <v>1000000</v>
      </c>
      <c r="N908" s="1">
        <v>2925854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1387000</v>
      </c>
      <c r="U908" s="1">
        <v>0</v>
      </c>
      <c r="V908" s="1">
        <v>4009802</v>
      </c>
      <c r="W908" s="1">
        <v>1900000</v>
      </c>
      <c r="X908" s="1">
        <v>0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2089896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4683645</v>
      </c>
      <c r="AM908" s="1">
        <v>0</v>
      </c>
      <c r="AN908" s="1">
        <v>0</v>
      </c>
      <c r="AO908" s="1">
        <v>52519824</v>
      </c>
      <c r="AP908" s="1">
        <v>19164986</v>
      </c>
      <c r="AQ908" s="1">
        <v>33354838</v>
      </c>
      <c r="AR908" s="1">
        <v>10503965</v>
      </c>
      <c r="AS908" s="1">
        <v>1575595</v>
      </c>
      <c r="AT908" s="1">
        <f t="shared" si="95"/>
        <v>64599384</v>
      </c>
    </row>
    <row r="909" spans="1:46" x14ac:dyDescent="0.2">
      <c r="A909" s="1" t="str">
        <f>"01182"</f>
        <v>01182</v>
      </c>
      <c r="B909" s="1" t="str">
        <f>"علي"</f>
        <v>علي</v>
      </c>
      <c r="C909" s="1" t="str">
        <f>"احدي"</f>
        <v>احدي</v>
      </c>
      <c r="D909" s="1" t="str">
        <f t="shared" si="93"/>
        <v>قراردادي بهره بردار</v>
      </c>
      <c r="E909" s="1" t="str">
        <f t="shared" si="94"/>
        <v>پروژه بهره برداري نيروگاه بوشهر</v>
      </c>
      <c r="F909" s="1">
        <v>19234053</v>
      </c>
      <c r="G909" s="1">
        <v>2788298</v>
      </c>
      <c r="H909" s="1">
        <v>0</v>
      </c>
      <c r="I909" s="1">
        <v>13921888</v>
      </c>
      <c r="J909" s="1">
        <v>0</v>
      </c>
      <c r="K909" s="1">
        <v>5500000</v>
      </c>
      <c r="L909" s="1">
        <v>0</v>
      </c>
      <c r="M909" s="1">
        <v>1000000</v>
      </c>
      <c r="N909" s="1">
        <v>3373627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1387000</v>
      </c>
      <c r="U909" s="1">
        <v>0</v>
      </c>
      <c r="V909" s="1">
        <v>12690043</v>
      </c>
      <c r="W909" s="1">
        <v>1900000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2409733</v>
      </c>
      <c r="AF909" s="1">
        <v>1516881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4819467</v>
      </c>
      <c r="AM909" s="1">
        <v>0</v>
      </c>
      <c r="AN909" s="1">
        <v>0</v>
      </c>
      <c r="AO909" s="1">
        <v>70540990</v>
      </c>
      <c r="AP909" s="1">
        <v>26300294</v>
      </c>
      <c r="AQ909" s="1">
        <v>44240696</v>
      </c>
      <c r="AR909" s="1">
        <v>13804822</v>
      </c>
      <c r="AS909" s="1">
        <v>2070723</v>
      </c>
      <c r="AT909" s="1">
        <f t="shared" si="95"/>
        <v>86416535</v>
      </c>
    </row>
    <row r="910" spans="1:46" x14ac:dyDescent="0.2">
      <c r="A910" s="1" t="str">
        <f>"01183"</f>
        <v>01183</v>
      </c>
      <c r="B910" s="1" t="str">
        <f>"مسعود"</f>
        <v>مسعود</v>
      </c>
      <c r="C910" s="1" t="str">
        <f>"كرمي"</f>
        <v>كرمي</v>
      </c>
      <c r="D910" s="1" t="str">
        <f t="shared" si="93"/>
        <v>قراردادي بهره بردار</v>
      </c>
      <c r="E910" s="1" t="str">
        <f t="shared" si="94"/>
        <v>پروژه بهره برداري نيروگاه بوشهر</v>
      </c>
      <c r="F910" s="1">
        <v>23448896</v>
      </c>
      <c r="G910" s="1">
        <v>0</v>
      </c>
      <c r="H910" s="1">
        <v>0</v>
      </c>
      <c r="I910" s="1">
        <v>17808372</v>
      </c>
      <c r="J910" s="1">
        <v>0</v>
      </c>
      <c r="K910" s="1">
        <v>4125000</v>
      </c>
      <c r="L910" s="1">
        <v>0</v>
      </c>
      <c r="M910" s="1">
        <v>1000000</v>
      </c>
      <c r="N910" s="1">
        <v>3535407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1387000</v>
      </c>
      <c r="U910" s="1">
        <v>0</v>
      </c>
      <c r="V910" s="1">
        <v>12839608</v>
      </c>
      <c r="W910" s="1">
        <v>1900000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2525291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4040466</v>
      </c>
      <c r="AM910" s="1">
        <v>0</v>
      </c>
      <c r="AN910" s="1">
        <v>0</v>
      </c>
      <c r="AO910" s="1">
        <v>72610040</v>
      </c>
      <c r="AP910" s="1">
        <v>27492745</v>
      </c>
      <c r="AQ910" s="1">
        <v>45117295</v>
      </c>
      <c r="AR910" s="1">
        <v>14522008</v>
      </c>
      <c r="AS910" s="1">
        <v>2178301</v>
      </c>
      <c r="AT910" s="1">
        <f t="shared" si="95"/>
        <v>89310349</v>
      </c>
    </row>
    <row r="911" spans="1:46" x14ac:dyDescent="0.2">
      <c r="A911" s="1" t="str">
        <f>"01185"</f>
        <v>01185</v>
      </c>
      <c r="B911" s="1" t="str">
        <f>"محمود"</f>
        <v>محمود</v>
      </c>
      <c r="C911" s="1" t="str">
        <f>"دهقاني"</f>
        <v>دهقاني</v>
      </c>
      <c r="D911" s="1" t="str">
        <f>"قراردادي کارگري"</f>
        <v>قراردادي کارگري</v>
      </c>
      <c r="E911" s="1" t="str">
        <f>"پروژه تعميرات نيروگاه بوشهر"</f>
        <v>پروژه تعميرات نيروگاه بوشهر</v>
      </c>
      <c r="F911" s="1">
        <v>9904115</v>
      </c>
      <c r="G911" s="1">
        <v>0</v>
      </c>
      <c r="H911" s="1">
        <v>0</v>
      </c>
      <c r="I911" s="1">
        <v>5942469</v>
      </c>
      <c r="J911" s="1">
        <v>0</v>
      </c>
      <c r="K911" s="1">
        <v>0</v>
      </c>
      <c r="L911" s="1">
        <v>7628143</v>
      </c>
      <c r="M911" s="1">
        <v>1000000</v>
      </c>
      <c r="N911" s="1">
        <v>5282195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9526076</v>
      </c>
      <c r="W911" s="1">
        <v>1900000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3033762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0</v>
      </c>
      <c r="AM911" s="1">
        <v>0</v>
      </c>
      <c r="AN911" s="1">
        <v>0</v>
      </c>
      <c r="AO911" s="1">
        <v>44216760</v>
      </c>
      <c r="AP911" s="1">
        <v>3832205</v>
      </c>
      <c r="AQ911" s="1">
        <v>40384555</v>
      </c>
      <c r="AR911" s="1">
        <v>8236600</v>
      </c>
      <c r="AS911" s="1">
        <v>1235490</v>
      </c>
      <c r="AT911" s="1">
        <f t="shared" si="95"/>
        <v>53688850</v>
      </c>
    </row>
    <row r="912" spans="1:46" x14ac:dyDescent="0.2">
      <c r="A912" s="1" t="str">
        <f>"01186"</f>
        <v>01186</v>
      </c>
      <c r="B912" s="1" t="str">
        <f>"امير"</f>
        <v>امير</v>
      </c>
      <c r="C912" s="1" t="str">
        <f>"بختياري فرد"</f>
        <v>بختياري فرد</v>
      </c>
      <c r="D912" s="1" t="str">
        <f>"قراردادي کارگري"</f>
        <v>قراردادي کارگري</v>
      </c>
      <c r="E912" s="1" t="str">
        <f>"پروژه تعميرات نيروگاه بوشهر"</f>
        <v>پروژه تعميرات نيروگاه بوشهر</v>
      </c>
      <c r="F912" s="1">
        <v>6694277</v>
      </c>
      <c r="G912" s="1">
        <v>0</v>
      </c>
      <c r="H912" s="1">
        <v>0</v>
      </c>
      <c r="I912" s="1">
        <v>4016567</v>
      </c>
      <c r="J912" s="1">
        <v>0</v>
      </c>
      <c r="K912" s="1">
        <v>0</v>
      </c>
      <c r="L912" s="1">
        <v>7628143</v>
      </c>
      <c r="M912" s="1">
        <v>1000000</v>
      </c>
      <c r="N912" s="1">
        <v>3570280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7471781</v>
      </c>
      <c r="W912" s="1">
        <v>1900000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0</v>
      </c>
      <c r="AM912" s="1">
        <v>0</v>
      </c>
      <c r="AN912" s="1">
        <v>0</v>
      </c>
      <c r="AO912" s="1">
        <v>32281048</v>
      </c>
      <c r="AP912" s="1">
        <v>2265673</v>
      </c>
      <c r="AQ912" s="1">
        <v>30015375</v>
      </c>
      <c r="AR912" s="1">
        <v>6456210</v>
      </c>
      <c r="AS912" s="1">
        <v>968431</v>
      </c>
      <c r="AT912" s="1">
        <f t="shared" si="95"/>
        <v>39705689</v>
      </c>
    </row>
    <row r="913" spans="1:46" x14ac:dyDescent="0.2">
      <c r="A913" s="1" t="str">
        <f>"01188"</f>
        <v>01188</v>
      </c>
      <c r="B913" s="1" t="str">
        <f>"آرش"</f>
        <v>آرش</v>
      </c>
      <c r="C913" s="1" t="str">
        <f>"احمد خسروي"</f>
        <v>احمد خسروي</v>
      </c>
      <c r="D913" s="1" t="str">
        <f t="shared" ref="D913:D921" si="96">"قراردادي بهره بردار"</f>
        <v>قراردادي بهره بردار</v>
      </c>
      <c r="E913" s="1" t="str">
        <f t="shared" ref="E913:E928" si="97">"پروژه بهره برداري نيروگاه بوشهر"</f>
        <v>پروژه بهره برداري نيروگاه بوشهر</v>
      </c>
      <c r="F913" s="1">
        <v>18171580</v>
      </c>
      <c r="G913" s="1">
        <v>1698508</v>
      </c>
      <c r="H913" s="1">
        <v>0</v>
      </c>
      <c r="I913" s="1">
        <v>12568980</v>
      </c>
      <c r="J913" s="1">
        <v>0</v>
      </c>
      <c r="K913" s="1">
        <v>4125000</v>
      </c>
      <c r="L913" s="1">
        <v>0</v>
      </c>
      <c r="M913" s="1">
        <v>1000000</v>
      </c>
      <c r="N913" s="1">
        <v>3001761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1387000</v>
      </c>
      <c r="U913" s="1">
        <v>0</v>
      </c>
      <c r="V913" s="1">
        <v>7686307</v>
      </c>
      <c r="W913" s="1">
        <v>1900000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2144115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4567814</v>
      </c>
      <c r="AM913" s="1">
        <v>0</v>
      </c>
      <c r="AN913" s="1">
        <v>0</v>
      </c>
      <c r="AO913" s="1">
        <v>58251065</v>
      </c>
      <c r="AP913" s="1">
        <v>18811417</v>
      </c>
      <c r="AQ913" s="1">
        <v>39439648</v>
      </c>
      <c r="AR913" s="1">
        <v>11650213</v>
      </c>
      <c r="AS913" s="1">
        <v>1747532</v>
      </c>
      <c r="AT913" s="1">
        <f t="shared" si="95"/>
        <v>71648810</v>
      </c>
    </row>
    <row r="914" spans="1:46" x14ac:dyDescent="0.2">
      <c r="A914" s="1" t="str">
        <f>"01189"</f>
        <v>01189</v>
      </c>
      <c r="B914" s="1" t="str">
        <f>"سيد علي"</f>
        <v>سيد علي</v>
      </c>
      <c r="C914" s="1" t="str">
        <f>"احمدي"</f>
        <v>احمدي</v>
      </c>
      <c r="D914" s="1" t="str">
        <f t="shared" si="96"/>
        <v>قراردادي بهره بردار</v>
      </c>
      <c r="E914" s="1" t="str">
        <f t="shared" si="97"/>
        <v>پروژه بهره برداري نيروگاه بوشهر</v>
      </c>
      <c r="F914" s="1">
        <v>18798111</v>
      </c>
      <c r="G914" s="1">
        <v>1118968</v>
      </c>
      <c r="H914" s="1">
        <v>0</v>
      </c>
      <c r="I914" s="1">
        <v>13897857</v>
      </c>
      <c r="J914" s="1">
        <v>0</v>
      </c>
      <c r="K914" s="1">
        <v>4125000</v>
      </c>
      <c r="L914" s="1">
        <v>0</v>
      </c>
      <c r="M914" s="1">
        <v>1000000</v>
      </c>
      <c r="N914" s="1">
        <v>3221047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1387000</v>
      </c>
      <c r="U914" s="1">
        <v>0</v>
      </c>
      <c r="V914" s="1">
        <v>8809653</v>
      </c>
      <c r="W914" s="1">
        <v>1900000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2300748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5830503</v>
      </c>
      <c r="AM914" s="1">
        <v>0</v>
      </c>
      <c r="AN914" s="1">
        <v>0</v>
      </c>
      <c r="AO914" s="1">
        <v>62388887</v>
      </c>
      <c r="AP914" s="1">
        <v>26404748</v>
      </c>
      <c r="AQ914" s="1">
        <v>35984139</v>
      </c>
      <c r="AR914" s="1">
        <v>12477777</v>
      </c>
      <c r="AS914" s="1">
        <v>1871667</v>
      </c>
      <c r="AT914" s="1">
        <f t="shared" si="95"/>
        <v>76738331</v>
      </c>
    </row>
    <row r="915" spans="1:46" x14ac:dyDescent="0.2">
      <c r="A915" s="1" t="str">
        <f>"01190"</f>
        <v>01190</v>
      </c>
      <c r="B915" s="1" t="str">
        <f>"علي"</f>
        <v>علي</v>
      </c>
      <c r="C915" s="1" t="str">
        <f>"بازياري"</f>
        <v>بازياري</v>
      </c>
      <c r="D915" s="1" t="str">
        <f t="shared" si="96"/>
        <v>قراردادي بهره بردار</v>
      </c>
      <c r="E915" s="1" t="str">
        <f t="shared" si="97"/>
        <v>پروژه بهره برداري نيروگاه بوشهر</v>
      </c>
      <c r="F915" s="1">
        <v>17111297</v>
      </c>
      <c r="G915" s="1">
        <v>3111732</v>
      </c>
      <c r="H915" s="1">
        <v>0</v>
      </c>
      <c r="I915" s="1">
        <v>11547487</v>
      </c>
      <c r="J915" s="1">
        <v>0</v>
      </c>
      <c r="K915" s="1">
        <v>5500000</v>
      </c>
      <c r="L915" s="1">
        <v>0</v>
      </c>
      <c r="M915" s="1">
        <v>1000000</v>
      </c>
      <c r="N915" s="1">
        <v>2630662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1387000</v>
      </c>
      <c r="U915" s="1">
        <v>0</v>
      </c>
      <c r="V915" s="1">
        <v>12391790</v>
      </c>
      <c r="W915" s="1">
        <v>1900000</v>
      </c>
      <c r="X915" s="1">
        <v>2483898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1879044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9561822</v>
      </c>
      <c r="AM915" s="1">
        <v>0</v>
      </c>
      <c r="AN915" s="1">
        <v>0</v>
      </c>
      <c r="AO915" s="1">
        <v>70504732</v>
      </c>
      <c r="AP915" s="1">
        <v>14993142</v>
      </c>
      <c r="AQ915" s="1">
        <v>55511590</v>
      </c>
      <c r="AR915" s="1">
        <v>14100946</v>
      </c>
      <c r="AS915" s="1">
        <v>2115142</v>
      </c>
      <c r="AT915" s="1">
        <f t="shared" si="95"/>
        <v>86720820</v>
      </c>
    </row>
    <row r="916" spans="1:46" x14ac:dyDescent="0.2">
      <c r="A916" s="1" t="str">
        <f>"01191"</f>
        <v>01191</v>
      </c>
      <c r="B916" s="1" t="str">
        <f>"احسان"</f>
        <v>احسان</v>
      </c>
      <c r="C916" s="1" t="str">
        <f>"خان خانان"</f>
        <v>خان خانان</v>
      </c>
      <c r="D916" s="1" t="str">
        <f t="shared" si="96"/>
        <v>قراردادي بهره بردار</v>
      </c>
      <c r="E916" s="1" t="str">
        <f t="shared" si="97"/>
        <v>پروژه بهره برداري نيروگاه بوشهر</v>
      </c>
      <c r="F916" s="1">
        <v>15091503</v>
      </c>
      <c r="G916" s="1">
        <v>6125900</v>
      </c>
      <c r="H916" s="1">
        <v>0</v>
      </c>
      <c r="I916" s="1">
        <v>11839701</v>
      </c>
      <c r="J916" s="1">
        <v>0</v>
      </c>
      <c r="K916" s="1">
        <v>0</v>
      </c>
      <c r="L916" s="1">
        <v>0</v>
      </c>
      <c r="M916" s="1">
        <v>1000000</v>
      </c>
      <c r="N916" s="1">
        <v>2759473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1387000</v>
      </c>
      <c r="U916" s="1">
        <v>0</v>
      </c>
      <c r="V916" s="1">
        <v>14360004</v>
      </c>
      <c r="W916" s="1">
        <v>1900000</v>
      </c>
      <c r="X916" s="1">
        <v>2190702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1971052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11853435</v>
      </c>
      <c r="AM916" s="1">
        <v>0</v>
      </c>
      <c r="AN916" s="1">
        <v>0</v>
      </c>
      <c r="AO916" s="1">
        <v>70478770</v>
      </c>
      <c r="AP916" s="1">
        <v>25774419</v>
      </c>
      <c r="AQ916" s="1">
        <v>44704351</v>
      </c>
      <c r="AR916" s="1">
        <v>14095754</v>
      </c>
      <c r="AS916" s="1">
        <v>2114363</v>
      </c>
      <c r="AT916" s="1">
        <f t="shared" si="95"/>
        <v>86688887</v>
      </c>
    </row>
    <row r="917" spans="1:46" x14ac:dyDescent="0.2">
      <c r="A917" s="1" t="str">
        <f>"01192"</f>
        <v>01192</v>
      </c>
      <c r="B917" s="1" t="str">
        <f>"حسين"</f>
        <v>حسين</v>
      </c>
      <c r="C917" s="1" t="str">
        <f>"معيني"</f>
        <v>معيني</v>
      </c>
      <c r="D917" s="1" t="str">
        <f t="shared" si="96"/>
        <v>قراردادي بهره بردار</v>
      </c>
      <c r="E917" s="1" t="str">
        <f t="shared" si="97"/>
        <v>پروژه بهره برداري نيروگاه بوشهر</v>
      </c>
      <c r="F917" s="1">
        <v>15109028</v>
      </c>
      <c r="G917" s="1">
        <v>6945519</v>
      </c>
      <c r="H917" s="1">
        <v>0</v>
      </c>
      <c r="I917" s="1">
        <v>11893031</v>
      </c>
      <c r="J917" s="1">
        <v>0</v>
      </c>
      <c r="K917" s="1">
        <v>4620000</v>
      </c>
      <c r="L917" s="1">
        <v>0</v>
      </c>
      <c r="M917" s="1">
        <v>1000000</v>
      </c>
      <c r="N917" s="1">
        <v>2765607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1606000</v>
      </c>
      <c r="U917" s="1">
        <v>0</v>
      </c>
      <c r="V917" s="1">
        <v>14365863</v>
      </c>
      <c r="W917" s="1">
        <v>1900000</v>
      </c>
      <c r="X917" s="1">
        <v>2193246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1975434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11789818</v>
      </c>
      <c r="AM917" s="1">
        <v>0</v>
      </c>
      <c r="AN917" s="1">
        <v>0</v>
      </c>
      <c r="AO917" s="1">
        <v>76163546</v>
      </c>
      <c r="AP917" s="1">
        <v>24248064</v>
      </c>
      <c r="AQ917" s="1">
        <v>51915482</v>
      </c>
      <c r="AR917" s="1">
        <v>15232709</v>
      </c>
      <c r="AS917" s="1">
        <v>2284906</v>
      </c>
      <c r="AT917" s="1">
        <f t="shared" si="95"/>
        <v>93681161</v>
      </c>
    </row>
    <row r="918" spans="1:46" x14ac:dyDescent="0.2">
      <c r="A918" s="1" t="str">
        <f>"01194"</f>
        <v>01194</v>
      </c>
      <c r="B918" s="1" t="str">
        <f>"محمد هادي"</f>
        <v>محمد هادي</v>
      </c>
      <c r="C918" s="1" t="str">
        <f>"كارآمد"</f>
        <v>كارآمد</v>
      </c>
      <c r="D918" s="1" t="str">
        <f t="shared" si="96"/>
        <v>قراردادي بهره بردار</v>
      </c>
      <c r="E918" s="1" t="str">
        <f t="shared" si="97"/>
        <v>پروژه بهره برداري نيروگاه بوشهر</v>
      </c>
      <c r="F918" s="1">
        <v>15255803</v>
      </c>
      <c r="G918" s="1">
        <v>3307614</v>
      </c>
      <c r="H918" s="1">
        <v>0</v>
      </c>
      <c r="I918" s="1">
        <v>12120185</v>
      </c>
      <c r="J918" s="1">
        <v>0</v>
      </c>
      <c r="K918" s="1">
        <v>3465000</v>
      </c>
      <c r="L918" s="1">
        <v>0</v>
      </c>
      <c r="M918" s="1">
        <v>1000000</v>
      </c>
      <c r="N918" s="1">
        <v>2816978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1387000</v>
      </c>
      <c r="U918" s="1">
        <v>0</v>
      </c>
      <c r="V918" s="1">
        <v>14537869</v>
      </c>
      <c r="W918" s="1">
        <v>1900000</v>
      </c>
      <c r="X918" s="1">
        <v>2067259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2012127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11849054</v>
      </c>
      <c r="AM918" s="1">
        <v>0</v>
      </c>
      <c r="AN918" s="1">
        <v>0</v>
      </c>
      <c r="AO918" s="1">
        <v>71718889</v>
      </c>
      <c r="AP918" s="1">
        <v>28937218</v>
      </c>
      <c r="AQ918" s="1">
        <v>42781671</v>
      </c>
      <c r="AR918" s="1">
        <v>14343778</v>
      </c>
      <c r="AS918" s="1">
        <v>2151567</v>
      </c>
      <c r="AT918" s="1">
        <f t="shared" si="95"/>
        <v>88214234</v>
      </c>
    </row>
    <row r="919" spans="1:46" x14ac:dyDescent="0.2">
      <c r="A919" s="1" t="str">
        <f>"01195"</f>
        <v>01195</v>
      </c>
      <c r="B919" s="1" t="str">
        <f>"عليرضا"</f>
        <v>عليرضا</v>
      </c>
      <c r="C919" s="1" t="str">
        <f>"ايزدبخش"</f>
        <v>ايزدبخش</v>
      </c>
      <c r="D919" s="1" t="str">
        <f t="shared" si="96"/>
        <v>قراردادي بهره بردار</v>
      </c>
      <c r="E919" s="1" t="str">
        <f t="shared" si="97"/>
        <v>پروژه بهره برداري نيروگاه بوشهر</v>
      </c>
      <c r="F919" s="1">
        <v>13529557</v>
      </c>
      <c r="G919" s="1">
        <v>16685751</v>
      </c>
      <c r="H919" s="1">
        <v>0</v>
      </c>
      <c r="I919" s="1">
        <v>13166832</v>
      </c>
      <c r="J919" s="1">
        <v>0</v>
      </c>
      <c r="K919" s="1">
        <v>3465000</v>
      </c>
      <c r="L919" s="1">
        <v>0</v>
      </c>
      <c r="M919" s="1">
        <v>1000000</v>
      </c>
      <c r="N919" s="1">
        <v>2481149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1387000</v>
      </c>
      <c r="U919" s="1">
        <v>0</v>
      </c>
      <c r="V919" s="1">
        <v>7690800</v>
      </c>
      <c r="W919" s="1">
        <v>1900000</v>
      </c>
      <c r="X919" s="1">
        <v>1963968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1772249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10622105</v>
      </c>
      <c r="AM919" s="1">
        <v>0</v>
      </c>
      <c r="AN919" s="1">
        <v>0</v>
      </c>
      <c r="AO919" s="1">
        <v>75664411</v>
      </c>
      <c r="AP919" s="1">
        <v>35125637</v>
      </c>
      <c r="AQ919" s="1">
        <v>40538774</v>
      </c>
      <c r="AR919" s="1">
        <v>15132882</v>
      </c>
      <c r="AS919" s="1">
        <v>2269932</v>
      </c>
      <c r="AT919" s="1">
        <f t="shared" si="95"/>
        <v>93067225</v>
      </c>
    </row>
    <row r="920" spans="1:46" x14ac:dyDescent="0.2">
      <c r="A920" s="1" t="str">
        <f>"01196"</f>
        <v>01196</v>
      </c>
      <c r="B920" s="1" t="str">
        <f>"محمد"</f>
        <v>محمد</v>
      </c>
      <c r="C920" s="1" t="str">
        <f>"نژاد فرحاني"</f>
        <v>نژاد فرحاني</v>
      </c>
      <c r="D920" s="1" t="str">
        <f t="shared" si="96"/>
        <v>قراردادي بهره بردار</v>
      </c>
      <c r="E920" s="1" t="str">
        <f t="shared" si="97"/>
        <v>پروژه بهره برداري نيروگاه بوشهر</v>
      </c>
      <c r="F920" s="1">
        <v>17426753</v>
      </c>
      <c r="G920" s="1">
        <v>22410963</v>
      </c>
      <c r="H920" s="1">
        <v>0</v>
      </c>
      <c r="I920" s="1">
        <v>19329553</v>
      </c>
      <c r="J920" s="1">
        <v>0</v>
      </c>
      <c r="K920" s="1">
        <v>4620000</v>
      </c>
      <c r="L920" s="1">
        <v>0</v>
      </c>
      <c r="M920" s="1">
        <v>1000000</v>
      </c>
      <c r="N920" s="1">
        <v>3500138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1606000</v>
      </c>
      <c r="U920" s="1">
        <v>0</v>
      </c>
      <c r="V920" s="1">
        <v>10680836</v>
      </c>
      <c r="W920" s="1">
        <v>1900000</v>
      </c>
      <c r="X920" s="1">
        <v>2529690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2500098</v>
      </c>
      <c r="AF920" s="1">
        <v>3033762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12728321</v>
      </c>
      <c r="AM920" s="1">
        <v>0</v>
      </c>
      <c r="AN920" s="1">
        <v>0</v>
      </c>
      <c r="AO920" s="1">
        <v>103266114</v>
      </c>
      <c r="AP920" s="1">
        <v>34517895</v>
      </c>
      <c r="AQ920" s="1">
        <v>68748219</v>
      </c>
      <c r="AR920" s="1">
        <v>20046470</v>
      </c>
      <c r="AS920" s="1">
        <v>3006971</v>
      </c>
      <c r="AT920" s="1">
        <f t="shared" si="95"/>
        <v>126319555</v>
      </c>
    </row>
    <row r="921" spans="1:46" x14ac:dyDescent="0.2">
      <c r="A921" s="1" t="str">
        <f>"01197"</f>
        <v>01197</v>
      </c>
      <c r="B921" s="1" t="str">
        <f>"حميدرضا"</f>
        <v>حميدرضا</v>
      </c>
      <c r="C921" s="1" t="str">
        <f>"بني اسد"</f>
        <v>بني اسد</v>
      </c>
      <c r="D921" s="1" t="str">
        <f t="shared" si="96"/>
        <v>قراردادي بهره بردار</v>
      </c>
      <c r="E921" s="1" t="str">
        <f t="shared" si="97"/>
        <v>پروژه بهره برداري نيروگاه بوشهر</v>
      </c>
      <c r="F921" s="1">
        <v>13284203</v>
      </c>
      <c r="G921" s="1">
        <v>21960945</v>
      </c>
      <c r="H921" s="1">
        <v>0</v>
      </c>
      <c r="I921" s="1">
        <v>13037751</v>
      </c>
      <c r="J921" s="1">
        <v>0</v>
      </c>
      <c r="K921" s="1">
        <v>4620000</v>
      </c>
      <c r="L921" s="1">
        <v>0</v>
      </c>
      <c r="M921" s="1">
        <v>1000000</v>
      </c>
      <c r="N921" s="1">
        <v>2464281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1606000</v>
      </c>
      <c r="U921" s="1">
        <v>0</v>
      </c>
      <c r="V921" s="1">
        <v>8097795</v>
      </c>
      <c r="W921" s="1">
        <v>1900000</v>
      </c>
      <c r="X921" s="1">
        <v>1928352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1760201</v>
      </c>
      <c r="AF921" s="1">
        <v>0</v>
      </c>
      <c r="AG921" s="1">
        <v>2875187</v>
      </c>
      <c r="AH921" s="1">
        <v>0</v>
      </c>
      <c r="AI921" s="1">
        <v>0</v>
      </c>
      <c r="AJ921" s="1">
        <v>0</v>
      </c>
      <c r="AK921" s="1">
        <v>0</v>
      </c>
      <c r="AL921" s="1">
        <v>10350243</v>
      </c>
      <c r="AM921" s="1">
        <v>0</v>
      </c>
      <c r="AN921" s="1">
        <v>0</v>
      </c>
      <c r="AO921" s="1">
        <v>84884958</v>
      </c>
      <c r="AP921" s="1">
        <v>13712250</v>
      </c>
      <c r="AQ921" s="1">
        <v>71172708</v>
      </c>
      <c r="AR921" s="1">
        <v>16976992</v>
      </c>
      <c r="AS921" s="1">
        <v>2546549</v>
      </c>
      <c r="AT921" s="1">
        <f t="shared" si="95"/>
        <v>104408499</v>
      </c>
    </row>
    <row r="922" spans="1:46" x14ac:dyDescent="0.2">
      <c r="A922" s="1" t="str">
        <f>"01198"</f>
        <v>01198</v>
      </c>
      <c r="B922" s="1" t="str">
        <f>"امين"</f>
        <v>امين</v>
      </c>
      <c r="C922" s="1" t="str">
        <f>"غريب زاده"</f>
        <v>غريب زاده</v>
      </c>
      <c r="D922" s="1" t="str">
        <f>"قراردادي کارگري"</f>
        <v>قراردادي کارگري</v>
      </c>
      <c r="E922" s="1" t="str">
        <f t="shared" si="97"/>
        <v>پروژه بهره برداري نيروگاه بوشهر</v>
      </c>
      <c r="F922" s="1">
        <v>10493293</v>
      </c>
      <c r="G922" s="1">
        <v>1792411</v>
      </c>
      <c r="H922" s="1">
        <v>0</v>
      </c>
      <c r="I922" s="1">
        <v>5762576</v>
      </c>
      <c r="J922" s="1">
        <v>0</v>
      </c>
      <c r="K922" s="1">
        <v>0</v>
      </c>
      <c r="L922" s="1">
        <v>0</v>
      </c>
      <c r="M922" s="1">
        <v>1000000</v>
      </c>
      <c r="N922" s="1">
        <v>1648477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2309185</v>
      </c>
      <c r="W922" s="1">
        <v>1900000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1177483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4010015</v>
      </c>
      <c r="AM922" s="1">
        <v>0</v>
      </c>
      <c r="AN922" s="1">
        <v>0</v>
      </c>
      <c r="AO922" s="1">
        <v>30093440</v>
      </c>
      <c r="AP922" s="1">
        <v>2112541</v>
      </c>
      <c r="AQ922" s="1">
        <v>27980899</v>
      </c>
      <c r="AR922" s="1">
        <v>6018688</v>
      </c>
      <c r="AS922" s="1">
        <v>902803</v>
      </c>
      <c r="AT922" s="1">
        <f t="shared" si="95"/>
        <v>37014931</v>
      </c>
    </row>
    <row r="923" spans="1:46" x14ac:dyDescent="0.2">
      <c r="A923" s="1" t="str">
        <f>"01199"</f>
        <v>01199</v>
      </c>
      <c r="B923" s="1" t="str">
        <f>"مهدي"</f>
        <v>مهدي</v>
      </c>
      <c r="C923" s="1" t="str">
        <f>"غلام نژاد دزفولي"</f>
        <v>غلام نژاد دزفولي</v>
      </c>
      <c r="D923" s="1" t="str">
        <f t="shared" ref="D923:D930" si="98">"قراردادي بهره بردار"</f>
        <v>قراردادي بهره بردار</v>
      </c>
      <c r="E923" s="1" t="str">
        <f t="shared" si="97"/>
        <v>پروژه بهره برداري نيروگاه بوشهر</v>
      </c>
      <c r="F923" s="1">
        <v>13117712</v>
      </c>
      <c r="G923" s="1">
        <v>17350791</v>
      </c>
      <c r="H923" s="1">
        <v>0</v>
      </c>
      <c r="I923" s="1">
        <v>12495653</v>
      </c>
      <c r="J923" s="1">
        <v>0</v>
      </c>
      <c r="K923" s="1">
        <v>4620000</v>
      </c>
      <c r="L923" s="1">
        <v>0</v>
      </c>
      <c r="M923" s="1">
        <v>1000000</v>
      </c>
      <c r="N923" s="1">
        <v>2337003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1387000</v>
      </c>
      <c r="U923" s="1">
        <v>0</v>
      </c>
      <c r="V923" s="1">
        <v>7382152</v>
      </c>
      <c r="W923" s="1">
        <v>1900000</v>
      </c>
      <c r="X923" s="1">
        <v>1904184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1669288</v>
      </c>
      <c r="AF923" s="1">
        <v>3033762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10283866</v>
      </c>
      <c r="AM923" s="1">
        <v>0</v>
      </c>
      <c r="AN923" s="1">
        <v>0</v>
      </c>
      <c r="AO923" s="1">
        <v>78481411</v>
      </c>
      <c r="AP923" s="1">
        <v>31096938</v>
      </c>
      <c r="AQ923" s="1">
        <v>47384473</v>
      </c>
      <c r="AR923" s="1">
        <v>15089530</v>
      </c>
      <c r="AS923" s="1">
        <v>2263429</v>
      </c>
      <c r="AT923" s="1">
        <f t="shared" si="95"/>
        <v>95834370</v>
      </c>
    </row>
    <row r="924" spans="1:46" x14ac:dyDescent="0.2">
      <c r="A924" s="1" t="str">
        <f>"01200"</f>
        <v>01200</v>
      </c>
      <c r="B924" s="1" t="str">
        <f>"ابراهيم"</f>
        <v>ابراهيم</v>
      </c>
      <c r="C924" s="1" t="str">
        <f>"حيدري"</f>
        <v>حيدري</v>
      </c>
      <c r="D924" s="1" t="str">
        <f t="shared" si="98"/>
        <v>قراردادي بهره بردار</v>
      </c>
      <c r="E924" s="1" t="str">
        <f t="shared" si="97"/>
        <v>پروژه بهره برداري نيروگاه بوشهر</v>
      </c>
      <c r="F924" s="1">
        <v>12554711</v>
      </c>
      <c r="G924" s="1">
        <v>15303685</v>
      </c>
      <c r="H924" s="1">
        <v>0</v>
      </c>
      <c r="I924" s="1">
        <v>11965068</v>
      </c>
      <c r="J924" s="1">
        <v>0</v>
      </c>
      <c r="K924" s="1">
        <v>4620000</v>
      </c>
      <c r="L924" s="1">
        <v>0</v>
      </c>
      <c r="M924" s="1">
        <v>1000000</v>
      </c>
      <c r="N924" s="1">
        <v>2139953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1387000</v>
      </c>
      <c r="U924" s="1">
        <v>0</v>
      </c>
      <c r="V924" s="1">
        <v>7053778</v>
      </c>
      <c r="W924" s="1">
        <v>1900000</v>
      </c>
      <c r="X924" s="1">
        <v>1822458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1528538</v>
      </c>
      <c r="AF924" s="1">
        <v>4550643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9940260</v>
      </c>
      <c r="AM924" s="1">
        <v>0</v>
      </c>
      <c r="AN924" s="1">
        <v>0</v>
      </c>
      <c r="AO924" s="1">
        <v>75766094</v>
      </c>
      <c r="AP924" s="1">
        <v>30174095</v>
      </c>
      <c r="AQ924" s="1">
        <v>45591999</v>
      </c>
      <c r="AR924" s="1">
        <v>14243090</v>
      </c>
      <c r="AS924" s="1">
        <v>2136464</v>
      </c>
      <c r="AT924" s="1">
        <f t="shared" si="95"/>
        <v>92145648</v>
      </c>
    </row>
    <row r="925" spans="1:46" x14ac:dyDescent="0.2">
      <c r="A925" s="1" t="str">
        <f>"01201"</f>
        <v>01201</v>
      </c>
      <c r="B925" s="1" t="str">
        <f>"مهدي"</f>
        <v>مهدي</v>
      </c>
      <c r="C925" s="1" t="str">
        <f>"عوض پور"</f>
        <v>عوض پور</v>
      </c>
      <c r="D925" s="1" t="str">
        <f t="shared" si="98"/>
        <v>قراردادي بهره بردار</v>
      </c>
      <c r="E925" s="1" t="str">
        <f t="shared" si="97"/>
        <v>پروژه بهره برداري نيروگاه بوشهر</v>
      </c>
      <c r="F925" s="1">
        <v>13597468</v>
      </c>
      <c r="G925" s="1">
        <v>16831500</v>
      </c>
      <c r="H925" s="1">
        <v>0</v>
      </c>
      <c r="I925" s="1">
        <v>13374094</v>
      </c>
      <c r="J925" s="1">
        <v>0</v>
      </c>
      <c r="K925" s="1">
        <v>4620000</v>
      </c>
      <c r="L925" s="1">
        <v>0</v>
      </c>
      <c r="M925" s="1">
        <v>1000000</v>
      </c>
      <c r="N925" s="1">
        <v>2504918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1606000</v>
      </c>
      <c r="U925" s="1">
        <v>0</v>
      </c>
      <c r="V925" s="1">
        <v>7757978</v>
      </c>
      <c r="W925" s="1">
        <v>1900000</v>
      </c>
      <c r="X925" s="1">
        <v>1973826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1789227</v>
      </c>
      <c r="AF925" s="1">
        <v>1516881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10669313</v>
      </c>
      <c r="AM925" s="1">
        <v>0</v>
      </c>
      <c r="AN925" s="1">
        <v>0</v>
      </c>
      <c r="AO925" s="1">
        <v>79141205</v>
      </c>
      <c r="AP925" s="1">
        <v>25671187</v>
      </c>
      <c r="AQ925" s="1">
        <v>53470018</v>
      </c>
      <c r="AR925" s="1">
        <v>15524865</v>
      </c>
      <c r="AS925" s="1">
        <v>2328730</v>
      </c>
      <c r="AT925" s="1">
        <f t="shared" si="95"/>
        <v>96994800</v>
      </c>
    </row>
    <row r="926" spans="1:46" x14ac:dyDescent="0.2">
      <c r="A926" s="1" t="str">
        <f>"01203"</f>
        <v>01203</v>
      </c>
      <c r="B926" s="1" t="str">
        <f>"علي"</f>
        <v>علي</v>
      </c>
      <c r="C926" s="1" t="str">
        <f>"زنده بودي"</f>
        <v>زنده بودي</v>
      </c>
      <c r="D926" s="1" t="str">
        <f t="shared" si="98"/>
        <v>قراردادي بهره بردار</v>
      </c>
      <c r="E926" s="1" t="str">
        <f t="shared" si="97"/>
        <v>پروژه بهره برداري نيروگاه بوشهر</v>
      </c>
      <c r="F926" s="1">
        <v>14114465</v>
      </c>
      <c r="G926" s="1">
        <v>17679543</v>
      </c>
      <c r="H926" s="1">
        <v>0</v>
      </c>
      <c r="I926" s="1">
        <v>14195058</v>
      </c>
      <c r="J926" s="1">
        <v>0</v>
      </c>
      <c r="K926" s="1">
        <v>4620000</v>
      </c>
      <c r="L926" s="1">
        <v>0</v>
      </c>
      <c r="M926" s="1">
        <v>1000000</v>
      </c>
      <c r="N926" s="1">
        <v>2685867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1387000</v>
      </c>
      <c r="U926" s="1">
        <v>0</v>
      </c>
      <c r="V926" s="1">
        <v>8241592</v>
      </c>
      <c r="W926" s="1">
        <v>1900000</v>
      </c>
      <c r="X926" s="1">
        <v>2048874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1918476</v>
      </c>
      <c r="AF926" s="1">
        <v>3033762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11041289</v>
      </c>
      <c r="AM926" s="1">
        <v>0</v>
      </c>
      <c r="AN926" s="1">
        <v>0</v>
      </c>
      <c r="AO926" s="1">
        <v>83865926</v>
      </c>
      <c r="AP926" s="1">
        <v>30218072</v>
      </c>
      <c r="AQ926" s="1">
        <v>53647854</v>
      </c>
      <c r="AR926" s="1">
        <v>16166433</v>
      </c>
      <c r="AS926" s="1">
        <v>2424965</v>
      </c>
      <c r="AT926" s="1">
        <f t="shared" si="95"/>
        <v>102457324</v>
      </c>
    </row>
    <row r="927" spans="1:46" x14ac:dyDescent="0.2">
      <c r="A927" s="1" t="str">
        <f>"01204"</f>
        <v>01204</v>
      </c>
      <c r="B927" s="1" t="str">
        <f>"فتح اله"</f>
        <v>فتح اله</v>
      </c>
      <c r="C927" s="1" t="str">
        <f>"محسني پور"</f>
        <v>محسني پور</v>
      </c>
      <c r="D927" s="1" t="str">
        <f t="shared" si="98"/>
        <v>قراردادي بهره بردار</v>
      </c>
      <c r="E927" s="1" t="str">
        <f t="shared" si="97"/>
        <v>پروژه بهره برداري نيروگاه بوشهر</v>
      </c>
      <c r="F927" s="1">
        <v>15442009</v>
      </c>
      <c r="G927" s="1">
        <v>19709524</v>
      </c>
      <c r="H927" s="1">
        <v>0</v>
      </c>
      <c r="I927" s="1">
        <v>16142470</v>
      </c>
      <c r="J927" s="1">
        <v>0</v>
      </c>
      <c r="K927" s="1">
        <v>4620000</v>
      </c>
      <c r="L927" s="1">
        <v>0</v>
      </c>
      <c r="M927" s="1">
        <v>1000000</v>
      </c>
      <c r="N927" s="1">
        <v>3150507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1387000</v>
      </c>
      <c r="U927" s="1">
        <v>0</v>
      </c>
      <c r="V927" s="1">
        <v>9290845</v>
      </c>
      <c r="W927" s="1">
        <v>1900000</v>
      </c>
      <c r="X927" s="1">
        <v>2241582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2250362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11913831</v>
      </c>
      <c r="AM927" s="1">
        <v>0</v>
      </c>
      <c r="AN927" s="1">
        <v>0</v>
      </c>
      <c r="AO927" s="1">
        <v>89048130</v>
      </c>
      <c r="AP927" s="1">
        <v>36633485</v>
      </c>
      <c r="AQ927" s="1">
        <v>52414645</v>
      </c>
      <c r="AR927" s="1">
        <v>17809626</v>
      </c>
      <c r="AS927" s="1">
        <v>2671444</v>
      </c>
      <c r="AT927" s="1">
        <f t="shared" si="95"/>
        <v>109529200</v>
      </c>
    </row>
    <row r="928" spans="1:46" x14ac:dyDescent="0.2">
      <c r="A928" s="1" t="str">
        <f>"01205"</f>
        <v>01205</v>
      </c>
      <c r="B928" s="1" t="str">
        <f>"مهدي"</f>
        <v>مهدي</v>
      </c>
      <c r="C928" s="1" t="str">
        <f>"عالي زاده"</f>
        <v>عالي زاده</v>
      </c>
      <c r="D928" s="1" t="str">
        <f t="shared" si="98"/>
        <v>قراردادي بهره بردار</v>
      </c>
      <c r="E928" s="1" t="str">
        <f t="shared" si="97"/>
        <v>پروژه بهره برداري نيروگاه بوشهر</v>
      </c>
      <c r="F928" s="1">
        <v>14217427</v>
      </c>
      <c r="G928" s="1">
        <v>24505910</v>
      </c>
      <c r="H928" s="1">
        <v>0</v>
      </c>
      <c r="I928" s="1">
        <v>12760626</v>
      </c>
      <c r="J928" s="1">
        <v>0</v>
      </c>
      <c r="K928" s="1">
        <v>4620000</v>
      </c>
      <c r="L928" s="1">
        <v>0</v>
      </c>
      <c r="M928" s="1">
        <v>1000000</v>
      </c>
      <c r="N928" s="1">
        <v>2721903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1606000</v>
      </c>
      <c r="U928" s="1">
        <v>0</v>
      </c>
      <c r="V928" s="1">
        <v>7530180</v>
      </c>
      <c r="W928" s="1">
        <v>1900000</v>
      </c>
      <c r="X928" s="1">
        <v>2063820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1944217</v>
      </c>
      <c r="AF928" s="1">
        <v>3033762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9059502</v>
      </c>
      <c r="AM928" s="1">
        <v>0</v>
      </c>
      <c r="AN928" s="1">
        <v>0</v>
      </c>
      <c r="AO928" s="1">
        <v>86963347</v>
      </c>
      <c r="AP928" s="1">
        <v>32207055</v>
      </c>
      <c r="AQ928" s="1">
        <v>54756292</v>
      </c>
      <c r="AR928" s="1">
        <v>16785917</v>
      </c>
      <c r="AS928" s="1">
        <v>2517888</v>
      </c>
      <c r="AT928" s="1">
        <f t="shared" si="95"/>
        <v>106267152</v>
      </c>
    </row>
    <row r="929" spans="1:46" x14ac:dyDescent="0.2">
      <c r="A929" s="1" t="str">
        <f>"01206"</f>
        <v>01206</v>
      </c>
      <c r="B929" s="1" t="str">
        <f>"عليرضا"</f>
        <v>عليرضا</v>
      </c>
      <c r="C929" s="1" t="str">
        <f>"قايد"</f>
        <v>قايد</v>
      </c>
      <c r="D929" s="1" t="str">
        <f t="shared" si="98"/>
        <v>قراردادي بهره بردار</v>
      </c>
      <c r="E929" s="1" t="str">
        <f>"پروژه تعميرات نيروگاه بوشهر"</f>
        <v>پروژه تعميرات نيروگاه بوشهر</v>
      </c>
      <c r="F929" s="1">
        <v>42615039</v>
      </c>
      <c r="G929" s="1">
        <v>8968032</v>
      </c>
      <c r="H929" s="1">
        <v>0</v>
      </c>
      <c r="I929" s="1">
        <v>51801368</v>
      </c>
      <c r="J929" s="1">
        <v>0</v>
      </c>
      <c r="K929" s="1">
        <v>5500000</v>
      </c>
      <c r="L929" s="1">
        <v>0</v>
      </c>
      <c r="M929" s="1">
        <v>1000000</v>
      </c>
      <c r="N929" s="1">
        <v>6818560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1387000</v>
      </c>
      <c r="U929" s="1">
        <v>0</v>
      </c>
      <c r="V929" s="1">
        <v>11553620</v>
      </c>
      <c r="W929" s="1">
        <v>1900000</v>
      </c>
      <c r="X929" s="1">
        <v>0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4870400</v>
      </c>
      <c r="AF929" s="1">
        <v>4550643</v>
      </c>
      <c r="AG929" s="1">
        <v>2612277</v>
      </c>
      <c r="AH929" s="1">
        <v>0</v>
      </c>
      <c r="AI929" s="1">
        <v>0</v>
      </c>
      <c r="AJ929" s="1">
        <v>0</v>
      </c>
      <c r="AK929" s="1">
        <v>0</v>
      </c>
      <c r="AL929" s="1">
        <v>6818560</v>
      </c>
      <c r="AM929" s="1">
        <v>0</v>
      </c>
      <c r="AN929" s="1">
        <v>0</v>
      </c>
      <c r="AO929" s="1">
        <v>150395499</v>
      </c>
      <c r="AP929" s="1">
        <v>48854110</v>
      </c>
      <c r="AQ929" s="1">
        <v>101541389</v>
      </c>
      <c r="AR929" s="1">
        <v>26552511</v>
      </c>
      <c r="AS929" s="1">
        <v>3982877</v>
      </c>
      <c r="AT929" s="1">
        <f t="shared" si="95"/>
        <v>180930887</v>
      </c>
    </row>
    <row r="930" spans="1:46" x14ac:dyDescent="0.2">
      <c r="A930" s="1" t="str">
        <f>"01207"</f>
        <v>01207</v>
      </c>
      <c r="B930" s="1" t="str">
        <f>"ابوالفضل"</f>
        <v>ابوالفضل</v>
      </c>
      <c r="C930" s="1" t="str">
        <f>"شهابي"</f>
        <v>شهابي</v>
      </c>
      <c r="D930" s="1" t="str">
        <f t="shared" si="98"/>
        <v>قراردادي بهره بردار</v>
      </c>
      <c r="E930" s="1" t="str">
        <f>"پروژه بهره برداري نيروگاه بوشهر"</f>
        <v>پروژه بهره برداري نيروگاه بوشهر</v>
      </c>
      <c r="F930" s="1">
        <v>21389669</v>
      </c>
      <c r="G930" s="1">
        <v>33489783</v>
      </c>
      <c r="H930" s="1">
        <v>0</v>
      </c>
      <c r="I930" s="1">
        <v>17102112</v>
      </c>
      <c r="J930" s="1">
        <v>0</v>
      </c>
      <c r="K930" s="1">
        <v>5500000</v>
      </c>
      <c r="L930" s="1">
        <v>0</v>
      </c>
      <c r="M930" s="1">
        <v>1000000</v>
      </c>
      <c r="N930" s="1">
        <v>3058499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1387000</v>
      </c>
      <c r="U930" s="1">
        <v>0</v>
      </c>
      <c r="V930" s="1">
        <v>4741239</v>
      </c>
      <c r="W930" s="1">
        <v>1900000</v>
      </c>
      <c r="X930" s="1">
        <v>0</v>
      </c>
      <c r="Y930" s="1">
        <v>11040588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2184642</v>
      </c>
      <c r="AF930" s="1">
        <v>1516881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3677472</v>
      </c>
      <c r="AM930" s="1">
        <v>0</v>
      </c>
      <c r="AN930" s="1">
        <v>0</v>
      </c>
      <c r="AO930" s="1">
        <v>107987885</v>
      </c>
      <c r="AP930" s="1">
        <v>60886686</v>
      </c>
      <c r="AQ930" s="1">
        <v>47101199</v>
      </c>
      <c r="AR930" s="1">
        <v>21294201</v>
      </c>
      <c r="AS930" s="1">
        <v>3194130</v>
      </c>
      <c r="AT930" s="1">
        <f t="shared" si="95"/>
        <v>132476216</v>
      </c>
    </row>
    <row r="931" spans="1:46" x14ac:dyDescent="0.2">
      <c r="A931" s="1" t="str">
        <f>"01208"</f>
        <v>01208</v>
      </c>
      <c r="B931" s="1" t="str">
        <f>"عليرضا"</f>
        <v>عليرضا</v>
      </c>
      <c r="C931" s="1" t="str">
        <f>"فياض"</f>
        <v>فياض</v>
      </c>
      <c r="D931" s="1" t="str">
        <f t="shared" ref="D931:D938" si="99">"قراردادي کارگري"</f>
        <v>قراردادي کارگري</v>
      </c>
      <c r="E931" s="1" t="str">
        <f t="shared" ref="E931:E938" si="100">"پروژه تعميرات نيروگاه بوشهر"</f>
        <v>پروژه تعميرات نيروگاه بوشهر</v>
      </c>
      <c r="F931" s="1">
        <v>6798018</v>
      </c>
      <c r="G931" s="1">
        <v>0</v>
      </c>
      <c r="H931" s="1">
        <v>0</v>
      </c>
      <c r="I931" s="1">
        <v>4554672</v>
      </c>
      <c r="J931" s="1">
        <v>0</v>
      </c>
      <c r="K931" s="1">
        <v>0</v>
      </c>
      <c r="L931" s="1">
        <v>7628143</v>
      </c>
      <c r="M931" s="1">
        <v>1000000</v>
      </c>
      <c r="N931" s="1">
        <v>3625609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5376653</v>
      </c>
      <c r="W931" s="1">
        <v>1900000</v>
      </c>
      <c r="X931" s="1">
        <v>0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0</v>
      </c>
      <c r="AM931" s="1">
        <v>0</v>
      </c>
      <c r="AN931" s="1">
        <v>0</v>
      </c>
      <c r="AO931" s="1">
        <v>30883095</v>
      </c>
      <c r="AP931" s="1">
        <v>2167817</v>
      </c>
      <c r="AQ931" s="1">
        <v>28715278</v>
      </c>
      <c r="AR931" s="1">
        <v>6176619</v>
      </c>
      <c r="AS931" s="1">
        <v>926493</v>
      </c>
      <c r="AT931" s="1">
        <f t="shared" si="95"/>
        <v>37986207</v>
      </c>
    </row>
    <row r="932" spans="1:46" x14ac:dyDescent="0.2">
      <c r="A932" s="1" t="str">
        <f>"01209"</f>
        <v>01209</v>
      </c>
      <c r="B932" s="1" t="str">
        <f>"اسماعيل"</f>
        <v>اسماعيل</v>
      </c>
      <c r="C932" s="1" t="str">
        <f>"انصاري"</f>
        <v>انصاري</v>
      </c>
      <c r="D932" s="1" t="str">
        <f t="shared" si="99"/>
        <v>قراردادي کارگري</v>
      </c>
      <c r="E932" s="1" t="str">
        <f t="shared" si="100"/>
        <v>پروژه تعميرات نيروگاه بوشهر</v>
      </c>
      <c r="F932" s="1">
        <v>7115340</v>
      </c>
      <c r="G932" s="1">
        <v>0</v>
      </c>
      <c r="H932" s="1">
        <v>0</v>
      </c>
      <c r="I932" s="1">
        <v>4269204</v>
      </c>
      <c r="J932" s="1">
        <v>0</v>
      </c>
      <c r="K932" s="1">
        <v>0</v>
      </c>
      <c r="L932" s="1">
        <v>7628143</v>
      </c>
      <c r="M932" s="1">
        <v>1000000</v>
      </c>
      <c r="N932" s="1">
        <v>3794848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7870282</v>
      </c>
      <c r="W932" s="1">
        <v>1900000</v>
      </c>
      <c r="X932" s="1">
        <v>0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0</v>
      </c>
      <c r="AF932" s="1">
        <v>3033762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0</v>
      </c>
      <c r="AM932" s="1">
        <v>0</v>
      </c>
      <c r="AN932" s="1">
        <v>0</v>
      </c>
      <c r="AO932" s="1">
        <v>36611579</v>
      </c>
      <c r="AP932" s="1">
        <v>4334560</v>
      </c>
      <c r="AQ932" s="1">
        <v>32277019</v>
      </c>
      <c r="AR932" s="1">
        <v>6715563</v>
      </c>
      <c r="AS932" s="1">
        <v>1007335</v>
      </c>
      <c r="AT932" s="1">
        <f t="shared" si="95"/>
        <v>44334477</v>
      </c>
    </row>
    <row r="933" spans="1:46" x14ac:dyDescent="0.2">
      <c r="A933" s="1" t="str">
        <f>"01210"</f>
        <v>01210</v>
      </c>
      <c r="B933" s="1" t="str">
        <f>"رضا"</f>
        <v>رضا</v>
      </c>
      <c r="C933" s="1" t="str">
        <f>"يادگاري"</f>
        <v>يادگاري</v>
      </c>
      <c r="D933" s="1" t="str">
        <f t="shared" si="99"/>
        <v>قراردادي کارگري</v>
      </c>
      <c r="E933" s="1" t="str">
        <f t="shared" si="100"/>
        <v>پروژه تعميرات نيروگاه بوشهر</v>
      </c>
      <c r="F933" s="1">
        <v>6395263</v>
      </c>
      <c r="G933" s="1">
        <v>0</v>
      </c>
      <c r="H933" s="1">
        <v>0</v>
      </c>
      <c r="I933" s="1">
        <v>3837157</v>
      </c>
      <c r="J933" s="1">
        <v>0</v>
      </c>
      <c r="K933" s="1">
        <v>0</v>
      </c>
      <c r="L933" s="1">
        <v>7628143</v>
      </c>
      <c r="M933" s="1">
        <v>1000000</v>
      </c>
      <c r="N933" s="1">
        <v>3410807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7401751</v>
      </c>
      <c r="W933" s="1">
        <v>1900000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3033762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0</v>
      </c>
      <c r="AM933" s="1">
        <v>0</v>
      </c>
      <c r="AN933" s="1">
        <v>0</v>
      </c>
      <c r="AO933" s="1">
        <v>34606883</v>
      </c>
      <c r="AP933" s="1">
        <v>2265795</v>
      </c>
      <c r="AQ933" s="1">
        <v>32341088</v>
      </c>
      <c r="AR933" s="1">
        <v>6314624</v>
      </c>
      <c r="AS933" s="1">
        <v>947194</v>
      </c>
      <c r="AT933" s="1">
        <f t="shared" si="95"/>
        <v>41868701</v>
      </c>
    </row>
    <row r="934" spans="1:46" x14ac:dyDescent="0.2">
      <c r="A934" s="1" t="str">
        <f>"01211"</f>
        <v>01211</v>
      </c>
      <c r="B934" s="1" t="str">
        <f>"اميد"</f>
        <v>اميد</v>
      </c>
      <c r="C934" s="1" t="str">
        <f>"غريبي"</f>
        <v>غريبي</v>
      </c>
      <c r="D934" s="1" t="str">
        <f t="shared" si="99"/>
        <v>قراردادي کارگري</v>
      </c>
      <c r="E934" s="1" t="str">
        <f t="shared" si="100"/>
        <v>پروژه تعميرات نيروگاه بوشهر</v>
      </c>
      <c r="F934" s="1">
        <v>6462389</v>
      </c>
      <c r="G934" s="1">
        <v>0</v>
      </c>
      <c r="H934" s="1">
        <v>0</v>
      </c>
      <c r="I934" s="1">
        <v>3877434</v>
      </c>
      <c r="J934" s="1">
        <v>0</v>
      </c>
      <c r="K934" s="1">
        <v>0</v>
      </c>
      <c r="L934" s="1">
        <v>7628143</v>
      </c>
      <c r="M934" s="1">
        <v>1000000</v>
      </c>
      <c r="N934" s="1">
        <v>3446607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7323372</v>
      </c>
      <c r="W934" s="1">
        <v>1900000</v>
      </c>
      <c r="X934" s="1">
        <v>0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0</v>
      </c>
      <c r="AG934" s="1">
        <v>0</v>
      </c>
      <c r="AH934" s="1">
        <v>0</v>
      </c>
      <c r="AI934" s="1">
        <v>5000000</v>
      </c>
      <c r="AJ934" s="1">
        <v>0</v>
      </c>
      <c r="AK934" s="1">
        <v>0</v>
      </c>
      <c r="AL934" s="1">
        <v>0</v>
      </c>
      <c r="AM934" s="1">
        <v>0</v>
      </c>
      <c r="AN934" s="1">
        <v>0</v>
      </c>
      <c r="AO934" s="1">
        <v>36637945</v>
      </c>
      <c r="AP934" s="1">
        <v>2472985</v>
      </c>
      <c r="AQ934" s="1">
        <v>34164960</v>
      </c>
      <c r="AR934" s="1">
        <v>6327589</v>
      </c>
      <c r="AS934" s="1">
        <v>949138</v>
      </c>
      <c r="AT934" s="1">
        <f t="shared" si="95"/>
        <v>43914672</v>
      </c>
    </row>
    <row r="935" spans="1:46" x14ac:dyDescent="0.2">
      <c r="A935" s="1" t="str">
        <f>"01212"</f>
        <v>01212</v>
      </c>
      <c r="B935" s="1" t="str">
        <f>"پيمان"</f>
        <v>پيمان</v>
      </c>
      <c r="C935" s="1" t="str">
        <f>"زارعي"</f>
        <v>زارعي</v>
      </c>
      <c r="D935" s="1" t="str">
        <f t="shared" si="99"/>
        <v>قراردادي کارگري</v>
      </c>
      <c r="E935" s="1" t="str">
        <f t="shared" si="100"/>
        <v>پروژه تعميرات نيروگاه بوشهر</v>
      </c>
      <c r="F935" s="1">
        <v>6401365</v>
      </c>
      <c r="G935" s="1">
        <v>0</v>
      </c>
      <c r="H935" s="1">
        <v>0</v>
      </c>
      <c r="I935" s="1">
        <v>3840819</v>
      </c>
      <c r="J935" s="1">
        <v>0</v>
      </c>
      <c r="K935" s="1">
        <v>0</v>
      </c>
      <c r="L935" s="1">
        <v>7628143</v>
      </c>
      <c r="M935" s="1">
        <v>1000000</v>
      </c>
      <c r="N935" s="1">
        <v>3414061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7284317</v>
      </c>
      <c r="W935" s="1">
        <v>1900000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0</v>
      </c>
      <c r="AM935" s="1">
        <v>0</v>
      </c>
      <c r="AN935" s="1">
        <v>0</v>
      </c>
      <c r="AO935" s="1">
        <v>31468705</v>
      </c>
      <c r="AP935" s="1">
        <v>3558809</v>
      </c>
      <c r="AQ935" s="1">
        <v>27909896</v>
      </c>
      <c r="AR935" s="1">
        <v>6293741</v>
      </c>
      <c r="AS935" s="1">
        <v>944061</v>
      </c>
      <c r="AT935" s="1">
        <f t="shared" si="95"/>
        <v>38706507</v>
      </c>
    </row>
    <row r="936" spans="1:46" x14ac:dyDescent="0.2">
      <c r="A936" s="1" t="str">
        <f>"01214"</f>
        <v>01214</v>
      </c>
      <c r="B936" s="1" t="str">
        <f>"سيدمحمد"</f>
        <v>سيدمحمد</v>
      </c>
      <c r="C936" s="1" t="str">
        <f>"مساوات"</f>
        <v>مساوات</v>
      </c>
      <c r="D936" s="1" t="str">
        <f t="shared" si="99"/>
        <v>قراردادي کارگري</v>
      </c>
      <c r="E936" s="1" t="str">
        <f t="shared" si="100"/>
        <v>پروژه تعميرات نيروگاه بوشهر</v>
      </c>
      <c r="F936" s="1">
        <v>6560027</v>
      </c>
      <c r="G936" s="1">
        <v>0</v>
      </c>
      <c r="H936" s="1">
        <v>0</v>
      </c>
      <c r="I936" s="1">
        <v>3936016</v>
      </c>
      <c r="J936" s="1">
        <v>0</v>
      </c>
      <c r="K936" s="1">
        <v>0</v>
      </c>
      <c r="L936" s="1">
        <v>7628143</v>
      </c>
      <c r="M936" s="1">
        <v>1000000</v>
      </c>
      <c r="N936" s="1">
        <v>3498682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7385860</v>
      </c>
      <c r="W936" s="1">
        <v>1900000</v>
      </c>
      <c r="X936" s="1">
        <v>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0</v>
      </c>
      <c r="AF936" s="1">
        <v>0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0</v>
      </c>
      <c r="AM936" s="1">
        <v>0</v>
      </c>
      <c r="AN936" s="1">
        <v>0</v>
      </c>
      <c r="AO936" s="1">
        <v>31908728</v>
      </c>
      <c r="AP936" s="1">
        <v>2239611</v>
      </c>
      <c r="AQ936" s="1">
        <v>29669117</v>
      </c>
      <c r="AR936" s="1">
        <v>6381746</v>
      </c>
      <c r="AS936" s="1">
        <v>957262</v>
      </c>
      <c r="AT936" s="1">
        <f t="shared" si="95"/>
        <v>39247736</v>
      </c>
    </row>
    <row r="937" spans="1:46" x14ac:dyDescent="0.2">
      <c r="A937" s="1" t="str">
        <f>"01215"</f>
        <v>01215</v>
      </c>
      <c r="B937" s="1" t="str">
        <f>"عبدالمحمد"</f>
        <v>عبدالمحمد</v>
      </c>
      <c r="C937" s="1" t="str">
        <f>"ماهيني"</f>
        <v>ماهيني</v>
      </c>
      <c r="D937" s="1" t="str">
        <f t="shared" si="99"/>
        <v>قراردادي کارگري</v>
      </c>
      <c r="E937" s="1" t="str">
        <f t="shared" si="100"/>
        <v>پروژه تعميرات نيروگاه بوشهر</v>
      </c>
      <c r="F937" s="1">
        <v>6071839</v>
      </c>
      <c r="G937" s="1">
        <v>1748817</v>
      </c>
      <c r="H937" s="1">
        <v>0</v>
      </c>
      <c r="I937" s="1">
        <v>3643103</v>
      </c>
      <c r="J937" s="1">
        <v>0</v>
      </c>
      <c r="K937" s="1">
        <v>0</v>
      </c>
      <c r="L937" s="1">
        <v>7628143</v>
      </c>
      <c r="M937" s="1">
        <v>1000000</v>
      </c>
      <c r="N937" s="1">
        <v>3238315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6955529</v>
      </c>
      <c r="W937" s="1">
        <v>1900000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3087210</v>
      </c>
      <c r="AE937" s="1">
        <v>0</v>
      </c>
      <c r="AF937" s="1">
        <v>1516881</v>
      </c>
      <c r="AG937" s="1">
        <v>0</v>
      </c>
      <c r="AH937" s="1">
        <v>0</v>
      </c>
      <c r="AI937" s="1">
        <v>0</v>
      </c>
      <c r="AJ937" s="1">
        <v>3730810</v>
      </c>
      <c r="AK937" s="1">
        <v>0</v>
      </c>
      <c r="AL937" s="1">
        <v>0</v>
      </c>
      <c r="AM937" s="1">
        <v>0</v>
      </c>
      <c r="AN937" s="1">
        <v>0</v>
      </c>
      <c r="AO937" s="1">
        <v>40520647</v>
      </c>
      <c r="AP937" s="1">
        <v>3955659</v>
      </c>
      <c r="AQ937" s="1">
        <v>36564988</v>
      </c>
      <c r="AR937" s="1">
        <v>7800753</v>
      </c>
      <c r="AS937" s="1">
        <v>1170113</v>
      </c>
      <c r="AT937" s="1">
        <f t="shared" si="95"/>
        <v>49491513</v>
      </c>
    </row>
    <row r="938" spans="1:46" x14ac:dyDescent="0.2">
      <c r="A938" s="1" t="str">
        <f>"01216"</f>
        <v>01216</v>
      </c>
      <c r="B938" s="1" t="str">
        <f>"محمدصادق"</f>
        <v>محمدصادق</v>
      </c>
      <c r="C938" s="1" t="str">
        <f>"احمدي"</f>
        <v>احمدي</v>
      </c>
      <c r="D938" s="1" t="str">
        <f t="shared" si="99"/>
        <v>قراردادي کارگري</v>
      </c>
      <c r="E938" s="1" t="str">
        <f t="shared" si="100"/>
        <v>پروژه تعميرات نيروگاه بوشهر</v>
      </c>
      <c r="F938" s="1">
        <v>5827745</v>
      </c>
      <c r="G938" s="1">
        <v>527174</v>
      </c>
      <c r="H938" s="1">
        <v>0</v>
      </c>
      <c r="I938" s="1">
        <v>3496647</v>
      </c>
      <c r="J938" s="1">
        <v>0</v>
      </c>
      <c r="K938" s="1">
        <v>0</v>
      </c>
      <c r="L938" s="1">
        <v>7628143</v>
      </c>
      <c r="M938" s="1">
        <v>1000000</v>
      </c>
      <c r="N938" s="1">
        <v>3108131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4842040</v>
      </c>
      <c r="W938" s="1">
        <v>1900000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0</v>
      </c>
      <c r="AF938" s="1">
        <v>1516881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0</v>
      </c>
      <c r="AM938" s="1">
        <v>0</v>
      </c>
      <c r="AN938" s="1">
        <v>0</v>
      </c>
      <c r="AO938" s="1">
        <v>29846761</v>
      </c>
      <c r="AP938" s="1">
        <v>2505372</v>
      </c>
      <c r="AQ938" s="1">
        <v>27341389</v>
      </c>
      <c r="AR938" s="1">
        <v>5665976</v>
      </c>
      <c r="AS938" s="1">
        <v>849896</v>
      </c>
      <c r="AT938" s="1">
        <f t="shared" si="95"/>
        <v>36362633</v>
      </c>
    </row>
    <row r="939" spans="1:46" x14ac:dyDescent="0.2">
      <c r="A939" s="1" t="str">
        <f>"01217"</f>
        <v>01217</v>
      </c>
      <c r="B939" s="1" t="str">
        <f>"ابراهيم"</f>
        <v>ابراهيم</v>
      </c>
      <c r="C939" s="1" t="str">
        <f>"محمدي نژاد"</f>
        <v>محمدي نژاد</v>
      </c>
      <c r="D939" s="1" t="str">
        <f>"قراردادي بهره بردار"</f>
        <v>قراردادي بهره بردار</v>
      </c>
      <c r="E939" s="1" t="str">
        <f>"پروژه بهره برداري نيروگاه بوشهر"</f>
        <v>پروژه بهره برداري نيروگاه بوشهر</v>
      </c>
      <c r="F939" s="1">
        <v>14364201</v>
      </c>
      <c r="G939" s="1">
        <v>29029488</v>
      </c>
      <c r="H939" s="1">
        <v>0</v>
      </c>
      <c r="I939" s="1">
        <v>14034226</v>
      </c>
      <c r="J939" s="1">
        <v>0</v>
      </c>
      <c r="K939" s="1">
        <v>4620000</v>
      </c>
      <c r="L939" s="1">
        <v>0</v>
      </c>
      <c r="M939" s="1">
        <v>1000000</v>
      </c>
      <c r="N939" s="1">
        <v>2773274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1606000</v>
      </c>
      <c r="U939" s="1">
        <v>0</v>
      </c>
      <c r="V939" s="1">
        <v>8327719</v>
      </c>
      <c r="W939" s="1">
        <v>1900000</v>
      </c>
      <c r="X939" s="1">
        <v>2085126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1980910</v>
      </c>
      <c r="AF939" s="1">
        <v>1516881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11261889</v>
      </c>
      <c r="AM939" s="1">
        <v>0</v>
      </c>
      <c r="AN939" s="1">
        <v>0</v>
      </c>
      <c r="AO939" s="1">
        <v>94499714</v>
      </c>
      <c r="AP939" s="1">
        <v>42861535</v>
      </c>
      <c r="AQ939" s="1">
        <v>51638179</v>
      </c>
      <c r="AR939" s="1">
        <v>18596567</v>
      </c>
      <c r="AS939" s="1">
        <v>2789485</v>
      </c>
      <c r="AT939" s="1">
        <f t="shared" si="95"/>
        <v>115885766</v>
      </c>
    </row>
    <row r="940" spans="1:46" x14ac:dyDescent="0.2">
      <c r="A940" s="1" t="str">
        <f>"01218"</f>
        <v>01218</v>
      </c>
      <c r="B940" s="1" t="str">
        <f>"عليرضا"</f>
        <v>عليرضا</v>
      </c>
      <c r="C940" s="1" t="str">
        <f>"حاجياني"</f>
        <v>حاجياني</v>
      </c>
      <c r="D940" s="1" t="str">
        <f>"قراردادي بهره بردار"</f>
        <v>قراردادي بهره بردار</v>
      </c>
      <c r="E940" s="1" t="str">
        <f>"پروژه بهره برداري نيروگاه بوشهر"</f>
        <v>پروژه بهره برداري نيروگاه بوشهر</v>
      </c>
      <c r="F940" s="1">
        <v>14243715</v>
      </c>
      <c r="G940" s="1">
        <v>17928854</v>
      </c>
      <c r="H940" s="1">
        <v>0</v>
      </c>
      <c r="I940" s="1">
        <v>14619005</v>
      </c>
      <c r="J940" s="1">
        <v>0</v>
      </c>
      <c r="K940" s="1">
        <v>4620000</v>
      </c>
      <c r="L940" s="1">
        <v>0</v>
      </c>
      <c r="M940" s="1">
        <v>1000000</v>
      </c>
      <c r="N940" s="1">
        <v>2731104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1387000</v>
      </c>
      <c r="U940" s="1">
        <v>0</v>
      </c>
      <c r="V940" s="1">
        <v>8263771</v>
      </c>
      <c r="W940" s="1">
        <v>1900000</v>
      </c>
      <c r="X940" s="1">
        <v>2067636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1950789</v>
      </c>
      <c r="AF940" s="1">
        <v>3033762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11124424</v>
      </c>
      <c r="AM940" s="1">
        <v>0</v>
      </c>
      <c r="AN940" s="1">
        <v>0</v>
      </c>
      <c r="AO940" s="1">
        <v>84870060</v>
      </c>
      <c r="AP940" s="1">
        <v>26635797</v>
      </c>
      <c r="AQ940" s="1">
        <v>58234263</v>
      </c>
      <c r="AR940" s="1">
        <v>16367260</v>
      </c>
      <c r="AS940" s="1">
        <v>2455089</v>
      </c>
      <c r="AT940" s="1">
        <f t="shared" si="95"/>
        <v>103692409</v>
      </c>
    </row>
    <row r="941" spans="1:46" x14ac:dyDescent="0.2">
      <c r="A941" s="1" t="str">
        <f>"01219"</f>
        <v>01219</v>
      </c>
      <c r="B941" s="1" t="str">
        <f>"محسن"</f>
        <v>محسن</v>
      </c>
      <c r="C941" s="1" t="str">
        <f>"قيصي زاده"</f>
        <v>قيصي زاده</v>
      </c>
      <c r="D941" s="1" t="str">
        <f>"قراردادي بهره بردار"</f>
        <v>قراردادي بهره بردار</v>
      </c>
      <c r="E941" s="1" t="str">
        <f>"پروژه بهره برداري نيروگاه بوشهر"</f>
        <v>پروژه بهره برداري نيروگاه بوشهر</v>
      </c>
      <c r="F941" s="1">
        <v>23545285</v>
      </c>
      <c r="G941" s="1">
        <v>3670430</v>
      </c>
      <c r="H941" s="1">
        <v>0</v>
      </c>
      <c r="I941" s="1">
        <v>17994161</v>
      </c>
      <c r="J941" s="1">
        <v>0</v>
      </c>
      <c r="K941" s="1">
        <v>5500000</v>
      </c>
      <c r="L941" s="1">
        <v>0</v>
      </c>
      <c r="M941" s="1">
        <v>1000000</v>
      </c>
      <c r="N941" s="1">
        <v>3137473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1387000</v>
      </c>
      <c r="U941" s="1">
        <v>0</v>
      </c>
      <c r="V941" s="1">
        <v>6388158</v>
      </c>
      <c r="W941" s="1">
        <v>1900000</v>
      </c>
      <c r="X941" s="1">
        <v>0</v>
      </c>
      <c r="Y941" s="1">
        <v>0</v>
      </c>
      <c r="Z941" s="1">
        <v>6143544</v>
      </c>
      <c r="AA941" s="1">
        <v>0</v>
      </c>
      <c r="AB941" s="1">
        <v>0</v>
      </c>
      <c r="AC941" s="1">
        <v>0</v>
      </c>
      <c r="AD941" s="1">
        <v>0</v>
      </c>
      <c r="AE941" s="1">
        <v>2241052</v>
      </c>
      <c r="AF941" s="1">
        <v>1516881</v>
      </c>
      <c r="AG941" s="1">
        <v>18312098</v>
      </c>
      <c r="AH941" s="1">
        <v>0</v>
      </c>
      <c r="AI941" s="1">
        <v>0</v>
      </c>
      <c r="AJ941" s="1">
        <v>0</v>
      </c>
      <c r="AK941" s="1">
        <v>0</v>
      </c>
      <c r="AL941" s="1">
        <v>2689262</v>
      </c>
      <c r="AM941" s="1">
        <v>0</v>
      </c>
      <c r="AN941" s="1">
        <v>0</v>
      </c>
      <c r="AO941" s="1">
        <v>95425344</v>
      </c>
      <c r="AP941" s="1">
        <v>9657936</v>
      </c>
      <c r="AQ941" s="1">
        <v>85767408</v>
      </c>
      <c r="AR941" s="1">
        <v>17552984</v>
      </c>
      <c r="AS941" s="1">
        <v>2632948</v>
      </c>
      <c r="AT941" s="1">
        <f t="shared" si="95"/>
        <v>115611276</v>
      </c>
    </row>
    <row r="942" spans="1:46" x14ac:dyDescent="0.2">
      <c r="A942" s="1" t="str">
        <f>"01220"</f>
        <v>01220</v>
      </c>
      <c r="B942" s="1" t="str">
        <f>"امير"</f>
        <v>امير</v>
      </c>
      <c r="C942" s="1" t="str">
        <f>"عالي پور"</f>
        <v>عالي پور</v>
      </c>
      <c r="D942" s="1" t="str">
        <f>"قراردادي کارگري"</f>
        <v>قراردادي کارگري</v>
      </c>
      <c r="E942" s="1" t="str">
        <f>"پروژه تعميرات نيروگاه بوشهر"</f>
        <v>پروژه تعميرات نيروگاه بوشهر</v>
      </c>
      <c r="F942" s="1">
        <v>5571445</v>
      </c>
      <c r="G942" s="1">
        <v>1408657</v>
      </c>
      <c r="H942" s="1">
        <v>0</v>
      </c>
      <c r="I942" s="1">
        <v>3342867</v>
      </c>
      <c r="J942" s="1">
        <v>0</v>
      </c>
      <c r="K942" s="1">
        <v>0</v>
      </c>
      <c r="L942" s="1">
        <v>7628143</v>
      </c>
      <c r="M942" s="1">
        <v>1000000</v>
      </c>
      <c r="N942" s="1">
        <v>2971437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9004224</v>
      </c>
      <c r="W942" s="1">
        <v>1900000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2927084</v>
      </c>
      <c r="AE942" s="1">
        <v>0</v>
      </c>
      <c r="AF942" s="1">
        <v>0</v>
      </c>
      <c r="AG942" s="1">
        <v>0</v>
      </c>
      <c r="AH942" s="1">
        <v>0</v>
      </c>
      <c r="AI942" s="1">
        <v>0</v>
      </c>
      <c r="AJ942" s="1">
        <v>3863745</v>
      </c>
      <c r="AK942" s="1">
        <v>0</v>
      </c>
      <c r="AL942" s="1">
        <v>0</v>
      </c>
      <c r="AM942" s="1">
        <v>0</v>
      </c>
      <c r="AN942" s="1">
        <v>0</v>
      </c>
      <c r="AO942" s="1">
        <v>39617602</v>
      </c>
      <c r="AP942" s="1">
        <v>3273669</v>
      </c>
      <c r="AQ942" s="1">
        <v>36343933</v>
      </c>
      <c r="AR942" s="1">
        <v>7923520</v>
      </c>
      <c r="AS942" s="1">
        <v>1188528</v>
      </c>
      <c r="AT942" s="1">
        <f t="shared" si="95"/>
        <v>48729650</v>
      </c>
    </row>
    <row r="943" spans="1:46" x14ac:dyDescent="0.2">
      <c r="A943" s="1" t="str">
        <f>"01221"</f>
        <v>01221</v>
      </c>
      <c r="B943" s="1" t="str">
        <f>"بهروز"</f>
        <v>بهروز</v>
      </c>
      <c r="C943" s="1" t="str">
        <f>"ايسپره"</f>
        <v>ايسپره</v>
      </c>
      <c r="D943" s="1" t="str">
        <f t="shared" ref="D943:D954" si="101">"قراردادي بهره بردار"</f>
        <v>قراردادي بهره بردار</v>
      </c>
      <c r="E943" s="1" t="str">
        <f t="shared" ref="E943:E954" si="102">"پروژه بهره برداري نيروگاه بوشهر"</f>
        <v>پروژه بهره برداري نيروگاه بوشهر</v>
      </c>
      <c r="F943" s="1">
        <v>16727931</v>
      </c>
      <c r="G943" s="1">
        <v>2449102</v>
      </c>
      <c r="H943" s="1">
        <v>0</v>
      </c>
      <c r="I943" s="1">
        <v>13423727</v>
      </c>
      <c r="J943" s="1">
        <v>0</v>
      </c>
      <c r="K943" s="1">
        <v>0</v>
      </c>
      <c r="L943" s="1">
        <v>0</v>
      </c>
      <c r="M943" s="1">
        <v>1000000</v>
      </c>
      <c r="N943" s="1">
        <v>2668999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1606000</v>
      </c>
      <c r="U943" s="1">
        <v>0</v>
      </c>
      <c r="V943" s="1">
        <v>3944008</v>
      </c>
      <c r="W943" s="1">
        <v>1900000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1906428</v>
      </c>
      <c r="AF943" s="1">
        <v>0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4713000</v>
      </c>
      <c r="AM943" s="1">
        <v>0</v>
      </c>
      <c r="AN943" s="1">
        <v>0</v>
      </c>
      <c r="AO943" s="1">
        <v>50339195</v>
      </c>
      <c r="AP943" s="1">
        <v>8854944</v>
      </c>
      <c r="AQ943" s="1">
        <v>41484251</v>
      </c>
      <c r="AR943" s="1">
        <v>10067839</v>
      </c>
      <c r="AS943" s="1">
        <v>1510176</v>
      </c>
      <c r="AT943" s="1">
        <f t="shared" si="95"/>
        <v>61917210</v>
      </c>
    </row>
    <row r="944" spans="1:46" x14ac:dyDescent="0.2">
      <c r="A944" s="1" t="str">
        <f>"01222"</f>
        <v>01222</v>
      </c>
      <c r="B944" s="1" t="str">
        <f>"محمد"</f>
        <v>محمد</v>
      </c>
      <c r="C944" s="1" t="str">
        <f>"اومن"</f>
        <v>اومن</v>
      </c>
      <c r="D944" s="1" t="str">
        <f t="shared" si="101"/>
        <v>قراردادي بهره بردار</v>
      </c>
      <c r="E944" s="1" t="str">
        <f t="shared" si="102"/>
        <v>پروژه بهره برداري نيروگاه بوشهر</v>
      </c>
      <c r="F944" s="1">
        <v>16684117</v>
      </c>
      <c r="G944" s="1">
        <v>6299410</v>
      </c>
      <c r="H944" s="1">
        <v>0</v>
      </c>
      <c r="I944" s="1">
        <v>11804654</v>
      </c>
      <c r="J944" s="1">
        <v>0</v>
      </c>
      <c r="K944" s="1">
        <v>4125000</v>
      </c>
      <c r="L944" s="1">
        <v>0</v>
      </c>
      <c r="M944" s="1">
        <v>1000000</v>
      </c>
      <c r="N944" s="1">
        <v>2481149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1606000</v>
      </c>
      <c r="U944" s="1">
        <v>0</v>
      </c>
      <c r="V944" s="1">
        <v>8752122</v>
      </c>
      <c r="W944" s="1">
        <v>1900000</v>
      </c>
      <c r="X944" s="1">
        <v>2421888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1772249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11018440</v>
      </c>
      <c r="AM944" s="1">
        <v>0</v>
      </c>
      <c r="AN944" s="1">
        <v>0</v>
      </c>
      <c r="AO944" s="1">
        <v>69865029</v>
      </c>
      <c r="AP944" s="1">
        <v>19425405</v>
      </c>
      <c r="AQ944" s="1">
        <v>50439624</v>
      </c>
      <c r="AR944" s="1">
        <v>13973006</v>
      </c>
      <c r="AS944" s="1">
        <v>2095951</v>
      </c>
      <c r="AT944" s="1">
        <f t="shared" si="95"/>
        <v>85933986</v>
      </c>
    </row>
    <row r="945" spans="1:46" x14ac:dyDescent="0.2">
      <c r="A945" s="1" t="str">
        <f>"01223"</f>
        <v>01223</v>
      </c>
      <c r="B945" s="1" t="str">
        <f>"مهدي"</f>
        <v>مهدي</v>
      </c>
      <c r="C945" s="1" t="str">
        <f>"سالاروند"</f>
        <v>سالاروند</v>
      </c>
      <c r="D945" s="1" t="str">
        <f t="shared" si="101"/>
        <v>قراردادي بهره بردار</v>
      </c>
      <c r="E945" s="1" t="str">
        <f t="shared" si="102"/>
        <v>پروژه بهره برداري نيروگاه بوشهر</v>
      </c>
      <c r="F945" s="1">
        <v>17731256</v>
      </c>
      <c r="G945" s="1">
        <v>2372513</v>
      </c>
      <c r="H945" s="1">
        <v>0</v>
      </c>
      <c r="I945" s="1">
        <v>12255335</v>
      </c>
      <c r="J945" s="1">
        <v>0</v>
      </c>
      <c r="K945" s="1">
        <v>5500000</v>
      </c>
      <c r="L945" s="1">
        <v>0</v>
      </c>
      <c r="M945" s="1">
        <v>1000000</v>
      </c>
      <c r="N945" s="1">
        <v>2847648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1606000</v>
      </c>
      <c r="U945" s="1">
        <v>0</v>
      </c>
      <c r="V945" s="1">
        <v>8005214</v>
      </c>
      <c r="W945" s="1">
        <v>1900000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2034034</v>
      </c>
      <c r="AF945" s="1">
        <v>1516881</v>
      </c>
      <c r="AG945" s="1">
        <v>0</v>
      </c>
      <c r="AH945" s="1">
        <v>0</v>
      </c>
      <c r="AI945" s="1">
        <v>0</v>
      </c>
      <c r="AJ945" s="1">
        <v>0</v>
      </c>
      <c r="AK945" s="1">
        <v>0</v>
      </c>
      <c r="AL945" s="1">
        <v>5157793</v>
      </c>
      <c r="AM945" s="1">
        <v>0</v>
      </c>
      <c r="AN945" s="1">
        <v>0</v>
      </c>
      <c r="AO945" s="1">
        <v>61926674</v>
      </c>
      <c r="AP945" s="1">
        <v>30138438</v>
      </c>
      <c r="AQ945" s="1">
        <v>31788236</v>
      </c>
      <c r="AR945" s="1">
        <v>12081959</v>
      </c>
      <c r="AS945" s="1">
        <v>1812294</v>
      </c>
      <c r="AT945" s="1">
        <f t="shared" si="95"/>
        <v>75820927</v>
      </c>
    </row>
    <row r="946" spans="1:46" x14ac:dyDescent="0.2">
      <c r="A946" s="1" t="str">
        <f>"01224"</f>
        <v>01224</v>
      </c>
      <c r="B946" s="1" t="str">
        <f>"يوسف"</f>
        <v>يوسف</v>
      </c>
      <c r="C946" s="1" t="str">
        <f>"رضايي بانبيدي"</f>
        <v>رضايي بانبيدي</v>
      </c>
      <c r="D946" s="1" t="str">
        <f t="shared" si="101"/>
        <v>قراردادي بهره بردار</v>
      </c>
      <c r="E946" s="1" t="str">
        <f t="shared" si="102"/>
        <v>پروژه بهره برداري نيروگاه بوشهر</v>
      </c>
      <c r="F946" s="1">
        <v>12819781</v>
      </c>
      <c r="G946" s="1">
        <v>3862671</v>
      </c>
      <c r="H946" s="1">
        <v>0</v>
      </c>
      <c r="I946" s="1">
        <v>9181357</v>
      </c>
      <c r="J946" s="1">
        <v>0</v>
      </c>
      <c r="K946" s="1">
        <v>4620000</v>
      </c>
      <c r="L946" s="1">
        <v>0</v>
      </c>
      <c r="M946" s="1">
        <v>1000000</v>
      </c>
      <c r="N946" s="1">
        <v>2462747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1606000</v>
      </c>
      <c r="U946" s="1">
        <v>0</v>
      </c>
      <c r="V946" s="1">
        <v>5302407</v>
      </c>
      <c r="W946" s="1">
        <v>1900000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1759105</v>
      </c>
      <c r="AF946" s="1">
        <v>1516881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4967644</v>
      </c>
      <c r="AM946" s="1">
        <v>0</v>
      </c>
      <c r="AN946" s="1">
        <v>0</v>
      </c>
      <c r="AO946" s="1">
        <v>50998593</v>
      </c>
      <c r="AP946" s="1">
        <v>12458610</v>
      </c>
      <c r="AQ946" s="1">
        <v>38539983</v>
      </c>
      <c r="AR946" s="1">
        <v>9896342</v>
      </c>
      <c r="AS946" s="1">
        <v>1484451</v>
      </c>
      <c r="AT946" s="1">
        <f t="shared" si="95"/>
        <v>62379386</v>
      </c>
    </row>
    <row r="947" spans="1:46" x14ac:dyDescent="0.2">
      <c r="A947" s="1" t="str">
        <f>"01225"</f>
        <v>01225</v>
      </c>
      <c r="B947" s="1" t="str">
        <f>"حامد"</f>
        <v>حامد</v>
      </c>
      <c r="C947" s="1" t="str">
        <f>"علي نژاد"</f>
        <v>علي نژاد</v>
      </c>
      <c r="D947" s="1" t="str">
        <f t="shared" si="101"/>
        <v>قراردادي بهره بردار</v>
      </c>
      <c r="E947" s="1" t="str">
        <f t="shared" si="102"/>
        <v>پروژه بهره برداري نيروگاه بوشهر</v>
      </c>
      <c r="F947" s="1">
        <v>18226347</v>
      </c>
      <c r="G947" s="1">
        <v>5087232</v>
      </c>
      <c r="H947" s="1">
        <v>4452000</v>
      </c>
      <c r="I947" s="1">
        <v>12496862</v>
      </c>
      <c r="J947" s="1">
        <v>0</v>
      </c>
      <c r="K947" s="1">
        <v>5500000</v>
      </c>
      <c r="L947" s="1">
        <v>0</v>
      </c>
      <c r="M947" s="1">
        <v>1000000</v>
      </c>
      <c r="N947" s="1">
        <v>3020929</v>
      </c>
      <c r="O947" s="1">
        <v>0</v>
      </c>
      <c r="P947" s="1">
        <v>0</v>
      </c>
      <c r="Q947" s="1">
        <v>0</v>
      </c>
      <c r="R947" s="1">
        <v>0</v>
      </c>
      <c r="S947" s="1">
        <v>1908000</v>
      </c>
      <c r="T947" s="1">
        <v>1606000</v>
      </c>
      <c r="U947" s="1">
        <v>0</v>
      </c>
      <c r="V947" s="1">
        <v>7673802</v>
      </c>
      <c r="W947" s="1">
        <v>1900000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2157807</v>
      </c>
      <c r="AF947" s="1">
        <v>1516881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4486485</v>
      </c>
      <c r="AM947" s="1">
        <v>0</v>
      </c>
      <c r="AN947" s="1">
        <v>0</v>
      </c>
      <c r="AO947" s="1">
        <v>71032345</v>
      </c>
      <c r="AP947" s="1">
        <v>23999358</v>
      </c>
      <c r="AQ947" s="1">
        <v>47032987</v>
      </c>
      <c r="AR947" s="1">
        <v>12631093</v>
      </c>
      <c r="AS947" s="1">
        <v>1894664</v>
      </c>
      <c r="AT947" s="1">
        <f t="shared" si="95"/>
        <v>85558102</v>
      </c>
    </row>
    <row r="948" spans="1:46" x14ac:dyDescent="0.2">
      <c r="A948" s="1" t="str">
        <f>"01226"</f>
        <v>01226</v>
      </c>
      <c r="B948" s="1" t="str">
        <f>"حيدر"</f>
        <v>حيدر</v>
      </c>
      <c r="C948" s="1" t="str">
        <f>"مير علايي"</f>
        <v>مير علايي</v>
      </c>
      <c r="D948" s="1" t="str">
        <f t="shared" si="101"/>
        <v>قراردادي بهره بردار</v>
      </c>
      <c r="E948" s="1" t="str">
        <f t="shared" si="102"/>
        <v>پروژه بهره برداري نيروگاه بوشهر</v>
      </c>
      <c r="F948" s="1">
        <v>12747489</v>
      </c>
      <c r="G948" s="1">
        <v>1455125</v>
      </c>
      <c r="H948" s="1">
        <v>0</v>
      </c>
      <c r="I948" s="1">
        <v>8140510</v>
      </c>
      <c r="J948" s="1">
        <v>0</v>
      </c>
      <c r="K948" s="1">
        <v>0</v>
      </c>
      <c r="L948" s="1">
        <v>0</v>
      </c>
      <c r="M948" s="1">
        <v>1000000</v>
      </c>
      <c r="N948" s="1">
        <v>2180590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1387000</v>
      </c>
      <c r="U948" s="1">
        <v>0</v>
      </c>
      <c r="V948" s="1">
        <v>5728110</v>
      </c>
      <c r="W948" s="1">
        <v>1900000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1557564</v>
      </c>
      <c r="AF948" s="1">
        <v>1516881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4014397</v>
      </c>
      <c r="AM948" s="1">
        <v>0</v>
      </c>
      <c r="AN948" s="1">
        <v>0</v>
      </c>
      <c r="AO948" s="1">
        <v>41627666</v>
      </c>
      <c r="AP948" s="1">
        <v>20378502</v>
      </c>
      <c r="AQ948" s="1">
        <v>21249164</v>
      </c>
      <c r="AR948" s="1">
        <v>8022157</v>
      </c>
      <c r="AS948" s="1">
        <v>1203324</v>
      </c>
      <c r="AT948" s="1">
        <f t="shared" si="95"/>
        <v>50853147</v>
      </c>
    </row>
    <row r="949" spans="1:46" x14ac:dyDescent="0.2">
      <c r="A949" s="1" t="str">
        <f>"01227"</f>
        <v>01227</v>
      </c>
      <c r="B949" s="1" t="str">
        <f>"اصغر"</f>
        <v>اصغر</v>
      </c>
      <c r="C949" s="1" t="str">
        <f>"خسروي"</f>
        <v>خسروي</v>
      </c>
      <c r="D949" s="1" t="str">
        <f t="shared" si="101"/>
        <v>قراردادي بهره بردار</v>
      </c>
      <c r="E949" s="1" t="str">
        <f t="shared" si="102"/>
        <v>پروژه بهره برداري نيروگاه بوشهر</v>
      </c>
      <c r="F949" s="1">
        <v>11658728</v>
      </c>
      <c r="G949" s="1">
        <v>0</v>
      </c>
      <c r="H949" s="1">
        <v>0</v>
      </c>
      <c r="I949" s="1">
        <v>7584302</v>
      </c>
      <c r="J949" s="1">
        <v>0</v>
      </c>
      <c r="K949" s="1">
        <v>4620000</v>
      </c>
      <c r="L949" s="1">
        <v>0</v>
      </c>
      <c r="M949" s="1">
        <v>1000000</v>
      </c>
      <c r="N949" s="1">
        <v>2056379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1387000</v>
      </c>
      <c r="U949" s="1">
        <v>0</v>
      </c>
      <c r="V949" s="1">
        <v>5328598</v>
      </c>
      <c r="W949" s="1">
        <v>1900000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1468842</v>
      </c>
      <c r="AF949" s="1">
        <v>1516881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3874742</v>
      </c>
      <c r="AM949" s="1">
        <v>0</v>
      </c>
      <c r="AN949" s="1">
        <v>0</v>
      </c>
      <c r="AO949" s="1">
        <v>42395472</v>
      </c>
      <c r="AP949" s="1">
        <v>11084201</v>
      </c>
      <c r="AQ949" s="1">
        <v>31311271</v>
      </c>
      <c r="AR949" s="1">
        <v>8175718</v>
      </c>
      <c r="AS949" s="1">
        <v>1226358</v>
      </c>
      <c r="AT949" s="1">
        <f t="shared" si="95"/>
        <v>51797548</v>
      </c>
    </row>
    <row r="950" spans="1:46" x14ac:dyDescent="0.2">
      <c r="A950" s="1" t="str">
        <f>"01228"</f>
        <v>01228</v>
      </c>
      <c r="B950" s="1" t="str">
        <f>"پيمان"</f>
        <v>پيمان</v>
      </c>
      <c r="C950" s="1" t="str">
        <f>"قائدي"</f>
        <v>قائدي</v>
      </c>
      <c r="D950" s="1" t="str">
        <f t="shared" si="101"/>
        <v>قراردادي بهره بردار</v>
      </c>
      <c r="E950" s="1" t="str">
        <f t="shared" si="102"/>
        <v>پروژه بهره برداري نيروگاه بوشهر</v>
      </c>
      <c r="F950" s="1">
        <v>12931505</v>
      </c>
      <c r="G950" s="1">
        <v>5906361</v>
      </c>
      <c r="H950" s="1">
        <v>0</v>
      </c>
      <c r="I950" s="1">
        <v>8201767</v>
      </c>
      <c r="J950" s="1">
        <v>0</v>
      </c>
      <c r="K950" s="1">
        <v>0</v>
      </c>
      <c r="L950" s="1">
        <v>0</v>
      </c>
      <c r="M950" s="1">
        <v>1000000</v>
      </c>
      <c r="N950" s="1">
        <v>2244995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1387000</v>
      </c>
      <c r="U950" s="1">
        <v>0</v>
      </c>
      <c r="V950" s="1">
        <v>5812610</v>
      </c>
      <c r="W950" s="1">
        <v>1900000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1603568</v>
      </c>
      <c r="AF950" s="1">
        <v>0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4081212</v>
      </c>
      <c r="AM950" s="1">
        <v>0</v>
      </c>
      <c r="AN950" s="1">
        <v>0</v>
      </c>
      <c r="AO950" s="1">
        <v>45069018</v>
      </c>
      <c r="AP950" s="1">
        <v>5023550</v>
      </c>
      <c r="AQ950" s="1">
        <v>40045468</v>
      </c>
      <c r="AR950" s="1">
        <v>9013804</v>
      </c>
      <c r="AS950" s="1">
        <v>1352071</v>
      </c>
      <c r="AT950" s="1">
        <f t="shared" si="95"/>
        <v>55434893</v>
      </c>
    </row>
    <row r="951" spans="1:46" x14ac:dyDescent="0.2">
      <c r="A951" s="1" t="str">
        <f>"01229"</f>
        <v>01229</v>
      </c>
      <c r="B951" s="1" t="str">
        <f>"ميثم"</f>
        <v>ميثم</v>
      </c>
      <c r="C951" s="1" t="str">
        <f>"دهقاني"</f>
        <v>دهقاني</v>
      </c>
      <c r="D951" s="1" t="str">
        <f t="shared" si="101"/>
        <v>قراردادي بهره بردار</v>
      </c>
      <c r="E951" s="1" t="str">
        <f t="shared" si="102"/>
        <v>پروژه بهره برداري نيروگاه بوشهر</v>
      </c>
      <c r="F951" s="1">
        <v>14949109</v>
      </c>
      <c r="G951" s="1">
        <v>3822415</v>
      </c>
      <c r="H951" s="1">
        <v>0</v>
      </c>
      <c r="I951" s="1">
        <v>10327412</v>
      </c>
      <c r="J951" s="1">
        <v>0</v>
      </c>
      <c r="K951" s="1">
        <v>4620000</v>
      </c>
      <c r="L951" s="1">
        <v>0</v>
      </c>
      <c r="M951" s="1">
        <v>1000000</v>
      </c>
      <c r="N951" s="1">
        <v>2709636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1387000</v>
      </c>
      <c r="U951" s="1">
        <v>0</v>
      </c>
      <c r="V951" s="1">
        <v>6652958</v>
      </c>
      <c r="W951" s="1">
        <v>1900000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1935454</v>
      </c>
      <c r="AF951" s="1">
        <v>1516881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5093957</v>
      </c>
      <c r="AM951" s="1">
        <v>0</v>
      </c>
      <c r="AN951" s="1">
        <v>0</v>
      </c>
      <c r="AO951" s="1">
        <v>55914822</v>
      </c>
      <c r="AP951" s="1">
        <v>25575766</v>
      </c>
      <c r="AQ951" s="1">
        <v>30339056</v>
      </c>
      <c r="AR951" s="1">
        <v>10879588</v>
      </c>
      <c r="AS951" s="1">
        <v>1631938</v>
      </c>
      <c r="AT951" s="1">
        <f t="shared" si="95"/>
        <v>68426348</v>
      </c>
    </row>
    <row r="952" spans="1:46" x14ac:dyDescent="0.2">
      <c r="A952" s="1" t="str">
        <f>"01230"</f>
        <v>01230</v>
      </c>
      <c r="B952" s="1" t="str">
        <f>"محمد شريف"</f>
        <v>محمد شريف</v>
      </c>
      <c r="C952" s="1" t="str">
        <f>"دل آرام"</f>
        <v>دل آرام</v>
      </c>
      <c r="D952" s="1" t="str">
        <f t="shared" si="101"/>
        <v>قراردادي بهره بردار</v>
      </c>
      <c r="E952" s="1" t="str">
        <f t="shared" si="102"/>
        <v>پروژه بهره برداري نيروگاه بوشهر</v>
      </c>
      <c r="F952" s="1">
        <v>23733683</v>
      </c>
      <c r="G952" s="1">
        <v>9874627</v>
      </c>
      <c r="H952" s="1">
        <v>0</v>
      </c>
      <c r="I952" s="1">
        <v>18681461</v>
      </c>
      <c r="J952" s="1">
        <v>0</v>
      </c>
      <c r="K952" s="1">
        <v>0</v>
      </c>
      <c r="L952" s="1">
        <v>0</v>
      </c>
      <c r="M952" s="1">
        <v>1000000</v>
      </c>
      <c r="N952" s="1">
        <v>3635083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1606000</v>
      </c>
      <c r="U952" s="1">
        <v>0</v>
      </c>
      <c r="V952" s="1">
        <v>11565088</v>
      </c>
      <c r="W952" s="1">
        <v>1900000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2596488</v>
      </c>
      <c r="AF952" s="1">
        <v>1516881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6425138</v>
      </c>
      <c r="AM952" s="1">
        <v>0</v>
      </c>
      <c r="AN952" s="1">
        <v>0</v>
      </c>
      <c r="AO952" s="1">
        <v>82534449</v>
      </c>
      <c r="AP952" s="1">
        <v>15314957</v>
      </c>
      <c r="AQ952" s="1">
        <v>67219492</v>
      </c>
      <c r="AR952" s="1">
        <v>16203514</v>
      </c>
      <c r="AS952" s="1">
        <v>2430527</v>
      </c>
      <c r="AT952" s="1">
        <f t="shared" si="95"/>
        <v>101168490</v>
      </c>
    </row>
    <row r="953" spans="1:46" x14ac:dyDescent="0.2">
      <c r="A953" s="1" t="str">
        <f>"01231"</f>
        <v>01231</v>
      </c>
      <c r="B953" s="1" t="str">
        <f>"جواد"</f>
        <v>جواد</v>
      </c>
      <c r="C953" s="1" t="str">
        <f>"سهرابي"</f>
        <v>سهرابي</v>
      </c>
      <c r="D953" s="1" t="str">
        <f t="shared" si="101"/>
        <v>قراردادي بهره بردار</v>
      </c>
      <c r="E953" s="1" t="str">
        <f t="shared" si="102"/>
        <v>پروژه بهره برداري نيروگاه بوشهر</v>
      </c>
      <c r="F953" s="1">
        <v>11621487</v>
      </c>
      <c r="G953" s="1">
        <v>0</v>
      </c>
      <c r="H953" s="1">
        <v>0</v>
      </c>
      <c r="I953" s="1">
        <v>6760841</v>
      </c>
      <c r="J953" s="1">
        <v>0</v>
      </c>
      <c r="K953" s="1">
        <v>4620000</v>
      </c>
      <c r="L953" s="1">
        <v>0</v>
      </c>
      <c r="M953" s="1">
        <v>1000000</v>
      </c>
      <c r="N953" s="1">
        <v>1786489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1387000</v>
      </c>
      <c r="U953" s="1">
        <v>0</v>
      </c>
      <c r="V953" s="1">
        <v>5009004</v>
      </c>
      <c r="W953" s="1">
        <v>1900000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1276063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3600142</v>
      </c>
      <c r="AM953" s="1">
        <v>0</v>
      </c>
      <c r="AN953" s="1">
        <v>0</v>
      </c>
      <c r="AO953" s="1">
        <v>38961026</v>
      </c>
      <c r="AP953" s="1">
        <v>10619950</v>
      </c>
      <c r="AQ953" s="1">
        <v>28341076</v>
      </c>
      <c r="AR953" s="1">
        <v>7792205</v>
      </c>
      <c r="AS953" s="1">
        <v>1168831</v>
      </c>
      <c r="AT953" s="1">
        <f t="shared" si="95"/>
        <v>47922062</v>
      </c>
    </row>
    <row r="954" spans="1:46" x14ac:dyDescent="0.2">
      <c r="A954" s="1" t="str">
        <f>"01232"</f>
        <v>01232</v>
      </c>
      <c r="B954" s="1" t="str">
        <f>"محمد جواد"</f>
        <v>محمد جواد</v>
      </c>
      <c r="C954" s="1" t="str">
        <f>"حيدري"</f>
        <v>حيدري</v>
      </c>
      <c r="D954" s="1" t="str">
        <f t="shared" si="101"/>
        <v>قراردادي بهره بردار</v>
      </c>
      <c r="E954" s="1" t="str">
        <f t="shared" si="102"/>
        <v>پروژه بهره برداري نيروگاه بوشهر</v>
      </c>
      <c r="F954" s="1">
        <v>13108949</v>
      </c>
      <c r="G954" s="1">
        <v>0</v>
      </c>
      <c r="H954" s="1">
        <v>0</v>
      </c>
      <c r="I954" s="1">
        <v>8343771</v>
      </c>
      <c r="J954" s="1">
        <v>0</v>
      </c>
      <c r="K954" s="1">
        <v>3465000</v>
      </c>
      <c r="L954" s="1">
        <v>0</v>
      </c>
      <c r="M954" s="1">
        <v>1000000</v>
      </c>
      <c r="N954" s="1">
        <v>2307101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1387000</v>
      </c>
      <c r="U954" s="1">
        <v>0</v>
      </c>
      <c r="V954" s="1">
        <v>5024064</v>
      </c>
      <c r="W954" s="1">
        <v>1900000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1647929</v>
      </c>
      <c r="AF954" s="1">
        <v>0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4145563</v>
      </c>
      <c r="AM954" s="1">
        <v>0</v>
      </c>
      <c r="AN954" s="1">
        <v>0</v>
      </c>
      <c r="AO954" s="1">
        <v>42329377</v>
      </c>
      <c r="AP954" s="1">
        <v>11168991</v>
      </c>
      <c r="AQ954" s="1">
        <v>31160386</v>
      </c>
      <c r="AR954" s="1">
        <v>8465875</v>
      </c>
      <c r="AS954" s="1">
        <v>1269881</v>
      </c>
      <c r="AT954" s="1">
        <f t="shared" si="95"/>
        <v>52065133</v>
      </c>
    </row>
    <row r="955" spans="1:46" x14ac:dyDescent="0.2">
      <c r="A955" s="1" t="str">
        <f>"01234"</f>
        <v>01234</v>
      </c>
      <c r="B955" s="1" t="str">
        <f>"محسن"</f>
        <v>محسن</v>
      </c>
      <c r="C955" s="1" t="str">
        <f>"نيکنام"</f>
        <v>نيکنام</v>
      </c>
      <c r="D955" s="1" t="str">
        <f>"قراردادي کارگري"</f>
        <v>قراردادي کارگري</v>
      </c>
      <c r="E955" s="1" t="str">
        <f>"پروژه تعميرات نيروگاه بوشهر"</f>
        <v>پروژه تعميرات نيروگاه بوشهر</v>
      </c>
      <c r="F955" s="1">
        <v>8964352</v>
      </c>
      <c r="G955" s="1">
        <v>1729421</v>
      </c>
      <c r="H955" s="1">
        <v>0</v>
      </c>
      <c r="I955" s="1">
        <v>5557898</v>
      </c>
      <c r="J955" s="1">
        <v>0</v>
      </c>
      <c r="K955" s="1">
        <v>0</v>
      </c>
      <c r="L955" s="1">
        <v>7628143</v>
      </c>
      <c r="M955" s="1">
        <v>1000000</v>
      </c>
      <c r="N955" s="1">
        <v>4780987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8080573</v>
      </c>
      <c r="W955" s="1">
        <v>1900000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0</v>
      </c>
      <c r="AF955" s="1">
        <v>3033762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0</v>
      </c>
      <c r="AM955" s="1">
        <v>0</v>
      </c>
      <c r="AN955" s="1">
        <v>0</v>
      </c>
      <c r="AO955" s="1">
        <v>42675136</v>
      </c>
      <c r="AP955" s="1">
        <v>3580920</v>
      </c>
      <c r="AQ955" s="1">
        <v>39094216</v>
      </c>
      <c r="AR955" s="1">
        <v>7928275</v>
      </c>
      <c r="AS955" s="1">
        <v>1189241</v>
      </c>
      <c r="AT955" s="1">
        <f t="shared" si="95"/>
        <v>51792652</v>
      </c>
    </row>
    <row r="956" spans="1:46" x14ac:dyDescent="0.2">
      <c r="A956" s="1" t="str">
        <f>"01235"</f>
        <v>01235</v>
      </c>
      <c r="B956" s="1" t="str">
        <f>"محمد"</f>
        <v>محمد</v>
      </c>
      <c r="C956" s="1" t="str">
        <f>"حسن زاده"</f>
        <v>حسن زاده</v>
      </c>
      <c r="D956" s="1" t="str">
        <f t="shared" ref="D956:D961" si="103">"قراردادي بهره بردار"</f>
        <v>قراردادي بهره بردار</v>
      </c>
      <c r="E956" s="1" t="str">
        <f>"پروژه بهره برداري نيروگاه بوشهر"</f>
        <v>پروژه بهره برداري نيروگاه بوشهر</v>
      </c>
      <c r="F956" s="1">
        <v>18918597</v>
      </c>
      <c r="G956" s="1">
        <v>2594572</v>
      </c>
      <c r="H956" s="1">
        <v>0</v>
      </c>
      <c r="I956" s="1">
        <v>14864931</v>
      </c>
      <c r="J956" s="1">
        <v>0</v>
      </c>
      <c r="K956" s="1">
        <v>5500000</v>
      </c>
      <c r="L956" s="1">
        <v>0</v>
      </c>
      <c r="M956" s="1">
        <v>1000000</v>
      </c>
      <c r="N956" s="1">
        <v>3079201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1387000</v>
      </c>
      <c r="U956" s="1">
        <v>0</v>
      </c>
      <c r="V956" s="1">
        <v>8386640</v>
      </c>
      <c r="W956" s="1">
        <v>1900000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2199429</v>
      </c>
      <c r="AF956" s="1">
        <v>3033762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5078053</v>
      </c>
      <c r="AM956" s="1">
        <v>0</v>
      </c>
      <c r="AN956" s="1">
        <v>0</v>
      </c>
      <c r="AO956" s="1">
        <v>67942185</v>
      </c>
      <c r="AP956" s="1">
        <v>24244756</v>
      </c>
      <c r="AQ956" s="1">
        <v>43697429</v>
      </c>
      <c r="AR956" s="1">
        <v>12981685</v>
      </c>
      <c r="AS956" s="1">
        <v>1947253</v>
      </c>
      <c r="AT956" s="1">
        <f t="shared" si="95"/>
        <v>82871123</v>
      </c>
    </row>
    <row r="957" spans="1:46" x14ac:dyDescent="0.2">
      <c r="A957" s="1" t="str">
        <f>"01236"</f>
        <v>01236</v>
      </c>
      <c r="B957" s="1" t="str">
        <f>"لاله"</f>
        <v>لاله</v>
      </c>
      <c r="C957" s="1" t="str">
        <f>"محمدي"</f>
        <v>محمدي</v>
      </c>
      <c r="D957" s="1" t="str">
        <f t="shared" si="103"/>
        <v>قراردادي بهره بردار</v>
      </c>
      <c r="E957" s="1" t="str">
        <f>"پروژه بهره برداري نيروگاه بوشهر"</f>
        <v>پروژه بهره برداري نيروگاه بوشهر</v>
      </c>
      <c r="F957" s="1">
        <v>15150651</v>
      </c>
      <c r="G957" s="1">
        <v>996705</v>
      </c>
      <c r="H957" s="1">
        <v>0</v>
      </c>
      <c r="I957" s="1">
        <v>9833749</v>
      </c>
      <c r="J957" s="1">
        <v>0</v>
      </c>
      <c r="K957" s="1">
        <v>4125000</v>
      </c>
      <c r="L957" s="1">
        <v>0</v>
      </c>
      <c r="M957" s="1">
        <v>1000000</v>
      </c>
      <c r="N957" s="1">
        <v>2116951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1606000</v>
      </c>
      <c r="U957" s="1">
        <v>0</v>
      </c>
      <c r="V957" s="1">
        <v>3210166</v>
      </c>
      <c r="W957" s="1">
        <v>1900000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1512108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3488199</v>
      </c>
      <c r="AM957" s="1">
        <v>0</v>
      </c>
      <c r="AN957" s="1">
        <v>0</v>
      </c>
      <c r="AO957" s="1">
        <v>44939529</v>
      </c>
      <c r="AP957" s="1">
        <v>14554083</v>
      </c>
      <c r="AQ957" s="1">
        <v>30385446</v>
      </c>
      <c r="AR957" s="1">
        <v>8987906</v>
      </c>
      <c r="AS957" s="1">
        <v>1348186</v>
      </c>
      <c r="AT957" s="1">
        <f t="shared" si="95"/>
        <v>55275621</v>
      </c>
    </row>
    <row r="958" spans="1:46" x14ac:dyDescent="0.2">
      <c r="A958" s="1" t="str">
        <f>"01237"</f>
        <v>01237</v>
      </c>
      <c r="B958" s="1" t="str">
        <f>"اميد"</f>
        <v>اميد</v>
      </c>
      <c r="C958" s="1" t="str">
        <f>"تکين"</f>
        <v>تکين</v>
      </c>
      <c r="D958" s="1" t="str">
        <f t="shared" si="103"/>
        <v>قراردادي بهره بردار</v>
      </c>
      <c r="E958" s="1" t="str">
        <f>"پروژه بهره برداري نيروگاه بوشهر"</f>
        <v>پروژه بهره برداري نيروگاه بوشهر</v>
      </c>
      <c r="F958" s="1">
        <v>13886636</v>
      </c>
      <c r="G958" s="1">
        <v>16758195</v>
      </c>
      <c r="H958" s="1">
        <v>0</v>
      </c>
      <c r="I958" s="1">
        <v>12328502</v>
      </c>
      <c r="J958" s="1">
        <v>0</v>
      </c>
      <c r="K958" s="1">
        <v>4620000</v>
      </c>
      <c r="L958" s="1">
        <v>0</v>
      </c>
      <c r="M958" s="1">
        <v>1000000</v>
      </c>
      <c r="N958" s="1">
        <v>2606127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1606000</v>
      </c>
      <c r="U958" s="1">
        <v>0</v>
      </c>
      <c r="V958" s="1">
        <v>7812091</v>
      </c>
      <c r="W958" s="1">
        <v>1900000</v>
      </c>
      <c r="X958" s="1">
        <v>2015802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1861519</v>
      </c>
      <c r="AF958" s="1">
        <v>1516881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10981702</v>
      </c>
      <c r="AM958" s="1">
        <v>0</v>
      </c>
      <c r="AN958" s="1">
        <v>0</v>
      </c>
      <c r="AO958" s="1">
        <v>78893455</v>
      </c>
      <c r="AP958" s="1">
        <v>56649476</v>
      </c>
      <c r="AQ958" s="1">
        <v>22243979</v>
      </c>
      <c r="AR958" s="1">
        <v>15475315</v>
      </c>
      <c r="AS958" s="1">
        <v>2321297</v>
      </c>
      <c r="AT958" s="1">
        <f t="shared" si="95"/>
        <v>96690067</v>
      </c>
    </row>
    <row r="959" spans="1:46" x14ac:dyDescent="0.2">
      <c r="A959" s="1" t="str">
        <f>"01238"</f>
        <v>01238</v>
      </c>
      <c r="B959" s="1" t="str">
        <f>"محمد امين"</f>
        <v>محمد امين</v>
      </c>
      <c r="C959" s="1" t="str">
        <f>"صمصامي"</f>
        <v>صمصامي</v>
      </c>
      <c r="D959" s="1" t="str">
        <f t="shared" si="103"/>
        <v>قراردادي بهره بردار</v>
      </c>
      <c r="E959" s="1" t="str">
        <f>"پروژه تعميرات نيروگاه بوشهر"</f>
        <v>پروژه تعميرات نيروگاه بوشهر</v>
      </c>
      <c r="F959" s="1">
        <v>17591053</v>
      </c>
      <c r="G959" s="1">
        <v>1976105</v>
      </c>
      <c r="H959" s="1">
        <v>0</v>
      </c>
      <c r="I959" s="1">
        <v>12824198</v>
      </c>
      <c r="J959" s="1">
        <v>0</v>
      </c>
      <c r="K959" s="1">
        <v>5500000</v>
      </c>
      <c r="L959" s="1">
        <v>0</v>
      </c>
      <c r="M959" s="1">
        <v>1000000</v>
      </c>
      <c r="N959" s="1">
        <v>2798577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1387000</v>
      </c>
      <c r="U959" s="1">
        <v>0</v>
      </c>
      <c r="V959" s="1">
        <v>6781653</v>
      </c>
      <c r="W959" s="1">
        <v>1900000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1998983</v>
      </c>
      <c r="AF959" s="1">
        <v>1516881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4679264</v>
      </c>
      <c r="AM959" s="1">
        <v>0</v>
      </c>
      <c r="AN959" s="1">
        <v>0</v>
      </c>
      <c r="AO959" s="1">
        <v>59953714</v>
      </c>
      <c r="AP959" s="1">
        <v>23945289</v>
      </c>
      <c r="AQ959" s="1">
        <v>36008425</v>
      </c>
      <c r="AR959" s="1">
        <v>11687367</v>
      </c>
      <c r="AS959" s="1">
        <v>1753105</v>
      </c>
      <c r="AT959" s="1">
        <f t="shared" si="95"/>
        <v>73394186</v>
      </c>
    </row>
    <row r="960" spans="1:46" x14ac:dyDescent="0.2">
      <c r="A960" s="1" t="str">
        <f>"01239"</f>
        <v>01239</v>
      </c>
      <c r="B960" s="1" t="str">
        <f>"مختار"</f>
        <v>مختار</v>
      </c>
      <c r="C960" s="1" t="str">
        <f>"كانيک زاده"</f>
        <v>كانيک زاده</v>
      </c>
      <c r="D960" s="1" t="str">
        <f t="shared" si="103"/>
        <v>قراردادي بهره بردار</v>
      </c>
      <c r="E960" s="1" t="str">
        <f>"پروژه بهره برداري نيروگاه بوشهر"</f>
        <v>پروژه بهره برداري نيروگاه بوشهر</v>
      </c>
      <c r="F960" s="1">
        <v>18443223</v>
      </c>
      <c r="G960" s="1">
        <v>3901508</v>
      </c>
      <c r="H960" s="1">
        <v>0</v>
      </c>
      <c r="I960" s="1">
        <v>12927901</v>
      </c>
      <c r="J960" s="1">
        <v>0</v>
      </c>
      <c r="K960" s="1">
        <v>4125000</v>
      </c>
      <c r="L960" s="1">
        <v>0</v>
      </c>
      <c r="M960" s="1">
        <v>1000000</v>
      </c>
      <c r="N960" s="1">
        <v>3096836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1387000</v>
      </c>
      <c r="U960" s="1">
        <v>0</v>
      </c>
      <c r="V960" s="1">
        <v>4188632</v>
      </c>
      <c r="W960" s="1">
        <v>1900000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2212026</v>
      </c>
      <c r="AF960" s="1">
        <v>0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5206338</v>
      </c>
      <c r="AM960" s="1">
        <v>0</v>
      </c>
      <c r="AN960" s="1">
        <v>0</v>
      </c>
      <c r="AO960" s="1">
        <v>58388464</v>
      </c>
      <c r="AP960" s="1">
        <v>6194619</v>
      </c>
      <c r="AQ960" s="1">
        <v>52193845</v>
      </c>
      <c r="AR960" s="1">
        <v>11677693</v>
      </c>
      <c r="AS960" s="1">
        <v>1751654</v>
      </c>
      <c r="AT960" s="1">
        <f t="shared" si="95"/>
        <v>71817811</v>
      </c>
    </row>
    <row r="961" spans="1:46" x14ac:dyDescent="0.2">
      <c r="A961" s="1" t="str">
        <f>"01240"</f>
        <v>01240</v>
      </c>
      <c r="B961" s="1" t="str">
        <f>"رضا"</f>
        <v>رضا</v>
      </c>
      <c r="C961" s="1" t="str">
        <f>"كريمي"</f>
        <v>كريمي</v>
      </c>
      <c r="D961" s="1" t="str">
        <f t="shared" si="103"/>
        <v>قراردادي بهره بردار</v>
      </c>
      <c r="E961" s="1" t="str">
        <f>"پروژه بهره برداري نيروگاه بوشهر"</f>
        <v>پروژه بهره برداري نيروگاه بوشهر</v>
      </c>
      <c r="F961" s="1">
        <v>11384895</v>
      </c>
      <c r="G961" s="1">
        <v>1637369</v>
      </c>
      <c r="H961" s="1">
        <v>0</v>
      </c>
      <c r="I961" s="1">
        <v>7830267</v>
      </c>
      <c r="J961" s="1">
        <v>0</v>
      </c>
      <c r="K961" s="1">
        <v>0</v>
      </c>
      <c r="L961" s="1">
        <v>0</v>
      </c>
      <c r="M961" s="1">
        <v>1000000</v>
      </c>
      <c r="N961" s="1">
        <v>1960537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1387000</v>
      </c>
      <c r="U961" s="1">
        <v>0</v>
      </c>
      <c r="V961" s="1">
        <v>2636802</v>
      </c>
      <c r="W961" s="1">
        <v>1900000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1400384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3791934</v>
      </c>
      <c r="AM961" s="1">
        <v>0</v>
      </c>
      <c r="AN961" s="1">
        <v>0</v>
      </c>
      <c r="AO961" s="1">
        <v>34929188</v>
      </c>
      <c r="AP961" s="1">
        <v>24311508</v>
      </c>
      <c r="AQ961" s="1">
        <v>10617680</v>
      </c>
      <c r="AR961" s="1">
        <v>6985838</v>
      </c>
      <c r="AS961" s="1">
        <v>1047876</v>
      </c>
      <c r="AT961" s="1">
        <f t="shared" si="95"/>
        <v>42962902</v>
      </c>
    </row>
    <row r="962" spans="1:46" x14ac:dyDescent="0.2">
      <c r="A962" s="1" t="str">
        <f>"01241"</f>
        <v>01241</v>
      </c>
      <c r="B962" s="1" t="str">
        <f>"عباس"</f>
        <v>عباس</v>
      </c>
      <c r="C962" s="1" t="str">
        <f>"احمدي"</f>
        <v>احمدي</v>
      </c>
      <c r="D962" s="1" t="str">
        <f t="shared" ref="D962:D979" si="104">"قراردادي کارگري"</f>
        <v>قراردادي کارگري</v>
      </c>
      <c r="E962" s="1" t="str">
        <f>"پروژه بهره برداري نيروگاه بوشهر"</f>
        <v>پروژه بهره برداري نيروگاه بوشهر</v>
      </c>
      <c r="F962" s="1">
        <v>15310569</v>
      </c>
      <c r="G962" s="1">
        <v>0</v>
      </c>
      <c r="H962" s="1">
        <v>0</v>
      </c>
      <c r="I962" s="1">
        <v>9412497</v>
      </c>
      <c r="J962" s="1">
        <v>0</v>
      </c>
      <c r="K962" s="1">
        <v>0</v>
      </c>
      <c r="L962" s="1">
        <v>0</v>
      </c>
      <c r="M962" s="1">
        <v>1000000</v>
      </c>
      <c r="N962" s="1">
        <v>2172922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3198206</v>
      </c>
      <c r="W962" s="1">
        <v>1900000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1552087</v>
      </c>
      <c r="AF962" s="1">
        <v>0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3533983</v>
      </c>
      <c r="AM962" s="1">
        <v>0</v>
      </c>
      <c r="AN962" s="1">
        <v>0</v>
      </c>
      <c r="AO962" s="1">
        <v>38080264</v>
      </c>
      <c r="AP962" s="1">
        <v>3023083</v>
      </c>
      <c r="AQ962" s="1">
        <v>35057181</v>
      </c>
      <c r="AR962" s="1">
        <v>7616053</v>
      </c>
      <c r="AS962" s="1">
        <v>1142408</v>
      </c>
      <c r="AT962" s="1">
        <f t="shared" si="95"/>
        <v>46838725</v>
      </c>
    </row>
    <row r="963" spans="1:46" x14ac:dyDescent="0.2">
      <c r="A963" s="1" t="str">
        <f>"01242"</f>
        <v>01242</v>
      </c>
      <c r="B963" s="1" t="str">
        <f>"مسعود"</f>
        <v>مسعود</v>
      </c>
      <c r="C963" s="1" t="str">
        <f>"احمدي باغکي"</f>
        <v>احمدي باغکي</v>
      </c>
      <c r="D963" s="1" t="str">
        <f t="shared" si="104"/>
        <v>قراردادي کارگري</v>
      </c>
      <c r="E963" s="1" t="str">
        <f t="shared" ref="E963:E979" si="105">"پروژه تعميرات نيروگاه بوشهر"</f>
        <v>پروژه تعميرات نيروگاه بوشهر</v>
      </c>
      <c r="F963" s="1">
        <v>5412785</v>
      </c>
      <c r="G963" s="1">
        <v>0</v>
      </c>
      <c r="H963" s="1">
        <v>0</v>
      </c>
      <c r="I963" s="1">
        <v>3247671</v>
      </c>
      <c r="J963" s="1">
        <v>0</v>
      </c>
      <c r="K963" s="1">
        <v>0</v>
      </c>
      <c r="L963" s="1">
        <v>7672721</v>
      </c>
      <c r="M963" s="1">
        <v>1000000</v>
      </c>
      <c r="N963" s="1">
        <v>2886819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7331498</v>
      </c>
      <c r="W963" s="1">
        <v>1900000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0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0</v>
      </c>
      <c r="AM963" s="1">
        <v>0</v>
      </c>
      <c r="AN963" s="1">
        <v>0</v>
      </c>
      <c r="AO963" s="1">
        <v>29451494</v>
      </c>
      <c r="AP963" s="1">
        <v>4067605</v>
      </c>
      <c r="AQ963" s="1">
        <v>25383889</v>
      </c>
      <c r="AR963" s="1">
        <v>5890299</v>
      </c>
      <c r="AS963" s="1">
        <v>883545</v>
      </c>
      <c r="AT963" s="1">
        <f t="shared" ref="AT963:AT1026" si="106">AO963+AR963+AS963</f>
        <v>36225338</v>
      </c>
    </row>
    <row r="964" spans="1:46" x14ac:dyDescent="0.2">
      <c r="A964" s="1" t="str">
        <f>"01244"</f>
        <v>01244</v>
      </c>
      <c r="B964" s="1" t="str">
        <f>"مهدي"</f>
        <v>مهدي</v>
      </c>
      <c r="C964" s="1" t="str">
        <f>"باروني"</f>
        <v>باروني</v>
      </c>
      <c r="D964" s="1" t="str">
        <f t="shared" si="104"/>
        <v>قراردادي کارگري</v>
      </c>
      <c r="E964" s="1" t="str">
        <f t="shared" si="105"/>
        <v>پروژه تعميرات نيروگاه بوشهر</v>
      </c>
      <c r="F964" s="1">
        <v>6645459</v>
      </c>
      <c r="G964" s="1">
        <v>0</v>
      </c>
      <c r="H964" s="1">
        <v>0</v>
      </c>
      <c r="I964" s="1">
        <v>3987276</v>
      </c>
      <c r="J964" s="1">
        <v>0</v>
      </c>
      <c r="K964" s="1">
        <v>0</v>
      </c>
      <c r="L964" s="1">
        <v>7672721</v>
      </c>
      <c r="M964" s="1">
        <v>1000000</v>
      </c>
      <c r="N964" s="1">
        <v>3544244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4720810</v>
      </c>
      <c r="W964" s="1">
        <v>1900000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0</v>
      </c>
      <c r="AM964" s="1">
        <v>0</v>
      </c>
      <c r="AN964" s="1">
        <v>0</v>
      </c>
      <c r="AO964" s="1">
        <v>29470510</v>
      </c>
      <c r="AP964" s="1">
        <v>2068936</v>
      </c>
      <c r="AQ964" s="1">
        <v>27401574</v>
      </c>
      <c r="AR964" s="1">
        <v>5894102</v>
      </c>
      <c r="AS964" s="1">
        <v>884115</v>
      </c>
      <c r="AT964" s="1">
        <f t="shared" si="106"/>
        <v>36248727</v>
      </c>
    </row>
    <row r="965" spans="1:46" x14ac:dyDescent="0.2">
      <c r="A965" s="1" t="str">
        <f>"01245"</f>
        <v>01245</v>
      </c>
      <c r="B965" s="1" t="str">
        <f>"محمد"</f>
        <v>محمد</v>
      </c>
      <c r="C965" s="1" t="str">
        <f>"براشکه"</f>
        <v>براشکه</v>
      </c>
      <c r="D965" s="1" t="str">
        <f t="shared" si="104"/>
        <v>قراردادي کارگري</v>
      </c>
      <c r="E965" s="1" t="str">
        <f t="shared" si="105"/>
        <v>پروژه تعميرات نيروگاه بوشهر</v>
      </c>
      <c r="F965" s="1">
        <v>5876564</v>
      </c>
      <c r="G965" s="1">
        <v>0</v>
      </c>
      <c r="H965" s="1">
        <v>0</v>
      </c>
      <c r="I965" s="1">
        <v>3525938</v>
      </c>
      <c r="J965" s="1">
        <v>0</v>
      </c>
      <c r="K965" s="1">
        <v>0</v>
      </c>
      <c r="L965" s="1">
        <v>7672721</v>
      </c>
      <c r="M965" s="1">
        <v>1000000</v>
      </c>
      <c r="N965" s="1">
        <v>3134168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2320605</v>
      </c>
      <c r="W965" s="1">
        <v>1900000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0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0</v>
      </c>
      <c r="AM965" s="1">
        <v>0</v>
      </c>
      <c r="AN965" s="1">
        <v>0</v>
      </c>
      <c r="AO965" s="1">
        <v>25429996</v>
      </c>
      <c r="AP965" s="1">
        <v>4126934</v>
      </c>
      <c r="AQ965" s="1">
        <v>21303062</v>
      </c>
      <c r="AR965" s="1">
        <v>5085999</v>
      </c>
      <c r="AS965" s="1">
        <v>762900</v>
      </c>
      <c r="AT965" s="1">
        <f t="shared" si="106"/>
        <v>31278895</v>
      </c>
    </row>
    <row r="966" spans="1:46" x14ac:dyDescent="0.2">
      <c r="A966" s="1" t="str">
        <f>"01246"</f>
        <v>01246</v>
      </c>
      <c r="B966" s="1" t="str">
        <f>"دانيال"</f>
        <v>دانيال</v>
      </c>
      <c r="C966" s="1" t="str">
        <f>"برزگر"</f>
        <v>برزگر</v>
      </c>
      <c r="D966" s="1" t="str">
        <f t="shared" si="104"/>
        <v>قراردادي کارگري</v>
      </c>
      <c r="E966" s="1" t="str">
        <f t="shared" si="105"/>
        <v>پروژه تعميرات نيروگاه بوشهر</v>
      </c>
      <c r="F966" s="1">
        <v>5565343</v>
      </c>
      <c r="G966" s="1">
        <v>1345155</v>
      </c>
      <c r="H966" s="1">
        <v>0</v>
      </c>
      <c r="I966" s="1">
        <v>3339206</v>
      </c>
      <c r="J966" s="1">
        <v>0</v>
      </c>
      <c r="K966" s="1">
        <v>0</v>
      </c>
      <c r="L966" s="1">
        <v>7672721</v>
      </c>
      <c r="M966" s="1">
        <v>1000000</v>
      </c>
      <c r="N966" s="1">
        <v>2968183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4283002</v>
      </c>
      <c r="W966" s="1">
        <v>1900000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2931818</v>
      </c>
      <c r="AE966" s="1">
        <v>0</v>
      </c>
      <c r="AF966" s="1">
        <v>0</v>
      </c>
      <c r="AG966" s="1">
        <v>0</v>
      </c>
      <c r="AH966" s="1">
        <v>0</v>
      </c>
      <c r="AI966" s="1">
        <v>0</v>
      </c>
      <c r="AJ966" s="1">
        <v>3228371</v>
      </c>
      <c r="AK966" s="1">
        <v>0</v>
      </c>
      <c r="AL966" s="1">
        <v>0</v>
      </c>
      <c r="AM966" s="1">
        <v>0</v>
      </c>
      <c r="AN966" s="1">
        <v>0</v>
      </c>
      <c r="AO966" s="1">
        <v>34233799</v>
      </c>
      <c r="AP966" s="1">
        <v>3278899</v>
      </c>
      <c r="AQ966" s="1">
        <v>30954900</v>
      </c>
      <c r="AR966" s="1">
        <v>6846760</v>
      </c>
      <c r="AS966" s="1">
        <v>1027014</v>
      </c>
      <c r="AT966" s="1">
        <f t="shared" si="106"/>
        <v>42107573</v>
      </c>
    </row>
    <row r="967" spans="1:46" x14ac:dyDescent="0.2">
      <c r="A967" s="1" t="str">
        <f>"01247"</f>
        <v>01247</v>
      </c>
      <c r="B967" s="1" t="str">
        <f>"ميثم"</f>
        <v>ميثم</v>
      </c>
      <c r="C967" s="1" t="str">
        <f>"بلاغي"</f>
        <v>بلاغي</v>
      </c>
      <c r="D967" s="1" t="str">
        <f t="shared" si="104"/>
        <v>قراردادي کارگري</v>
      </c>
      <c r="E967" s="1" t="str">
        <f t="shared" si="105"/>
        <v>پروژه تعميرات نيروگاه بوشهر</v>
      </c>
      <c r="F967" s="1">
        <v>5638571</v>
      </c>
      <c r="G967" s="1">
        <v>0</v>
      </c>
      <c r="H967" s="1">
        <v>0</v>
      </c>
      <c r="I967" s="1">
        <v>3383143</v>
      </c>
      <c r="J967" s="1">
        <v>0</v>
      </c>
      <c r="K967" s="1">
        <v>0</v>
      </c>
      <c r="L967" s="1">
        <v>7672721</v>
      </c>
      <c r="M967" s="1">
        <v>1000000</v>
      </c>
      <c r="N967" s="1">
        <v>3007238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4312685</v>
      </c>
      <c r="W967" s="1">
        <v>1900000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0</v>
      </c>
      <c r="AM967" s="1">
        <v>0</v>
      </c>
      <c r="AN967" s="1">
        <v>0</v>
      </c>
      <c r="AO967" s="1">
        <v>26914358</v>
      </c>
      <c r="AP967" s="1">
        <v>1890005</v>
      </c>
      <c r="AQ967" s="1">
        <v>25024353</v>
      </c>
      <c r="AR967" s="1">
        <v>5382872</v>
      </c>
      <c r="AS967" s="1">
        <v>807431</v>
      </c>
      <c r="AT967" s="1">
        <f t="shared" si="106"/>
        <v>33104661</v>
      </c>
    </row>
    <row r="968" spans="1:46" x14ac:dyDescent="0.2">
      <c r="A968" s="1" t="str">
        <f>"01249"</f>
        <v>01249</v>
      </c>
      <c r="B968" s="1" t="str">
        <f>"محمدرضا"</f>
        <v>محمدرضا</v>
      </c>
      <c r="C968" s="1" t="str">
        <f>"پورجماد"</f>
        <v>پورجماد</v>
      </c>
      <c r="D968" s="1" t="str">
        <f t="shared" si="104"/>
        <v>قراردادي کارگري</v>
      </c>
      <c r="E968" s="1" t="str">
        <f t="shared" si="105"/>
        <v>پروژه تعميرات نيروگاه بوشهر</v>
      </c>
      <c r="F968" s="1">
        <v>6322035</v>
      </c>
      <c r="G968" s="1">
        <v>0</v>
      </c>
      <c r="H968" s="1">
        <v>0</v>
      </c>
      <c r="I968" s="1">
        <v>3793221</v>
      </c>
      <c r="J968" s="1">
        <v>0</v>
      </c>
      <c r="K968" s="1">
        <v>0</v>
      </c>
      <c r="L968" s="1">
        <v>7672721</v>
      </c>
      <c r="M968" s="1">
        <v>1000000</v>
      </c>
      <c r="N968" s="1">
        <v>3371752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7971611</v>
      </c>
      <c r="W968" s="1">
        <v>1900000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3033762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0</v>
      </c>
      <c r="AM968" s="1">
        <v>0</v>
      </c>
      <c r="AN968" s="1">
        <v>0</v>
      </c>
      <c r="AO968" s="1">
        <v>35065102</v>
      </c>
      <c r="AP968" s="1">
        <v>2340485</v>
      </c>
      <c r="AQ968" s="1">
        <v>32724617</v>
      </c>
      <c r="AR968" s="1">
        <v>6406268</v>
      </c>
      <c r="AS968" s="1">
        <v>960940</v>
      </c>
      <c r="AT968" s="1">
        <f t="shared" si="106"/>
        <v>42432310</v>
      </c>
    </row>
    <row r="969" spans="1:46" x14ac:dyDescent="0.2">
      <c r="A969" s="1" t="str">
        <f>"01250"</f>
        <v>01250</v>
      </c>
      <c r="B969" s="1" t="str">
        <f>"حيدر"</f>
        <v>حيدر</v>
      </c>
      <c r="C969" s="1" t="str">
        <f>"پورمحمد"</f>
        <v>پورمحمد</v>
      </c>
      <c r="D969" s="1" t="str">
        <f t="shared" si="104"/>
        <v>قراردادي کارگري</v>
      </c>
      <c r="E969" s="1" t="str">
        <f t="shared" si="105"/>
        <v>پروژه تعميرات نيروگاه بوشهر</v>
      </c>
      <c r="F969" s="1">
        <v>5540934</v>
      </c>
      <c r="G969" s="1">
        <v>0</v>
      </c>
      <c r="H969" s="1">
        <v>0</v>
      </c>
      <c r="I969" s="1">
        <v>3324560</v>
      </c>
      <c r="J969" s="1">
        <v>0</v>
      </c>
      <c r="K969" s="1">
        <v>0</v>
      </c>
      <c r="L969" s="1">
        <v>7672721</v>
      </c>
      <c r="M969" s="1">
        <v>1000000</v>
      </c>
      <c r="N969" s="1">
        <v>2955165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4273109</v>
      </c>
      <c r="W969" s="1">
        <v>1900000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1516881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0</v>
      </c>
      <c r="AO969" s="1">
        <v>28183370</v>
      </c>
      <c r="AP969" s="1">
        <v>1872654</v>
      </c>
      <c r="AQ969" s="1">
        <v>26310716</v>
      </c>
      <c r="AR969" s="1">
        <v>5333298</v>
      </c>
      <c r="AS969" s="1">
        <v>799995</v>
      </c>
      <c r="AT969" s="1">
        <f t="shared" si="106"/>
        <v>34316663</v>
      </c>
    </row>
    <row r="970" spans="1:46" x14ac:dyDescent="0.2">
      <c r="A970" s="1" t="str">
        <f>"01252"</f>
        <v>01252</v>
      </c>
      <c r="B970" s="1" t="str">
        <f>"امراله"</f>
        <v>امراله</v>
      </c>
      <c r="C970" s="1" t="str">
        <f>"ثابت لقب"</f>
        <v>ثابت لقب</v>
      </c>
      <c r="D970" s="1" t="str">
        <f t="shared" si="104"/>
        <v>قراردادي کارگري</v>
      </c>
      <c r="E970" s="1" t="str">
        <f t="shared" si="105"/>
        <v>پروژه تعميرات نيروگاه بوشهر</v>
      </c>
      <c r="F970" s="1">
        <v>6804121</v>
      </c>
      <c r="G970" s="1">
        <v>0</v>
      </c>
      <c r="H970" s="1">
        <v>0</v>
      </c>
      <c r="I970" s="1">
        <v>4082473</v>
      </c>
      <c r="J970" s="1">
        <v>0</v>
      </c>
      <c r="K970" s="1">
        <v>0</v>
      </c>
      <c r="L970" s="1">
        <v>7672721</v>
      </c>
      <c r="M970" s="1">
        <v>1000000</v>
      </c>
      <c r="N970" s="1">
        <v>3628865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7303605</v>
      </c>
      <c r="W970" s="1">
        <v>1900000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0</v>
      </c>
      <c r="AF970" s="1">
        <v>0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0</v>
      </c>
      <c r="AM970" s="1">
        <v>0</v>
      </c>
      <c r="AN970" s="1">
        <v>0</v>
      </c>
      <c r="AO970" s="1">
        <v>32391785</v>
      </c>
      <c r="AP970" s="1">
        <v>2273425</v>
      </c>
      <c r="AQ970" s="1">
        <v>30118360</v>
      </c>
      <c r="AR970" s="1">
        <v>6478357</v>
      </c>
      <c r="AS970" s="1">
        <v>971754</v>
      </c>
      <c r="AT970" s="1">
        <f t="shared" si="106"/>
        <v>39841896</v>
      </c>
    </row>
    <row r="971" spans="1:46" x14ac:dyDescent="0.2">
      <c r="A971" s="1" t="str">
        <f>"01255"</f>
        <v>01255</v>
      </c>
      <c r="B971" s="1" t="str">
        <f>"سيد جعفر"</f>
        <v>سيد جعفر</v>
      </c>
      <c r="C971" s="1" t="str">
        <f>"حسيني"</f>
        <v>حسيني</v>
      </c>
      <c r="D971" s="1" t="str">
        <f t="shared" si="104"/>
        <v>قراردادي کارگري</v>
      </c>
      <c r="E971" s="1" t="str">
        <f t="shared" si="105"/>
        <v>پروژه تعميرات نيروگاه بوشهر</v>
      </c>
      <c r="F971" s="1">
        <v>6187783</v>
      </c>
      <c r="G971" s="1">
        <v>0</v>
      </c>
      <c r="H971" s="1">
        <v>0</v>
      </c>
      <c r="I971" s="1">
        <v>3712670</v>
      </c>
      <c r="J971" s="1">
        <v>0</v>
      </c>
      <c r="K971" s="1">
        <v>0</v>
      </c>
      <c r="L971" s="1">
        <v>7672721</v>
      </c>
      <c r="M971" s="1">
        <v>1000000</v>
      </c>
      <c r="N971" s="1">
        <v>3300153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7877097</v>
      </c>
      <c r="W971" s="1">
        <v>1900000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0</v>
      </c>
      <c r="AF971" s="1">
        <v>1516881</v>
      </c>
      <c r="AG971" s="1">
        <v>0</v>
      </c>
      <c r="AH971" s="1">
        <v>0</v>
      </c>
      <c r="AI971" s="1">
        <v>5000000</v>
      </c>
      <c r="AJ971" s="1">
        <v>0</v>
      </c>
      <c r="AK971" s="1">
        <v>0</v>
      </c>
      <c r="AL971" s="1">
        <v>0</v>
      </c>
      <c r="AM971" s="1">
        <v>0</v>
      </c>
      <c r="AN971" s="1">
        <v>0</v>
      </c>
      <c r="AO971" s="1">
        <v>38167305</v>
      </c>
      <c r="AP971" s="1">
        <v>2626708</v>
      </c>
      <c r="AQ971" s="1">
        <v>35540597</v>
      </c>
      <c r="AR971" s="1">
        <v>6330085</v>
      </c>
      <c r="AS971" s="1">
        <v>949513</v>
      </c>
      <c r="AT971" s="1">
        <f t="shared" si="106"/>
        <v>45446903</v>
      </c>
    </row>
    <row r="972" spans="1:46" x14ac:dyDescent="0.2">
      <c r="A972" s="1" t="str">
        <f>"01256"</f>
        <v>01256</v>
      </c>
      <c r="B972" s="1" t="str">
        <f>"احمد"</f>
        <v>احمد</v>
      </c>
      <c r="C972" s="1" t="str">
        <f>"حسيني ملائي"</f>
        <v>حسيني ملائي</v>
      </c>
      <c r="D972" s="1" t="str">
        <f t="shared" si="104"/>
        <v>قراردادي کارگري</v>
      </c>
      <c r="E972" s="1" t="str">
        <f t="shared" si="105"/>
        <v>پروژه تعميرات نيروگاه بوشهر</v>
      </c>
      <c r="F972" s="1">
        <v>5821642</v>
      </c>
      <c r="G972" s="1">
        <v>0</v>
      </c>
      <c r="H972" s="1">
        <v>0</v>
      </c>
      <c r="I972" s="1">
        <v>3492985</v>
      </c>
      <c r="J972" s="1">
        <v>0</v>
      </c>
      <c r="K972" s="1">
        <v>0</v>
      </c>
      <c r="L972" s="1">
        <v>7672721</v>
      </c>
      <c r="M972" s="1">
        <v>1000000</v>
      </c>
      <c r="N972" s="1">
        <v>3104875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4386890</v>
      </c>
      <c r="W972" s="1">
        <v>1900000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1516881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0</v>
      </c>
      <c r="AM972" s="1">
        <v>0</v>
      </c>
      <c r="AN972" s="1">
        <v>0</v>
      </c>
      <c r="AO972" s="1">
        <v>28895994</v>
      </c>
      <c r="AP972" s="1">
        <v>1922538</v>
      </c>
      <c r="AQ972" s="1">
        <v>26973456</v>
      </c>
      <c r="AR972" s="1">
        <v>5475823</v>
      </c>
      <c r="AS972" s="1">
        <v>821373</v>
      </c>
      <c r="AT972" s="1">
        <f t="shared" si="106"/>
        <v>35193190</v>
      </c>
    </row>
    <row r="973" spans="1:46" x14ac:dyDescent="0.2">
      <c r="A973" s="1" t="str">
        <f>"01259"</f>
        <v>01259</v>
      </c>
      <c r="B973" s="1" t="str">
        <f>"علي"</f>
        <v>علي</v>
      </c>
      <c r="C973" s="1" t="str">
        <f>"شمسائي"</f>
        <v>شمسائي</v>
      </c>
      <c r="D973" s="1" t="str">
        <f t="shared" si="104"/>
        <v>قراردادي کارگري</v>
      </c>
      <c r="E973" s="1" t="str">
        <f t="shared" si="105"/>
        <v>پروژه تعميرات نيروگاه بوشهر</v>
      </c>
      <c r="F973" s="1">
        <v>5699595</v>
      </c>
      <c r="G973" s="1">
        <v>0</v>
      </c>
      <c r="H973" s="1">
        <v>0</v>
      </c>
      <c r="I973" s="1">
        <v>3419757</v>
      </c>
      <c r="J973" s="1">
        <v>0</v>
      </c>
      <c r="K973" s="1">
        <v>0</v>
      </c>
      <c r="L973" s="1">
        <v>7672721</v>
      </c>
      <c r="M973" s="1">
        <v>1000000</v>
      </c>
      <c r="N973" s="1">
        <v>3039786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7533412</v>
      </c>
      <c r="W973" s="1">
        <v>1900000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0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0</v>
      </c>
      <c r="AM973" s="1">
        <v>0</v>
      </c>
      <c r="AN973" s="1">
        <v>0</v>
      </c>
      <c r="AO973" s="1">
        <v>30265271</v>
      </c>
      <c r="AP973" s="1">
        <v>3334569</v>
      </c>
      <c r="AQ973" s="1">
        <v>26930702</v>
      </c>
      <c r="AR973" s="1">
        <v>6053054</v>
      </c>
      <c r="AS973" s="1">
        <v>907958</v>
      </c>
      <c r="AT973" s="1">
        <f t="shared" si="106"/>
        <v>37226283</v>
      </c>
    </row>
    <row r="974" spans="1:46" x14ac:dyDescent="0.2">
      <c r="A974" s="1" t="str">
        <f>"01260"</f>
        <v>01260</v>
      </c>
      <c r="B974" s="1" t="str">
        <f>"سيد علي"</f>
        <v>سيد علي</v>
      </c>
      <c r="C974" s="1" t="str">
        <f>"عسکري"</f>
        <v>عسکري</v>
      </c>
      <c r="D974" s="1" t="str">
        <f t="shared" si="104"/>
        <v>قراردادي کارگري</v>
      </c>
      <c r="E974" s="1" t="str">
        <f t="shared" si="105"/>
        <v>پروژه تعميرات نيروگاه بوشهر</v>
      </c>
      <c r="F974" s="1">
        <v>5669083</v>
      </c>
      <c r="G974" s="1">
        <v>558197</v>
      </c>
      <c r="H974" s="1">
        <v>0</v>
      </c>
      <c r="I974" s="1">
        <v>3401450</v>
      </c>
      <c r="J974" s="1">
        <v>0</v>
      </c>
      <c r="K974" s="1">
        <v>0</v>
      </c>
      <c r="L974" s="1">
        <v>7672721</v>
      </c>
      <c r="M974" s="1">
        <v>1000000</v>
      </c>
      <c r="N974" s="1">
        <v>3023511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6601395</v>
      </c>
      <c r="W974" s="1">
        <v>1900000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0</v>
      </c>
      <c r="AM974" s="1">
        <v>0</v>
      </c>
      <c r="AN974" s="1">
        <v>0</v>
      </c>
      <c r="AO974" s="1">
        <v>29826357</v>
      </c>
      <c r="AP974" s="1">
        <v>20064444</v>
      </c>
      <c r="AQ974" s="1">
        <v>9761913</v>
      </c>
      <c r="AR974" s="1">
        <v>5965271</v>
      </c>
      <c r="AS974" s="1">
        <v>894791</v>
      </c>
      <c r="AT974" s="1">
        <f t="shared" si="106"/>
        <v>36686419</v>
      </c>
    </row>
    <row r="975" spans="1:46" x14ac:dyDescent="0.2">
      <c r="A975" s="1" t="str">
        <f>"01262"</f>
        <v>01262</v>
      </c>
      <c r="B975" s="1" t="str">
        <f>"حميد"</f>
        <v>حميد</v>
      </c>
      <c r="C975" s="1" t="str">
        <f>"فرريزي"</f>
        <v>فرريزي</v>
      </c>
      <c r="D975" s="1" t="str">
        <f t="shared" si="104"/>
        <v>قراردادي کارگري</v>
      </c>
      <c r="E975" s="1" t="str">
        <f t="shared" si="105"/>
        <v>پروژه تعميرات نيروگاه بوشهر</v>
      </c>
      <c r="F975" s="1">
        <v>6688176</v>
      </c>
      <c r="G975" s="1">
        <v>5082986</v>
      </c>
      <c r="H975" s="1">
        <v>0</v>
      </c>
      <c r="I975" s="1">
        <v>4012906</v>
      </c>
      <c r="J975" s="1">
        <v>0</v>
      </c>
      <c r="K975" s="1">
        <v>0</v>
      </c>
      <c r="L975" s="1">
        <v>7672721</v>
      </c>
      <c r="M975" s="1">
        <v>1000000</v>
      </c>
      <c r="N975" s="1">
        <v>3567027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4738124</v>
      </c>
      <c r="W975" s="1">
        <v>1900000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3033762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1">
        <v>0</v>
      </c>
      <c r="AO975" s="1">
        <v>37695702</v>
      </c>
      <c r="AP975" s="1">
        <v>2769273</v>
      </c>
      <c r="AQ975" s="1">
        <v>34926429</v>
      </c>
      <c r="AR975" s="1">
        <v>6932388</v>
      </c>
      <c r="AS975" s="1">
        <v>1039858</v>
      </c>
      <c r="AT975" s="1">
        <f t="shared" si="106"/>
        <v>45667948</v>
      </c>
    </row>
    <row r="976" spans="1:46" x14ac:dyDescent="0.2">
      <c r="A976" s="1" t="str">
        <f>"01263"</f>
        <v>01263</v>
      </c>
      <c r="B976" s="1" t="str">
        <f>"حسين"</f>
        <v>حسين</v>
      </c>
      <c r="C976" s="1" t="str">
        <f>"فقيه"</f>
        <v>فقيه</v>
      </c>
      <c r="D976" s="1" t="str">
        <f t="shared" si="104"/>
        <v>قراردادي کارگري</v>
      </c>
      <c r="E976" s="1" t="str">
        <f t="shared" si="105"/>
        <v>پروژه تعميرات نيروگاه بوشهر</v>
      </c>
      <c r="F976" s="1">
        <v>5809437</v>
      </c>
      <c r="G976" s="1">
        <v>0</v>
      </c>
      <c r="H976" s="1">
        <v>0</v>
      </c>
      <c r="I976" s="1">
        <v>3485663</v>
      </c>
      <c r="J976" s="1">
        <v>0</v>
      </c>
      <c r="K976" s="1">
        <v>0</v>
      </c>
      <c r="L976" s="1">
        <v>7672721</v>
      </c>
      <c r="M976" s="1">
        <v>1000000</v>
      </c>
      <c r="N976" s="1">
        <v>3098366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7610742</v>
      </c>
      <c r="W976" s="1">
        <v>1900000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1">
        <v>0</v>
      </c>
      <c r="AO976" s="1">
        <v>30576929</v>
      </c>
      <c r="AP976" s="1">
        <v>2146385</v>
      </c>
      <c r="AQ976" s="1">
        <v>28430544</v>
      </c>
      <c r="AR976" s="1">
        <v>6115386</v>
      </c>
      <c r="AS976" s="1">
        <v>917308</v>
      </c>
      <c r="AT976" s="1">
        <f t="shared" si="106"/>
        <v>37609623</v>
      </c>
    </row>
    <row r="977" spans="1:46" x14ac:dyDescent="0.2">
      <c r="A977" s="1" t="str">
        <f>"01264"</f>
        <v>01264</v>
      </c>
      <c r="B977" s="1" t="str">
        <f>"محمد علي"</f>
        <v>محمد علي</v>
      </c>
      <c r="C977" s="1" t="str">
        <f>"قناعت زاده"</f>
        <v>قناعت زاده</v>
      </c>
      <c r="D977" s="1" t="str">
        <f t="shared" si="104"/>
        <v>قراردادي کارگري</v>
      </c>
      <c r="E977" s="1" t="str">
        <f t="shared" si="105"/>
        <v>پروژه تعميرات نيروگاه بوشهر</v>
      </c>
      <c r="F977" s="1">
        <v>6041327</v>
      </c>
      <c r="G977" s="1">
        <v>0</v>
      </c>
      <c r="H977" s="1">
        <v>0</v>
      </c>
      <c r="I977" s="1">
        <v>3624796</v>
      </c>
      <c r="J977" s="1">
        <v>0</v>
      </c>
      <c r="K977" s="1">
        <v>0</v>
      </c>
      <c r="L977" s="1">
        <v>7672721</v>
      </c>
      <c r="M977" s="1">
        <v>1000000</v>
      </c>
      <c r="N977" s="1">
        <v>3222042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7773992</v>
      </c>
      <c r="W977" s="1">
        <v>1900000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0</v>
      </c>
      <c r="AO977" s="1">
        <v>31234878</v>
      </c>
      <c r="AP977" s="1">
        <v>4192441</v>
      </c>
      <c r="AQ977" s="1">
        <v>27042437</v>
      </c>
      <c r="AR977" s="1">
        <v>6246976</v>
      </c>
      <c r="AS977" s="1">
        <v>937046</v>
      </c>
      <c r="AT977" s="1">
        <f t="shared" si="106"/>
        <v>38418900</v>
      </c>
    </row>
    <row r="978" spans="1:46" x14ac:dyDescent="0.2">
      <c r="A978" s="1" t="str">
        <f>"01266"</f>
        <v>01266</v>
      </c>
      <c r="B978" s="1" t="str">
        <f>"مجيد"</f>
        <v>مجيد</v>
      </c>
      <c r="C978" s="1" t="str">
        <f>"ماندني زاده"</f>
        <v>ماندني زاده</v>
      </c>
      <c r="D978" s="1" t="str">
        <f t="shared" si="104"/>
        <v>قراردادي کارگري</v>
      </c>
      <c r="E978" s="1" t="str">
        <f t="shared" si="105"/>
        <v>پروژه تعميرات نيروگاه بوشهر</v>
      </c>
      <c r="F978" s="1">
        <v>6016917</v>
      </c>
      <c r="G978" s="1">
        <v>0</v>
      </c>
      <c r="H978" s="1">
        <v>0</v>
      </c>
      <c r="I978" s="1">
        <v>3610150</v>
      </c>
      <c r="J978" s="1">
        <v>0</v>
      </c>
      <c r="K978" s="1">
        <v>0</v>
      </c>
      <c r="L978" s="1">
        <v>7672721</v>
      </c>
      <c r="M978" s="1">
        <v>1000000</v>
      </c>
      <c r="N978" s="1">
        <v>3209021</v>
      </c>
      <c r="O978" s="1">
        <v>0</v>
      </c>
      <c r="P978" s="1">
        <v>0</v>
      </c>
      <c r="Q978" s="1">
        <v>0</v>
      </c>
      <c r="R978" s="1">
        <v>10000000</v>
      </c>
      <c r="S978" s="1">
        <v>0</v>
      </c>
      <c r="T978" s="1">
        <v>0</v>
      </c>
      <c r="U978" s="1">
        <v>0</v>
      </c>
      <c r="V978" s="1">
        <v>4466041</v>
      </c>
      <c r="W978" s="1">
        <v>1900000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0</v>
      </c>
      <c r="AO978" s="1">
        <v>37874850</v>
      </c>
      <c r="AP978" s="1">
        <v>9957240</v>
      </c>
      <c r="AQ978" s="1">
        <v>27917610</v>
      </c>
      <c r="AR978" s="1">
        <v>5574970</v>
      </c>
      <c r="AS978" s="1">
        <v>836246</v>
      </c>
      <c r="AT978" s="1">
        <f t="shared" si="106"/>
        <v>44286066</v>
      </c>
    </row>
    <row r="979" spans="1:46" x14ac:dyDescent="0.2">
      <c r="A979" s="1" t="str">
        <f>"01267"</f>
        <v>01267</v>
      </c>
      <c r="B979" s="1" t="str">
        <f>"کريم"</f>
        <v>کريم</v>
      </c>
      <c r="C979" s="1" t="str">
        <f>"محمدي"</f>
        <v>محمدي</v>
      </c>
      <c r="D979" s="1" t="str">
        <f t="shared" si="104"/>
        <v>قراردادي کارگري</v>
      </c>
      <c r="E979" s="1" t="str">
        <f t="shared" si="105"/>
        <v>پروژه تعميرات نيروگاه بوشهر</v>
      </c>
      <c r="F979" s="1">
        <v>5516524</v>
      </c>
      <c r="G979" s="1">
        <v>757745</v>
      </c>
      <c r="H979" s="1">
        <v>0</v>
      </c>
      <c r="I979" s="1">
        <v>3309914</v>
      </c>
      <c r="J979" s="1">
        <v>0</v>
      </c>
      <c r="K979" s="1">
        <v>0</v>
      </c>
      <c r="L979" s="1">
        <v>7672721</v>
      </c>
      <c r="M979" s="1">
        <v>1000000</v>
      </c>
      <c r="N979" s="1">
        <v>2942146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7404531</v>
      </c>
      <c r="W979" s="1">
        <v>1900000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0</v>
      </c>
      <c r="AO979" s="1">
        <v>30503581</v>
      </c>
      <c r="AP979" s="1">
        <v>2141251</v>
      </c>
      <c r="AQ979" s="1">
        <v>28362330</v>
      </c>
      <c r="AR979" s="1">
        <v>6100716</v>
      </c>
      <c r="AS979" s="1">
        <v>915107</v>
      </c>
      <c r="AT979" s="1">
        <f t="shared" si="106"/>
        <v>37519404</v>
      </c>
    </row>
    <row r="980" spans="1:46" x14ac:dyDescent="0.2">
      <c r="A980" s="1" t="str">
        <f>"01268"</f>
        <v>01268</v>
      </c>
      <c r="B980" s="1" t="str">
        <f>"رضا"</f>
        <v>رضا</v>
      </c>
      <c r="C980" s="1" t="str">
        <f>"سهيلي راد"</f>
        <v>سهيلي راد</v>
      </c>
      <c r="D980" s="1" t="str">
        <f>"قراردادي بهره بردار"</f>
        <v>قراردادي بهره بردار</v>
      </c>
      <c r="E980" s="1" t="str">
        <f>"پروژه بهره برداري نيروگاه بوشهر"</f>
        <v>پروژه بهره برداري نيروگاه بوشهر</v>
      </c>
      <c r="F980" s="1">
        <v>15882333</v>
      </c>
      <c r="G980" s="1">
        <v>3513568</v>
      </c>
      <c r="H980" s="1">
        <v>0</v>
      </c>
      <c r="I980" s="1">
        <v>10148482</v>
      </c>
      <c r="J980" s="1">
        <v>0</v>
      </c>
      <c r="K980" s="1">
        <v>5500000</v>
      </c>
      <c r="L980" s="1">
        <v>0</v>
      </c>
      <c r="M980" s="1">
        <v>1000000</v>
      </c>
      <c r="N980" s="1">
        <v>2396042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1387000</v>
      </c>
      <c r="U980" s="1">
        <v>0</v>
      </c>
      <c r="V980" s="1">
        <v>3481977</v>
      </c>
      <c r="W980" s="1">
        <v>1900000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1711458</v>
      </c>
      <c r="AF980" s="1">
        <v>1516881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4681455</v>
      </c>
      <c r="AM980" s="1">
        <v>0</v>
      </c>
      <c r="AN980" s="1">
        <v>0</v>
      </c>
      <c r="AO980" s="1">
        <v>53119196</v>
      </c>
      <c r="AP980" s="1">
        <v>5240165</v>
      </c>
      <c r="AQ980" s="1">
        <v>47879031</v>
      </c>
      <c r="AR980" s="1">
        <v>10320463</v>
      </c>
      <c r="AS980" s="1">
        <v>1548069</v>
      </c>
      <c r="AT980" s="1">
        <f t="shared" si="106"/>
        <v>64987728</v>
      </c>
    </row>
    <row r="981" spans="1:46" x14ac:dyDescent="0.2">
      <c r="A981" s="1" t="str">
        <f>"01269"</f>
        <v>01269</v>
      </c>
      <c r="B981" s="1" t="str">
        <f>"حسن"</f>
        <v>حسن</v>
      </c>
      <c r="C981" s="1" t="str">
        <f>"انصاري"</f>
        <v>انصاري</v>
      </c>
      <c r="D981" s="1" t="str">
        <f>"قراردادي کارگري"</f>
        <v>قراردادي کارگري</v>
      </c>
      <c r="E981" s="1" t="str">
        <f>"پروژه تعميرات نيروگاه بوشهر"</f>
        <v>پروژه تعميرات نيروگاه بوشهر</v>
      </c>
      <c r="F981" s="1">
        <v>6187783</v>
      </c>
      <c r="G981" s="1">
        <v>1792947</v>
      </c>
      <c r="H981" s="1">
        <v>0</v>
      </c>
      <c r="I981" s="1">
        <v>3712670</v>
      </c>
      <c r="J981" s="1">
        <v>0</v>
      </c>
      <c r="K981" s="1">
        <v>0</v>
      </c>
      <c r="L981" s="1">
        <v>7672721</v>
      </c>
      <c r="M981" s="1">
        <v>1000000</v>
      </c>
      <c r="N981" s="1">
        <v>3300153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4535298</v>
      </c>
      <c r="W981" s="1">
        <v>1900000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3130999</v>
      </c>
      <c r="AE981" s="1">
        <v>0</v>
      </c>
      <c r="AF981" s="1">
        <v>1516881</v>
      </c>
      <c r="AG981" s="1">
        <v>0</v>
      </c>
      <c r="AH981" s="1">
        <v>0</v>
      </c>
      <c r="AI981" s="1">
        <v>0</v>
      </c>
      <c r="AJ981" s="1">
        <v>3442459</v>
      </c>
      <c r="AK981" s="1">
        <v>0</v>
      </c>
      <c r="AL981" s="1">
        <v>0</v>
      </c>
      <c r="AM981" s="1">
        <v>0</v>
      </c>
      <c r="AN981" s="1">
        <v>0</v>
      </c>
      <c r="AO981" s="1">
        <v>38191911</v>
      </c>
      <c r="AP981" s="1">
        <v>2945718</v>
      </c>
      <c r="AQ981" s="1">
        <v>35246193</v>
      </c>
      <c r="AR981" s="1">
        <v>7335006</v>
      </c>
      <c r="AS981" s="1">
        <v>1100251</v>
      </c>
      <c r="AT981" s="1">
        <f t="shared" si="106"/>
        <v>46627168</v>
      </c>
    </row>
    <row r="982" spans="1:46" x14ac:dyDescent="0.2">
      <c r="A982" s="1" t="str">
        <f>"01270"</f>
        <v>01270</v>
      </c>
      <c r="B982" s="1" t="str">
        <f>"عليرضا"</f>
        <v>عليرضا</v>
      </c>
      <c r="C982" s="1" t="str">
        <f>"رجب زاده"</f>
        <v>رجب زاده</v>
      </c>
      <c r="D982" s="1" t="str">
        <f>"قراردادي کارگري"</f>
        <v>قراردادي کارگري</v>
      </c>
      <c r="E982" s="1" t="str">
        <f>"پروژه تعميرات نيروگاه بوشهر"</f>
        <v>پروژه تعميرات نيروگاه بوشهر</v>
      </c>
      <c r="F982" s="1">
        <v>5510423</v>
      </c>
      <c r="G982" s="1">
        <v>835803</v>
      </c>
      <c r="H982" s="1">
        <v>0</v>
      </c>
      <c r="I982" s="1">
        <v>3306253</v>
      </c>
      <c r="J982" s="1">
        <v>0</v>
      </c>
      <c r="K982" s="1">
        <v>0</v>
      </c>
      <c r="L982" s="1">
        <v>7672721</v>
      </c>
      <c r="M982" s="1">
        <v>1000000</v>
      </c>
      <c r="N982" s="1">
        <v>2938893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4260741</v>
      </c>
      <c r="W982" s="1">
        <v>1900000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1516881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0</v>
      </c>
      <c r="AO982" s="1">
        <v>28941715</v>
      </c>
      <c r="AP982" s="1">
        <v>1925738</v>
      </c>
      <c r="AQ982" s="1">
        <v>27015977</v>
      </c>
      <c r="AR982" s="1">
        <v>5484967</v>
      </c>
      <c r="AS982" s="1">
        <v>822745</v>
      </c>
      <c r="AT982" s="1">
        <f t="shared" si="106"/>
        <v>35249427</v>
      </c>
    </row>
    <row r="983" spans="1:46" x14ac:dyDescent="0.2">
      <c r="A983" s="1" t="str">
        <f>"01271"</f>
        <v>01271</v>
      </c>
      <c r="B983" s="1" t="str">
        <f>"عباس"</f>
        <v>عباس</v>
      </c>
      <c r="C983" s="1" t="str">
        <f>"محياوي"</f>
        <v>محياوي</v>
      </c>
      <c r="D983" s="1" t="str">
        <f>"قراردادي کارگري"</f>
        <v>قراردادي کارگري</v>
      </c>
      <c r="E983" s="1" t="str">
        <f>"پروژه تعميرات نيروگاه بوشهر"</f>
        <v>پروژه تعميرات نيروگاه بوشهر</v>
      </c>
      <c r="F983" s="1">
        <v>18966079</v>
      </c>
      <c r="G983" s="1">
        <v>267666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  <c r="M983" s="1">
        <v>1000000</v>
      </c>
      <c r="N983" s="1">
        <v>0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0</v>
      </c>
      <c r="W983" s="1">
        <v>4000000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24233745</v>
      </c>
      <c r="AP983" s="1">
        <v>1702362</v>
      </c>
      <c r="AQ983" s="1">
        <v>22531383</v>
      </c>
      <c r="AR983" s="1">
        <v>4846749</v>
      </c>
      <c r="AS983" s="1">
        <v>727012</v>
      </c>
      <c r="AT983" s="1">
        <f t="shared" si="106"/>
        <v>29807506</v>
      </c>
    </row>
    <row r="984" spans="1:46" x14ac:dyDescent="0.2">
      <c r="A984" s="1" t="str">
        <f>"01272"</f>
        <v>01272</v>
      </c>
      <c r="B984" s="1" t="str">
        <f>"عبداله"</f>
        <v>عبداله</v>
      </c>
      <c r="C984" s="1" t="str">
        <f>"هنرمند"</f>
        <v>هنرمند</v>
      </c>
      <c r="D984" s="1" t="str">
        <f>"قراردادي کارگري"</f>
        <v>قراردادي کارگري</v>
      </c>
      <c r="E984" s="1" t="str">
        <f>"پروژه تعميرات نيروگاه بوشهر"</f>
        <v>پروژه تعميرات نيروگاه بوشهر</v>
      </c>
      <c r="F984" s="1">
        <v>6419672</v>
      </c>
      <c r="G984" s="1">
        <v>0</v>
      </c>
      <c r="H984" s="1">
        <v>0</v>
      </c>
      <c r="I984" s="1">
        <v>3851804</v>
      </c>
      <c r="J984" s="1">
        <v>0</v>
      </c>
      <c r="K984" s="1">
        <v>0</v>
      </c>
      <c r="L984" s="1">
        <v>7672721</v>
      </c>
      <c r="M984" s="1">
        <v>1000000</v>
      </c>
      <c r="N984" s="1">
        <v>3423825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4629291</v>
      </c>
      <c r="W984" s="1">
        <v>1900000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1516881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0</v>
      </c>
      <c r="AO984" s="1">
        <v>30414194</v>
      </c>
      <c r="AP984" s="1">
        <v>2028812</v>
      </c>
      <c r="AQ984" s="1">
        <v>28385382</v>
      </c>
      <c r="AR984" s="1">
        <v>5779463</v>
      </c>
      <c r="AS984" s="1">
        <v>866919</v>
      </c>
      <c r="AT984" s="1">
        <f t="shared" si="106"/>
        <v>37060576</v>
      </c>
    </row>
    <row r="985" spans="1:46" x14ac:dyDescent="0.2">
      <c r="A985" s="1" t="str">
        <f>"01273"</f>
        <v>01273</v>
      </c>
      <c r="B985" s="1" t="str">
        <f>"ايمان"</f>
        <v>ايمان</v>
      </c>
      <c r="C985" s="1" t="str">
        <f>"آشوري"</f>
        <v>آشوري</v>
      </c>
      <c r="D985" s="1" t="str">
        <f>"قراردادي کارگري"</f>
        <v>قراردادي کارگري</v>
      </c>
      <c r="E985" s="1" t="str">
        <f>"پروژه تعميرات نيروگاه بوشهر"</f>
        <v>پروژه تعميرات نيروگاه بوشهر</v>
      </c>
      <c r="F985" s="1">
        <v>7695063</v>
      </c>
      <c r="G985" s="1">
        <v>0</v>
      </c>
      <c r="H985" s="1">
        <v>0</v>
      </c>
      <c r="I985" s="1">
        <v>4617038</v>
      </c>
      <c r="J985" s="1">
        <v>0</v>
      </c>
      <c r="K985" s="1">
        <v>0</v>
      </c>
      <c r="L985" s="1">
        <v>7672721</v>
      </c>
      <c r="M985" s="1">
        <v>1000000</v>
      </c>
      <c r="N985" s="1">
        <v>4104034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5146249</v>
      </c>
      <c r="W985" s="1">
        <v>1900000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3033762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0</v>
      </c>
      <c r="AO985" s="1">
        <v>35168867</v>
      </c>
      <c r="AP985" s="1">
        <v>2357398</v>
      </c>
      <c r="AQ985" s="1">
        <v>32811469</v>
      </c>
      <c r="AR985" s="1">
        <v>6427021</v>
      </c>
      <c r="AS985" s="1">
        <v>964053</v>
      </c>
      <c r="AT985" s="1">
        <f t="shared" si="106"/>
        <v>42559941</v>
      </c>
    </row>
    <row r="986" spans="1:46" x14ac:dyDescent="0.2">
      <c r="A986" s="1" t="str">
        <f>"01274"</f>
        <v>01274</v>
      </c>
      <c r="B986" s="1" t="str">
        <f>"حيدر"</f>
        <v>حيدر</v>
      </c>
      <c r="C986" s="1" t="str">
        <f>"قاسمي قلعه سيدي"</f>
        <v>قاسمي قلعه سيدي</v>
      </c>
      <c r="D986" s="1" t="str">
        <f>"قراردادي بهره بردار"</f>
        <v>قراردادي بهره بردار</v>
      </c>
      <c r="E986" s="1" t="str">
        <f>"پروژه بهره برداري نيروگاه بوشهر"</f>
        <v>پروژه بهره برداري نيروگاه بوشهر</v>
      </c>
      <c r="F986" s="1">
        <v>14624891</v>
      </c>
      <c r="G986" s="1">
        <v>598684</v>
      </c>
      <c r="H986" s="1">
        <v>0</v>
      </c>
      <c r="I986" s="1">
        <v>12880793</v>
      </c>
      <c r="J986" s="1">
        <v>0</v>
      </c>
      <c r="K986" s="1">
        <v>4620000</v>
      </c>
      <c r="L986" s="1">
        <v>0</v>
      </c>
      <c r="M986" s="1">
        <v>1000000</v>
      </c>
      <c r="N986" s="1">
        <v>2519486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1606000</v>
      </c>
      <c r="U986" s="1">
        <v>0</v>
      </c>
      <c r="V986" s="1">
        <v>3856461</v>
      </c>
      <c r="W986" s="1">
        <v>1900000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1799633</v>
      </c>
      <c r="AF986" s="1">
        <v>3033762</v>
      </c>
      <c r="AG986" s="1">
        <v>876267</v>
      </c>
      <c r="AH986" s="1">
        <v>0</v>
      </c>
      <c r="AI986" s="1">
        <v>0</v>
      </c>
      <c r="AJ986" s="1">
        <v>0</v>
      </c>
      <c r="AK986" s="1">
        <v>0</v>
      </c>
      <c r="AL986" s="1">
        <v>5863538</v>
      </c>
      <c r="AM986" s="1">
        <v>0</v>
      </c>
      <c r="AN986" s="1">
        <v>0</v>
      </c>
      <c r="AO986" s="1">
        <v>55179515</v>
      </c>
      <c r="AP986" s="1">
        <v>31068131</v>
      </c>
      <c r="AQ986" s="1">
        <v>24111384</v>
      </c>
      <c r="AR986" s="1">
        <v>10429151</v>
      </c>
      <c r="AS986" s="1">
        <v>1564373</v>
      </c>
      <c r="AT986" s="1">
        <f t="shared" si="106"/>
        <v>67173039</v>
      </c>
    </row>
    <row r="987" spans="1:46" x14ac:dyDescent="0.2">
      <c r="A987" s="1" t="str">
        <f>"01275"</f>
        <v>01275</v>
      </c>
      <c r="B987" s="1" t="str">
        <f>"ماجد"</f>
        <v>ماجد</v>
      </c>
      <c r="C987" s="1" t="str">
        <f>"مجدميان سعدوني"</f>
        <v>مجدميان سعدوني</v>
      </c>
      <c r="D987" s="1" t="str">
        <f t="shared" ref="D987:D993" si="107">"قراردادي کارگري"</f>
        <v>قراردادي کارگري</v>
      </c>
      <c r="E987" s="1" t="str">
        <f t="shared" ref="E987:E1018" si="108">"پروژه تعميرات نيروگاه بوشهر"</f>
        <v>پروژه تعميرات نيروگاه بوشهر</v>
      </c>
      <c r="F987" s="1">
        <v>6077941</v>
      </c>
      <c r="G987" s="1">
        <v>0</v>
      </c>
      <c r="H987" s="1">
        <v>0</v>
      </c>
      <c r="I987" s="1">
        <v>3646765</v>
      </c>
      <c r="J987" s="1">
        <v>0</v>
      </c>
      <c r="K987" s="1">
        <v>0</v>
      </c>
      <c r="L987" s="1">
        <v>7672721</v>
      </c>
      <c r="M987" s="1">
        <v>1000000</v>
      </c>
      <c r="N987" s="1">
        <v>3241569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7327055</v>
      </c>
      <c r="W987" s="1">
        <v>1900000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0</v>
      </c>
      <c r="AO987" s="1">
        <v>30866051</v>
      </c>
      <c r="AP987" s="1">
        <v>2166624</v>
      </c>
      <c r="AQ987" s="1">
        <v>28699427</v>
      </c>
      <c r="AR987" s="1">
        <v>6173210</v>
      </c>
      <c r="AS987" s="1">
        <v>925982</v>
      </c>
      <c r="AT987" s="1">
        <f t="shared" si="106"/>
        <v>37965243</v>
      </c>
    </row>
    <row r="988" spans="1:46" x14ac:dyDescent="0.2">
      <c r="A988" s="1" t="str">
        <f>"01276"</f>
        <v>01276</v>
      </c>
      <c r="B988" s="1" t="str">
        <f>"کاظم"</f>
        <v>کاظم</v>
      </c>
      <c r="C988" s="1" t="str">
        <f>"زارعي نيا"</f>
        <v>زارعي نيا</v>
      </c>
      <c r="D988" s="1" t="str">
        <f t="shared" si="107"/>
        <v>قراردادي کارگري</v>
      </c>
      <c r="E988" s="1" t="str">
        <f t="shared" si="108"/>
        <v>پروژه تعميرات نيروگاه بوشهر</v>
      </c>
      <c r="F988" s="1">
        <v>5565343</v>
      </c>
      <c r="G988" s="1">
        <v>1872324</v>
      </c>
      <c r="H988" s="1">
        <v>0</v>
      </c>
      <c r="I988" s="1">
        <v>3339206</v>
      </c>
      <c r="J988" s="1">
        <v>0</v>
      </c>
      <c r="K988" s="1">
        <v>0</v>
      </c>
      <c r="L988" s="1">
        <v>7672721</v>
      </c>
      <c r="M988" s="1">
        <v>1000000</v>
      </c>
      <c r="N988" s="1">
        <v>2968183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6988057</v>
      </c>
      <c r="W988" s="1">
        <v>1900000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2931818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3594863</v>
      </c>
      <c r="AK988" s="1">
        <v>0</v>
      </c>
      <c r="AL988" s="1">
        <v>0</v>
      </c>
      <c r="AM988" s="1">
        <v>0</v>
      </c>
      <c r="AN988" s="1">
        <v>0</v>
      </c>
      <c r="AO988" s="1">
        <v>37832515</v>
      </c>
      <c r="AP988" s="1">
        <v>3990123</v>
      </c>
      <c r="AQ988" s="1">
        <v>33842392</v>
      </c>
      <c r="AR988" s="1">
        <v>7566503</v>
      </c>
      <c r="AS988" s="1">
        <v>1134975</v>
      </c>
      <c r="AT988" s="1">
        <f t="shared" si="106"/>
        <v>46533993</v>
      </c>
    </row>
    <row r="989" spans="1:46" x14ac:dyDescent="0.2">
      <c r="A989" s="1" t="str">
        <f>"01277"</f>
        <v>01277</v>
      </c>
      <c r="B989" s="1" t="str">
        <f>"عبدالمجيد"</f>
        <v>عبدالمجيد</v>
      </c>
      <c r="C989" s="1" t="str">
        <f>"صادقي پور"</f>
        <v>صادقي پور</v>
      </c>
      <c r="D989" s="1" t="str">
        <f t="shared" si="107"/>
        <v>قراردادي کارگري</v>
      </c>
      <c r="E989" s="1" t="str">
        <f t="shared" si="108"/>
        <v>پروژه تعميرات نيروگاه بوشهر</v>
      </c>
      <c r="F989" s="1">
        <v>8311401</v>
      </c>
      <c r="G989" s="1">
        <v>0</v>
      </c>
      <c r="H989" s="1">
        <v>0</v>
      </c>
      <c r="I989" s="1">
        <v>4986841</v>
      </c>
      <c r="J989" s="1">
        <v>0</v>
      </c>
      <c r="K989" s="1">
        <v>0</v>
      </c>
      <c r="L989" s="1">
        <v>7672721</v>
      </c>
      <c r="M989" s="1">
        <v>1000000</v>
      </c>
      <c r="N989" s="1">
        <v>4432746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8804117</v>
      </c>
      <c r="W989" s="1">
        <v>1900000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1516881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0</v>
      </c>
      <c r="AO989" s="1">
        <v>38624707</v>
      </c>
      <c r="AP989" s="1">
        <v>10546123</v>
      </c>
      <c r="AQ989" s="1">
        <v>28078584</v>
      </c>
      <c r="AR989" s="1">
        <v>7421565</v>
      </c>
      <c r="AS989" s="1">
        <v>1113235</v>
      </c>
      <c r="AT989" s="1">
        <f t="shared" si="106"/>
        <v>47159507</v>
      </c>
    </row>
    <row r="990" spans="1:46" x14ac:dyDescent="0.2">
      <c r="A990" s="1" t="str">
        <f>"01278"</f>
        <v>01278</v>
      </c>
      <c r="B990" s="1" t="str">
        <f>"روح الله"</f>
        <v>روح الله</v>
      </c>
      <c r="C990" s="1" t="str">
        <f>"ونکي"</f>
        <v>ونکي</v>
      </c>
      <c r="D990" s="1" t="str">
        <f t="shared" si="107"/>
        <v>قراردادي کارگري</v>
      </c>
      <c r="E990" s="1" t="str">
        <f t="shared" si="108"/>
        <v>پروژه تعميرات نيروگاه بوشهر</v>
      </c>
      <c r="F990" s="1">
        <v>8189354</v>
      </c>
      <c r="G990" s="1">
        <v>0</v>
      </c>
      <c r="H990" s="1">
        <v>0</v>
      </c>
      <c r="I990" s="1">
        <v>4913613</v>
      </c>
      <c r="J990" s="1">
        <v>0</v>
      </c>
      <c r="K990" s="1">
        <v>0</v>
      </c>
      <c r="L990" s="1">
        <v>7672721</v>
      </c>
      <c r="M990" s="1">
        <v>1000000</v>
      </c>
      <c r="N990" s="1">
        <v>4367656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8723403</v>
      </c>
      <c r="W990" s="1">
        <v>1900000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1516881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0</v>
      </c>
      <c r="AO990" s="1">
        <v>38283628</v>
      </c>
      <c r="AP990" s="1">
        <v>2960668</v>
      </c>
      <c r="AQ990" s="1">
        <v>35322960</v>
      </c>
      <c r="AR990" s="1">
        <v>7353349</v>
      </c>
      <c r="AS990" s="1">
        <v>1103002</v>
      </c>
      <c r="AT990" s="1">
        <f t="shared" si="106"/>
        <v>46739979</v>
      </c>
    </row>
    <row r="991" spans="1:46" x14ac:dyDescent="0.2">
      <c r="A991" s="1" t="str">
        <f>"01279"</f>
        <v>01279</v>
      </c>
      <c r="B991" s="1" t="str">
        <f>"بهرام"</f>
        <v>بهرام</v>
      </c>
      <c r="C991" s="1" t="str">
        <f>"قائدي"</f>
        <v>قائدي</v>
      </c>
      <c r="D991" s="1" t="str">
        <f t="shared" si="107"/>
        <v>قراردادي کارگري</v>
      </c>
      <c r="E991" s="1" t="str">
        <f t="shared" si="108"/>
        <v>پروژه تعميرات نيروگاه بوشهر</v>
      </c>
      <c r="F991" s="1">
        <v>6816324</v>
      </c>
      <c r="G991" s="1">
        <v>6967897</v>
      </c>
      <c r="H991" s="1">
        <v>0</v>
      </c>
      <c r="I991" s="1">
        <v>4089795</v>
      </c>
      <c r="J991" s="1">
        <v>0</v>
      </c>
      <c r="K991" s="1">
        <v>0</v>
      </c>
      <c r="L991" s="1">
        <v>7628143</v>
      </c>
      <c r="M991" s="1">
        <v>1000000</v>
      </c>
      <c r="N991" s="1">
        <v>3635372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2516631</v>
      </c>
      <c r="W991" s="1">
        <v>1900000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0</v>
      </c>
      <c r="AO991" s="1">
        <v>34554162</v>
      </c>
      <c r="AP991" s="1">
        <v>2899923</v>
      </c>
      <c r="AQ991" s="1">
        <v>31654239</v>
      </c>
      <c r="AR991" s="1">
        <v>6910832</v>
      </c>
      <c r="AS991" s="1">
        <v>1036625</v>
      </c>
      <c r="AT991" s="1">
        <f t="shared" si="106"/>
        <v>42501619</v>
      </c>
    </row>
    <row r="992" spans="1:46" x14ac:dyDescent="0.2">
      <c r="A992" s="1" t="str">
        <f>"01280"</f>
        <v>01280</v>
      </c>
      <c r="B992" s="1" t="str">
        <f>"روح اله"</f>
        <v>روح اله</v>
      </c>
      <c r="C992" s="1" t="str">
        <f>"حقيقي"</f>
        <v>حقيقي</v>
      </c>
      <c r="D992" s="1" t="str">
        <f t="shared" si="107"/>
        <v>قراردادي کارگري</v>
      </c>
      <c r="E992" s="1" t="str">
        <f t="shared" si="108"/>
        <v>پروژه تعميرات نيروگاه بوشهر</v>
      </c>
      <c r="F992" s="1">
        <v>5492115</v>
      </c>
      <c r="G992" s="1">
        <v>4195711</v>
      </c>
      <c r="H992" s="1">
        <v>0</v>
      </c>
      <c r="I992" s="1">
        <v>3350191</v>
      </c>
      <c r="J992" s="1">
        <v>0</v>
      </c>
      <c r="K992" s="1">
        <v>0</v>
      </c>
      <c r="L992" s="1">
        <v>7628143</v>
      </c>
      <c r="M992" s="1">
        <v>1000000</v>
      </c>
      <c r="N992" s="1">
        <v>2929128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5375098</v>
      </c>
      <c r="W992" s="1">
        <v>1900000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0</v>
      </c>
      <c r="AO992" s="1">
        <v>31870386</v>
      </c>
      <c r="AP992" s="1">
        <v>3586927</v>
      </c>
      <c r="AQ992" s="1">
        <v>28283459</v>
      </c>
      <c r="AR992" s="1">
        <v>6374077</v>
      </c>
      <c r="AS992" s="1">
        <v>956112</v>
      </c>
      <c r="AT992" s="1">
        <f t="shared" si="106"/>
        <v>39200575</v>
      </c>
    </row>
    <row r="993" spans="1:46" x14ac:dyDescent="0.2">
      <c r="A993" s="1" t="str">
        <f>"01281"</f>
        <v>01281</v>
      </c>
      <c r="B993" s="1" t="str">
        <f>"فرشيد"</f>
        <v>فرشيد</v>
      </c>
      <c r="C993" s="1" t="str">
        <f>"نگين تاجي"</f>
        <v>نگين تاجي</v>
      </c>
      <c r="D993" s="1" t="str">
        <f t="shared" si="107"/>
        <v>قراردادي کارگري</v>
      </c>
      <c r="E993" s="1" t="str">
        <f t="shared" si="108"/>
        <v>پروژه تعميرات نيروگاه بوشهر</v>
      </c>
      <c r="F993" s="1">
        <v>5412785</v>
      </c>
      <c r="G993" s="1">
        <v>0</v>
      </c>
      <c r="H993" s="1">
        <v>0</v>
      </c>
      <c r="I993" s="1">
        <v>3247671</v>
      </c>
      <c r="J993" s="1">
        <v>0</v>
      </c>
      <c r="K993" s="1">
        <v>0</v>
      </c>
      <c r="L993" s="1">
        <v>7628143</v>
      </c>
      <c r="M993" s="1">
        <v>1000000</v>
      </c>
      <c r="N993" s="1">
        <v>2886819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4212695</v>
      </c>
      <c r="W993" s="1">
        <v>1900000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0</v>
      </c>
      <c r="AO993" s="1">
        <v>26288113</v>
      </c>
      <c r="AP993" s="1">
        <v>3196168</v>
      </c>
      <c r="AQ993" s="1">
        <v>23091945</v>
      </c>
      <c r="AR993" s="1">
        <v>5257623</v>
      </c>
      <c r="AS993" s="1">
        <v>788643</v>
      </c>
      <c r="AT993" s="1">
        <f t="shared" si="106"/>
        <v>32334379</v>
      </c>
    </row>
    <row r="994" spans="1:46" x14ac:dyDescent="0.2">
      <c r="A994" s="1" t="str">
        <f>"01282"</f>
        <v>01282</v>
      </c>
      <c r="B994" s="1" t="str">
        <f>"محمدرضا"</f>
        <v>محمدرضا</v>
      </c>
      <c r="C994" s="1" t="str">
        <f>"ارجمند"</f>
        <v>ارجمند</v>
      </c>
      <c r="D994" s="1" t="str">
        <f t="shared" ref="D994:D1025" si="109">"قراردادي بهره بردار"</f>
        <v>قراردادي بهره بردار</v>
      </c>
      <c r="E994" s="1" t="str">
        <f t="shared" si="108"/>
        <v>پروژه تعميرات نيروگاه بوشهر</v>
      </c>
      <c r="F994" s="1">
        <v>10802177</v>
      </c>
      <c r="G994" s="1">
        <v>0</v>
      </c>
      <c r="H994" s="1">
        <v>0</v>
      </c>
      <c r="I994" s="1">
        <v>5571484</v>
      </c>
      <c r="J994" s="1">
        <v>0</v>
      </c>
      <c r="K994" s="1">
        <v>4620000</v>
      </c>
      <c r="L994" s="1">
        <v>0</v>
      </c>
      <c r="M994" s="1">
        <v>1000000</v>
      </c>
      <c r="N994" s="1">
        <v>1871596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1387000</v>
      </c>
      <c r="U994" s="1">
        <v>0</v>
      </c>
      <c r="V994" s="1">
        <v>2446806</v>
      </c>
      <c r="W994" s="1">
        <v>1900000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1336854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4885953</v>
      </c>
      <c r="AM994" s="1">
        <v>0</v>
      </c>
      <c r="AN994" s="1">
        <v>0</v>
      </c>
      <c r="AO994" s="1">
        <v>35821870</v>
      </c>
      <c r="AP994" s="1">
        <v>14444213</v>
      </c>
      <c r="AQ994" s="1">
        <v>21377657</v>
      </c>
      <c r="AR994" s="1">
        <v>7164374</v>
      </c>
      <c r="AS994" s="1">
        <v>1074656</v>
      </c>
      <c r="AT994" s="1">
        <f t="shared" si="106"/>
        <v>44060900</v>
      </c>
    </row>
    <row r="995" spans="1:46" x14ac:dyDescent="0.2">
      <c r="A995" s="1" t="str">
        <f>"01283"</f>
        <v>01283</v>
      </c>
      <c r="B995" s="1" t="str">
        <f>"داوود"</f>
        <v>داوود</v>
      </c>
      <c r="C995" s="1" t="str">
        <f>"اسدي زاده قره جلو"</f>
        <v>اسدي زاده قره جلو</v>
      </c>
      <c r="D995" s="1" t="str">
        <f t="shared" si="109"/>
        <v>قراردادي بهره بردار</v>
      </c>
      <c r="E995" s="1" t="str">
        <f t="shared" si="108"/>
        <v>پروژه تعميرات نيروگاه بوشهر</v>
      </c>
      <c r="F995" s="1">
        <v>10320231</v>
      </c>
      <c r="G995" s="1">
        <v>0</v>
      </c>
      <c r="H995" s="1">
        <v>0</v>
      </c>
      <c r="I995" s="1">
        <v>5310539</v>
      </c>
      <c r="J995" s="1">
        <v>0</v>
      </c>
      <c r="K995" s="1">
        <v>4620000</v>
      </c>
      <c r="L995" s="1">
        <v>0</v>
      </c>
      <c r="M995" s="1">
        <v>1000000</v>
      </c>
      <c r="N995" s="1">
        <v>1702915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1387000</v>
      </c>
      <c r="U995" s="1">
        <v>0</v>
      </c>
      <c r="V995" s="1">
        <v>2309207</v>
      </c>
      <c r="W995" s="1">
        <v>1900000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1216368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4542019</v>
      </c>
      <c r="AM995" s="1">
        <v>0</v>
      </c>
      <c r="AN995" s="1">
        <v>0</v>
      </c>
      <c r="AO995" s="1">
        <v>34308279</v>
      </c>
      <c r="AP995" s="1">
        <v>6203582</v>
      </c>
      <c r="AQ995" s="1">
        <v>28104697</v>
      </c>
      <c r="AR995" s="1">
        <v>6861656</v>
      </c>
      <c r="AS995" s="1">
        <v>1029248</v>
      </c>
      <c r="AT995" s="1">
        <f t="shared" si="106"/>
        <v>42199183</v>
      </c>
    </row>
    <row r="996" spans="1:46" x14ac:dyDescent="0.2">
      <c r="A996" s="1" t="str">
        <f>"01284"</f>
        <v>01284</v>
      </c>
      <c r="B996" s="1" t="str">
        <f>"جاسم"</f>
        <v>جاسم</v>
      </c>
      <c r="C996" s="1" t="str">
        <f>"اسکندري"</f>
        <v>اسکندري</v>
      </c>
      <c r="D996" s="1" t="str">
        <f t="shared" si="109"/>
        <v>قراردادي بهره بردار</v>
      </c>
      <c r="E996" s="1" t="str">
        <f t="shared" si="108"/>
        <v>پروژه تعميرات نيروگاه بوشهر</v>
      </c>
      <c r="F996" s="1">
        <v>14484688</v>
      </c>
      <c r="G996" s="1">
        <v>0</v>
      </c>
      <c r="H996" s="1">
        <v>0</v>
      </c>
      <c r="I996" s="1">
        <v>7037664</v>
      </c>
      <c r="J996" s="1">
        <v>0</v>
      </c>
      <c r="K996" s="1">
        <v>4125000</v>
      </c>
      <c r="L996" s="1">
        <v>0</v>
      </c>
      <c r="M996" s="1">
        <v>1000000</v>
      </c>
      <c r="N996" s="1">
        <v>2067880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1387000</v>
      </c>
      <c r="U996" s="1">
        <v>0</v>
      </c>
      <c r="V996" s="1">
        <v>2918815</v>
      </c>
      <c r="W996" s="1">
        <v>1900000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1477057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4120863</v>
      </c>
      <c r="AM996" s="1">
        <v>0</v>
      </c>
      <c r="AN996" s="1">
        <v>0</v>
      </c>
      <c r="AO996" s="1">
        <v>40518967</v>
      </c>
      <c r="AP996" s="1">
        <v>3281892</v>
      </c>
      <c r="AQ996" s="1">
        <v>37237075</v>
      </c>
      <c r="AR996" s="1">
        <v>8103793</v>
      </c>
      <c r="AS996" s="1">
        <v>1215569</v>
      </c>
      <c r="AT996" s="1">
        <f t="shared" si="106"/>
        <v>49838329</v>
      </c>
    </row>
    <row r="997" spans="1:46" x14ac:dyDescent="0.2">
      <c r="A997" s="1" t="str">
        <f>"01285"</f>
        <v>01285</v>
      </c>
      <c r="B997" s="1" t="str">
        <f>"مجتبي"</f>
        <v>مجتبي</v>
      </c>
      <c r="C997" s="1" t="str">
        <f>"اعتمادي"</f>
        <v>اعتمادي</v>
      </c>
      <c r="D997" s="1" t="str">
        <f t="shared" si="109"/>
        <v>قراردادي بهره بردار</v>
      </c>
      <c r="E997" s="1" t="str">
        <f t="shared" si="108"/>
        <v>پروژه تعميرات نيروگاه بوشهر</v>
      </c>
      <c r="F997" s="1">
        <v>11334509</v>
      </c>
      <c r="G997" s="1">
        <v>0</v>
      </c>
      <c r="H997" s="1">
        <v>0</v>
      </c>
      <c r="I997" s="1">
        <v>5930753</v>
      </c>
      <c r="J997" s="1">
        <v>0</v>
      </c>
      <c r="K997" s="1">
        <v>4620000</v>
      </c>
      <c r="L997" s="1">
        <v>0</v>
      </c>
      <c r="M997" s="1">
        <v>1000000</v>
      </c>
      <c r="N997" s="1">
        <v>1942902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1387000</v>
      </c>
      <c r="U997" s="1">
        <v>0</v>
      </c>
      <c r="V997" s="1">
        <v>2446664</v>
      </c>
      <c r="W997" s="1">
        <v>1900000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1387787</v>
      </c>
      <c r="AF997" s="1">
        <v>3033762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3870689</v>
      </c>
      <c r="AM997" s="1">
        <v>0</v>
      </c>
      <c r="AN997" s="1">
        <v>0</v>
      </c>
      <c r="AO997" s="1">
        <v>38854066</v>
      </c>
      <c r="AP997" s="1">
        <v>19390147</v>
      </c>
      <c r="AQ997" s="1">
        <v>19463919</v>
      </c>
      <c r="AR997" s="1">
        <v>7164061</v>
      </c>
      <c r="AS997" s="1">
        <v>1074609</v>
      </c>
      <c r="AT997" s="1">
        <f t="shared" si="106"/>
        <v>47092736</v>
      </c>
    </row>
    <row r="998" spans="1:46" x14ac:dyDescent="0.2">
      <c r="A998" s="1" t="str">
        <f>"01288"</f>
        <v>01288</v>
      </c>
      <c r="B998" s="1" t="str">
        <f>"مهدي"</f>
        <v>مهدي</v>
      </c>
      <c r="C998" s="1" t="str">
        <f>"انصاري جابري"</f>
        <v>انصاري جابري</v>
      </c>
      <c r="D998" s="1" t="str">
        <f t="shared" si="109"/>
        <v>قراردادي بهره بردار</v>
      </c>
      <c r="E998" s="1" t="str">
        <f t="shared" si="108"/>
        <v>پروژه تعميرات نيروگاه بوشهر</v>
      </c>
      <c r="F998" s="1">
        <v>14973207</v>
      </c>
      <c r="G998" s="1">
        <v>0</v>
      </c>
      <c r="H998" s="1">
        <v>0</v>
      </c>
      <c r="I998" s="1">
        <v>7367541</v>
      </c>
      <c r="J998" s="1">
        <v>0</v>
      </c>
      <c r="K998" s="1">
        <v>5500000</v>
      </c>
      <c r="L998" s="1">
        <v>0</v>
      </c>
      <c r="M998" s="1">
        <v>1000000</v>
      </c>
      <c r="N998" s="1">
        <v>2238861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1387000</v>
      </c>
      <c r="U998" s="1">
        <v>0</v>
      </c>
      <c r="V998" s="1">
        <v>3042869</v>
      </c>
      <c r="W998" s="1">
        <v>1900000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1599187</v>
      </c>
      <c r="AF998" s="1">
        <v>0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4249893</v>
      </c>
      <c r="AM998" s="1">
        <v>0</v>
      </c>
      <c r="AN998" s="1">
        <v>0</v>
      </c>
      <c r="AO998" s="1">
        <v>43258558</v>
      </c>
      <c r="AP998" s="1">
        <v>5528445</v>
      </c>
      <c r="AQ998" s="1">
        <v>37730113</v>
      </c>
      <c r="AR998" s="1">
        <v>8651712</v>
      </c>
      <c r="AS998" s="1">
        <v>1297757</v>
      </c>
      <c r="AT998" s="1">
        <f t="shared" si="106"/>
        <v>53208027</v>
      </c>
    </row>
    <row r="999" spans="1:46" x14ac:dyDescent="0.2">
      <c r="A999" s="1" t="str">
        <f>"01289"</f>
        <v>01289</v>
      </c>
      <c r="B999" s="1" t="str">
        <f>"احسان"</f>
        <v>احسان</v>
      </c>
      <c r="C999" s="1" t="str">
        <f>"اوستاد"</f>
        <v>اوستاد</v>
      </c>
      <c r="D999" s="1" t="str">
        <f t="shared" si="109"/>
        <v>قراردادي بهره بردار</v>
      </c>
      <c r="E999" s="1" t="str">
        <f t="shared" si="108"/>
        <v>پروژه تعميرات نيروگاه بوشهر</v>
      </c>
      <c r="F999" s="1">
        <v>15286472</v>
      </c>
      <c r="G999" s="1">
        <v>0</v>
      </c>
      <c r="H999" s="1">
        <v>0</v>
      </c>
      <c r="I999" s="1">
        <v>7579076</v>
      </c>
      <c r="J999" s="1">
        <v>0</v>
      </c>
      <c r="K999" s="1">
        <v>5500000</v>
      </c>
      <c r="L999" s="1">
        <v>0</v>
      </c>
      <c r="M999" s="1">
        <v>1000000</v>
      </c>
      <c r="N999" s="1">
        <v>2348504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1387000</v>
      </c>
      <c r="U999" s="1">
        <v>0</v>
      </c>
      <c r="V999" s="1">
        <v>3111932</v>
      </c>
      <c r="W999" s="1">
        <v>1900000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1677503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4227768</v>
      </c>
      <c r="AM999" s="1">
        <v>0</v>
      </c>
      <c r="AN999" s="1">
        <v>0</v>
      </c>
      <c r="AO999" s="1">
        <v>44018255</v>
      </c>
      <c r="AP999" s="1">
        <v>17115127</v>
      </c>
      <c r="AQ999" s="1">
        <v>26903128</v>
      </c>
      <c r="AR999" s="1">
        <v>8803651</v>
      </c>
      <c r="AS999" s="1">
        <v>1320548</v>
      </c>
      <c r="AT999" s="1">
        <f t="shared" si="106"/>
        <v>54142454</v>
      </c>
    </row>
    <row r="1000" spans="1:46" x14ac:dyDescent="0.2">
      <c r="A1000" s="1" t="str">
        <f>"01290"</f>
        <v>01290</v>
      </c>
      <c r="B1000" s="1" t="str">
        <f>"مرتضي"</f>
        <v>مرتضي</v>
      </c>
      <c r="C1000" s="1" t="str">
        <f>"اوشال"</f>
        <v>اوشال</v>
      </c>
      <c r="D1000" s="1" t="str">
        <f t="shared" si="109"/>
        <v>قراردادي بهره بردار</v>
      </c>
      <c r="E1000" s="1" t="str">
        <f t="shared" si="108"/>
        <v>پروژه تعميرات نيروگاه بوشهر</v>
      </c>
      <c r="F1000" s="1">
        <v>10217269</v>
      </c>
      <c r="G1000" s="1">
        <v>0</v>
      </c>
      <c r="H1000" s="1">
        <v>0</v>
      </c>
      <c r="I1000" s="1">
        <v>5239184</v>
      </c>
      <c r="J1000" s="1">
        <v>0</v>
      </c>
      <c r="K1000" s="1">
        <v>3465000</v>
      </c>
      <c r="L1000" s="1">
        <v>0</v>
      </c>
      <c r="M1000" s="1">
        <v>1000000</v>
      </c>
      <c r="N1000" s="1">
        <v>1666878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1387000</v>
      </c>
      <c r="U1000" s="1">
        <v>0</v>
      </c>
      <c r="V1000" s="1">
        <v>2285937</v>
      </c>
      <c r="W1000" s="1">
        <v>1900000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1190627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4545414</v>
      </c>
      <c r="AM1000" s="1">
        <v>0</v>
      </c>
      <c r="AN1000" s="1">
        <v>0</v>
      </c>
      <c r="AO1000" s="1">
        <v>32897309</v>
      </c>
      <c r="AP1000" s="1">
        <v>10267680</v>
      </c>
      <c r="AQ1000" s="1">
        <v>22629629</v>
      </c>
      <c r="AR1000" s="1">
        <v>6579462</v>
      </c>
      <c r="AS1000" s="1">
        <v>986919</v>
      </c>
      <c r="AT1000" s="1">
        <f t="shared" si="106"/>
        <v>40463690</v>
      </c>
    </row>
    <row r="1001" spans="1:46" x14ac:dyDescent="0.2">
      <c r="A1001" s="1" t="str">
        <f>"01291"</f>
        <v>01291</v>
      </c>
      <c r="B1001" s="1" t="str">
        <f>"منصور"</f>
        <v>منصور</v>
      </c>
      <c r="C1001" s="1" t="str">
        <f>"ايزدپناه"</f>
        <v>ايزدپناه</v>
      </c>
      <c r="D1001" s="1" t="str">
        <f t="shared" si="109"/>
        <v>قراردادي بهره بردار</v>
      </c>
      <c r="E1001" s="1" t="str">
        <f t="shared" si="108"/>
        <v>پروژه تعميرات نيروگاه بوشهر</v>
      </c>
      <c r="F1001" s="1">
        <v>11349844</v>
      </c>
      <c r="G1001" s="1">
        <v>0</v>
      </c>
      <c r="H1001" s="1">
        <v>0</v>
      </c>
      <c r="I1001" s="1">
        <v>5906491</v>
      </c>
      <c r="J1001" s="1">
        <v>0</v>
      </c>
      <c r="K1001" s="1">
        <v>4620000</v>
      </c>
      <c r="L1001" s="1">
        <v>0</v>
      </c>
      <c r="M1001" s="1">
        <v>1000000</v>
      </c>
      <c r="N1001" s="1">
        <v>1948269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1387000</v>
      </c>
      <c r="U1001" s="1">
        <v>0</v>
      </c>
      <c r="V1001" s="1">
        <v>2492794</v>
      </c>
      <c r="W1001" s="1">
        <v>1900000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1391621</v>
      </c>
      <c r="AF1001" s="1">
        <v>1516881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4331715</v>
      </c>
      <c r="AM1001" s="1">
        <v>0</v>
      </c>
      <c r="AN1001" s="1">
        <v>0</v>
      </c>
      <c r="AO1001" s="1">
        <v>37844615</v>
      </c>
      <c r="AP1001" s="1">
        <v>2750408</v>
      </c>
      <c r="AQ1001" s="1">
        <v>35094207</v>
      </c>
      <c r="AR1001" s="1">
        <v>7265547</v>
      </c>
      <c r="AS1001" s="1">
        <v>1089832</v>
      </c>
      <c r="AT1001" s="1">
        <f t="shared" si="106"/>
        <v>46199994</v>
      </c>
    </row>
    <row r="1002" spans="1:46" x14ac:dyDescent="0.2">
      <c r="A1002" s="1" t="str">
        <f>"01292"</f>
        <v>01292</v>
      </c>
      <c r="B1002" s="1" t="str">
        <f>"عباس"</f>
        <v>عباس</v>
      </c>
      <c r="C1002" s="1" t="str">
        <f>"ايمان منش"</f>
        <v>ايمان منش</v>
      </c>
      <c r="D1002" s="1" t="str">
        <f t="shared" si="109"/>
        <v>قراردادي بهره بردار</v>
      </c>
      <c r="E1002" s="1" t="str">
        <f t="shared" si="108"/>
        <v>پروژه تعميرات نيروگاه بوشهر</v>
      </c>
      <c r="F1002" s="1">
        <v>11759499</v>
      </c>
      <c r="G1002" s="1">
        <v>0</v>
      </c>
      <c r="H1002" s="1">
        <v>0</v>
      </c>
      <c r="I1002" s="1">
        <v>6219717</v>
      </c>
      <c r="J1002" s="1">
        <v>0</v>
      </c>
      <c r="K1002" s="1">
        <v>3465000</v>
      </c>
      <c r="L1002" s="1">
        <v>0</v>
      </c>
      <c r="M1002" s="1">
        <v>1000000</v>
      </c>
      <c r="N1002" s="1">
        <v>2091649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1387000</v>
      </c>
      <c r="U1002" s="1">
        <v>0</v>
      </c>
      <c r="V1002" s="1">
        <v>2649565</v>
      </c>
      <c r="W1002" s="1">
        <v>1900000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1494035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4930753</v>
      </c>
      <c r="AM1002" s="1">
        <v>0</v>
      </c>
      <c r="AN1002" s="1">
        <v>0</v>
      </c>
      <c r="AO1002" s="1">
        <v>36897218</v>
      </c>
      <c r="AP1002" s="1">
        <v>16651610</v>
      </c>
      <c r="AQ1002" s="1">
        <v>20245608</v>
      </c>
      <c r="AR1002" s="1">
        <v>7379444</v>
      </c>
      <c r="AS1002" s="1">
        <v>1106917</v>
      </c>
      <c r="AT1002" s="1">
        <f t="shared" si="106"/>
        <v>45383579</v>
      </c>
    </row>
    <row r="1003" spans="1:46" x14ac:dyDescent="0.2">
      <c r="A1003" s="1" t="str">
        <f>"01294"</f>
        <v>01294</v>
      </c>
      <c r="B1003" s="1" t="str">
        <f>"حسين"</f>
        <v>حسين</v>
      </c>
      <c r="C1003" s="1" t="str">
        <f>"باغباني"</f>
        <v>باغباني</v>
      </c>
      <c r="D1003" s="1" t="str">
        <f t="shared" si="109"/>
        <v>قراردادي بهره بردار</v>
      </c>
      <c r="E1003" s="1" t="str">
        <f t="shared" si="108"/>
        <v>پروژه تعميرات نيروگاه بوشهر</v>
      </c>
      <c r="F1003" s="1">
        <v>10263273</v>
      </c>
      <c r="G1003" s="1">
        <v>0</v>
      </c>
      <c r="H1003" s="1">
        <v>0</v>
      </c>
      <c r="I1003" s="1">
        <v>5196909</v>
      </c>
      <c r="J1003" s="1">
        <v>0</v>
      </c>
      <c r="K1003" s="1">
        <v>3465000</v>
      </c>
      <c r="L1003" s="1">
        <v>0</v>
      </c>
      <c r="M1003" s="1">
        <v>1000000</v>
      </c>
      <c r="N1003" s="1">
        <v>1682980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1387000</v>
      </c>
      <c r="U1003" s="1">
        <v>0</v>
      </c>
      <c r="V1003" s="1">
        <v>2629248</v>
      </c>
      <c r="W1003" s="1">
        <v>1900000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1202128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7947191</v>
      </c>
      <c r="AM1003" s="1">
        <v>0</v>
      </c>
      <c r="AN1003" s="1">
        <v>0</v>
      </c>
      <c r="AO1003" s="1">
        <v>36673729</v>
      </c>
      <c r="AP1003" s="1">
        <v>13953254</v>
      </c>
      <c r="AQ1003" s="1">
        <v>22720475</v>
      </c>
      <c r="AR1003" s="1">
        <v>7334746</v>
      </c>
      <c r="AS1003" s="1">
        <v>1100212</v>
      </c>
      <c r="AT1003" s="1">
        <f t="shared" si="106"/>
        <v>45108687</v>
      </c>
    </row>
    <row r="1004" spans="1:46" x14ac:dyDescent="0.2">
      <c r="A1004" s="1" t="str">
        <f>"01295"</f>
        <v>01295</v>
      </c>
      <c r="B1004" s="1" t="str">
        <f>"مهدي"</f>
        <v>مهدي</v>
      </c>
      <c r="C1004" s="1" t="str">
        <f>"برمک"</f>
        <v>برمک</v>
      </c>
      <c r="D1004" s="1" t="str">
        <f t="shared" si="109"/>
        <v>قراردادي بهره بردار</v>
      </c>
      <c r="E1004" s="1" t="str">
        <f t="shared" si="108"/>
        <v>پروژه تعميرات نيروگاه بوشهر</v>
      </c>
      <c r="F1004" s="1">
        <v>10410048</v>
      </c>
      <c r="G1004" s="1">
        <v>0</v>
      </c>
      <c r="H1004" s="1">
        <v>0</v>
      </c>
      <c r="I1004" s="1">
        <v>5372785</v>
      </c>
      <c r="J1004" s="1">
        <v>0</v>
      </c>
      <c r="K1004" s="1">
        <v>4620000</v>
      </c>
      <c r="L1004" s="1">
        <v>0</v>
      </c>
      <c r="M1004" s="1">
        <v>1000000</v>
      </c>
      <c r="N1004" s="1">
        <v>1734351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1387000</v>
      </c>
      <c r="U1004" s="1">
        <v>0</v>
      </c>
      <c r="V1004" s="1">
        <v>2363397</v>
      </c>
      <c r="W1004" s="1">
        <v>1900000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1238822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4877957</v>
      </c>
      <c r="AM1004" s="1">
        <v>0</v>
      </c>
      <c r="AN1004" s="1">
        <v>0</v>
      </c>
      <c r="AO1004" s="1">
        <v>34904360</v>
      </c>
      <c r="AP1004" s="1">
        <v>3207375</v>
      </c>
      <c r="AQ1004" s="1">
        <v>31696985</v>
      </c>
      <c r="AR1004" s="1">
        <v>6980872</v>
      </c>
      <c r="AS1004" s="1">
        <v>1047131</v>
      </c>
      <c r="AT1004" s="1">
        <f t="shared" si="106"/>
        <v>42932363</v>
      </c>
    </row>
    <row r="1005" spans="1:46" x14ac:dyDescent="0.2">
      <c r="A1005" s="1" t="str">
        <f>"01297"</f>
        <v>01297</v>
      </c>
      <c r="B1005" s="1" t="str">
        <f>"مهدي"</f>
        <v>مهدي</v>
      </c>
      <c r="C1005" s="1" t="str">
        <f>"بيژني"</f>
        <v>بيژني</v>
      </c>
      <c r="D1005" s="1" t="str">
        <f t="shared" si="109"/>
        <v>قراردادي بهره بردار</v>
      </c>
      <c r="E1005" s="1" t="str">
        <f t="shared" si="108"/>
        <v>پروژه تعميرات نيروگاه بوشهر</v>
      </c>
      <c r="F1005" s="1">
        <v>10431955</v>
      </c>
      <c r="G1005" s="1">
        <v>0</v>
      </c>
      <c r="H1005" s="1">
        <v>0</v>
      </c>
      <c r="I1005" s="1">
        <v>5389483</v>
      </c>
      <c r="J1005" s="1">
        <v>0</v>
      </c>
      <c r="K1005" s="1">
        <v>4620000</v>
      </c>
      <c r="L1005" s="1">
        <v>0</v>
      </c>
      <c r="M1005" s="1">
        <v>1000000</v>
      </c>
      <c r="N1005" s="1">
        <v>1742018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1387000</v>
      </c>
      <c r="U1005" s="1">
        <v>0</v>
      </c>
      <c r="V1005" s="1">
        <v>2334507</v>
      </c>
      <c r="W1005" s="1">
        <v>1900000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1244299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4537309</v>
      </c>
      <c r="AM1005" s="1">
        <v>0</v>
      </c>
      <c r="AN1005" s="1">
        <v>0</v>
      </c>
      <c r="AO1005" s="1">
        <v>34586571</v>
      </c>
      <c r="AP1005" s="1">
        <v>3177060</v>
      </c>
      <c r="AQ1005" s="1">
        <v>31409511</v>
      </c>
      <c r="AR1005" s="1">
        <v>6917314</v>
      </c>
      <c r="AS1005" s="1">
        <v>1037597</v>
      </c>
      <c r="AT1005" s="1">
        <f t="shared" si="106"/>
        <v>42541482</v>
      </c>
    </row>
    <row r="1006" spans="1:46" x14ac:dyDescent="0.2">
      <c r="A1006" s="1" t="str">
        <f>"01298"</f>
        <v>01298</v>
      </c>
      <c r="B1006" s="1" t="str">
        <f>"کريم"</f>
        <v>کريم</v>
      </c>
      <c r="C1006" s="1" t="str">
        <f>"پرتابيان"</f>
        <v>پرتابيان</v>
      </c>
      <c r="D1006" s="1" t="str">
        <f t="shared" si="109"/>
        <v>قراردادي بهره بردار</v>
      </c>
      <c r="E1006" s="1" t="str">
        <f t="shared" si="108"/>
        <v>پروژه تعميرات نيروگاه بوشهر</v>
      </c>
      <c r="F1006" s="1">
        <v>11047532</v>
      </c>
      <c r="G1006" s="1">
        <v>0</v>
      </c>
      <c r="H1006" s="1">
        <v>0</v>
      </c>
      <c r="I1006" s="1">
        <v>6335531</v>
      </c>
      <c r="J1006" s="1">
        <v>0</v>
      </c>
      <c r="K1006" s="1">
        <v>4620000</v>
      </c>
      <c r="L1006" s="1">
        <v>0</v>
      </c>
      <c r="M1006" s="1">
        <v>1000000</v>
      </c>
      <c r="N1006" s="1">
        <v>1700615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1387000</v>
      </c>
      <c r="U1006" s="1">
        <v>0</v>
      </c>
      <c r="V1006" s="1">
        <v>2551482</v>
      </c>
      <c r="W1006" s="1">
        <v>1900000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1214725</v>
      </c>
      <c r="AF1006" s="1">
        <v>1516881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5216415</v>
      </c>
      <c r="AM1006" s="1">
        <v>0</v>
      </c>
      <c r="AN1006" s="1">
        <v>0</v>
      </c>
      <c r="AO1006" s="1">
        <v>38490181</v>
      </c>
      <c r="AP1006" s="1">
        <v>2855636</v>
      </c>
      <c r="AQ1006" s="1">
        <v>35634545</v>
      </c>
      <c r="AR1006" s="1">
        <v>7394660</v>
      </c>
      <c r="AS1006" s="1">
        <v>1109199</v>
      </c>
      <c r="AT1006" s="1">
        <f t="shared" si="106"/>
        <v>46994040</v>
      </c>
    </row>
    <row r="1007" spans="1:46" x14ac:dyDescent="0.2">
      <c r="A1007" s="1" t="str">
        <f>"01299"</f>
        <v>01299</v>
      </c>
      <c r="B1007" s="1" t="str">
        <f>"عارف"</f>
        <v>عارف</v>
      </c>
      <c r="C1007" s="1" t="str">
        <f>"پورسوسن"</f>
        <v>پورسوسن</v>
      </c>
      <c r="D1007" s="1" t="str">
        <f t="shared" si="109"/>
        <v>قراردادي بهره بردار</v>
      </c>
      <c r="E1007" s="1" t="str">
        <f t="shared" si="108"/>
        <v>پروژه تعميرات نيروگاه بوشهر</v>
      </c>
      <c r="F1007" s="1">
        <v>10567776</v>
      </c>
      <c r="G1007" s="1">
        <v>0</v>
      </c>
      <c r="H1007" s="1">
        <v>0</v>
      </c>
      <c r="I1007" s="1">
        <v>5482095</v>
      </c>
      <c r="J1007" s="1">
        <v>0</v>
      </c>
      <c r="K1007" s="1">
        <v>4620000</v>
      </c>
      <c r="L1007" s="1">
        <v>0</v>
      </c>
      <c r="M1007" s="1">
        <v>1000000</v>
      </c>
      <c r="N1007" s="1">
        <v>1789556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1387000</v>
      </c>
      <c r="U1007" s="1">
        <v>0</v>
      </c>
      <c r="V1007" s="1">
        <v>2408370</v>
      </c>
      <c r="W1007" s="1">
        <v>1900000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1278254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4966022</v>
      </c>
      <c r="AM1007" s="1">
        <v>0</v>
      </c>
      <c r="AN1007" s="1">
        <v>0</v>
      </c>
      <c r="AO1007" s="1">
        <v>35399073</v>
      </c>
      <c r="AP1007" s="1">
        <v>7087796</v>
      </c>
      <c r="AQ1007" s="1">
        <v>28311277</v>
      </c>
      <c r="AR1007" s="1">
        <v>7079815</v>
      </c>
      <c r="AS1007" s="1">
        <v>1061972</v>
      </c>
      <c r="AT1007" s="1">
        <f t="shared" si="106"/>
        <v>43540860</v>
      </c>
    </row>
    <row r="1008" spans="1:46" x14ac:dyDescent="0.2">
      <c r="A1008" s="1" t="str">
        <f>"01300"</f>
        <v>01300</v>
      </c>
      <c r="B1008" s="1" t="str">
        <f>"محمدجواد"</f>
        <v>محمدجواد</v>
      </c>
      <c r="C1008" s="1" t="str">
        <f>"پولادي"</f>
        <v>پولادي</v>
      </c>
      <c r="D1008" s="1" t="str">
        <f t="shared" si="109"/>
        <v>قراردادي بهره بردار</v>
      </c>
      <c r="E1008" s="1" t="str">
        <f t="shared" si="108"/>
        <v>پروژه تعميرات نيروگاه بوشهر</v>
      </c>
      <c r="F1008" s="1">
        <v>16114544</v>
      </c>
      <c r="G1008" s="1">
        <v>0</v>
      </c>
      <c r="H1008" s="1">
        <v>0</v>
      </c>
      <c r="I1008" s="1">
        <v>7981284</v>
      </c>
      <c r="J1008" s="1">
        <v>0</v>
      </c>
      <c r="K1008" s="1">
        <v>5500000</v>
      </c>
      <c r="L1008" s="1">
        <v>0</v>
      </c>
      <c r="M1008" s="1">
        <v>1000000</v>
      </c>
      <c r="N1008" s="1">
        <v>2454313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1387000</v>
      </c>
      <c r="U1008" s="1">
        <v>0</v>
      </c>
      <c r="V1008" s="1">
        <v>3253406</v>
      </c>
      <c r="W1008" s="1">
        <v>1900000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1753081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4230835</v>
      </c>
      <c r="AM1008" s="1">
        <v>0</v>
      </c>
      <c r="AN1008" s="1">
        <v>0</v>
      </c>
      <c r="AO1008" s="1">
        <v>45574463</v>
      </c>
      <c r="AP1008" s="1">
        <v>4105937</v>
      </c>
      <c r="AQ1008" s="1">
        <v>41468526</v>
      </c>
      <c r="AR1008" s="1">
        <v>9114893</v>
      </c>
      <c r="AS1008" s="1">
        <v>1367234</v>
      </c>
      <c r="AT1008" s="1">
        <f t="shared" si="106"/>
        <v>56056590</v>
      </c>
    </row>
    <row r="1009" spans="1:46" x14ac:dyDescent="0.2">
      <c r="A1009" s="1" t="str">
        <f>"01301"</f>
        <v>01301</v>
      </c>
      <c r="B1009" s="1" t="str">
        <f>"حامد"</f>
        <v>حامد</v>
      </c>
      <c r="C1009" s="1" t="str">
        <f>"تاروردي چماچايي"</f>
        <v>تاروردي چماچايي</v>
      </c>
      <c r="D1009" s="1" t="str">
        <f t="shared" si="109"/>
        <v>قراردادي بهره بردار</v>
      </c>
      <c r="E1009" s="1" t="str">
        <f t="shared" si="108"/>
        <v>پروژه تعميرات نيروگاه بوشهر</v>
      </c>
      <c r="F1009" s="1">
        <v>17076247</v>
      </c>
      <c r="G1009" s="1">
        <v>0</v>
      </c>
      <c r="H1009" s="1">
        <v>0</v>
      </c>
      <c r="I1009" s="1">
        <v>8619470</v>
      </c>
      <c r="J1009" s="1">
        <v>0</v>
      </c>
      <c r="K1009" s="1">
        <v>4125000</v>
      </c>
      <c r="L1009" s="1">
        <v>0</v>
      </c>
      <c r="M1009" s="1">
        <v>1000000</v>
      </c>
      <c r="N1009" s="1">
        <v>2790909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1387000</v>
      </c>
      <c r="U1009" s="1">
        <v>0</v>
      </c>
      <c r="V1009" s="1">
        <v>3452848</v>
      </c>
      <c r="W1009" s="1">
        <v>1900000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1993507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4048352</v>
      </c>
      <c r="AM1009" s="1">
        <v>0</v>
      </c>
      <c r="AN1009" s="1">
        <v>0</v>
      </c>
      <c r="AO1009" s="1">
        <v>46393333</v>
      </c>
      <c r="AP1009" s="1">
        <v>5432756</v>
      </c>
      <c r="AQ1009" s="1">
        <v>40960577</v>
      </c>
      <c r="AR1009" s="1">
        <v>9278667</v>
      </c>
      <c r="AS1009" s="1">
        <v>1391800</v>
      </c>
      <c r="AT1009" s="1">
        <f t="shared" si="106"/>
        <v>57063800</v>
      </c>
    </row>
    <row r="1010" spans="1:46" x14ac:dyDescent="0.2">
      <c r="A1010" s="1" t="str">
        <f>"01303"</f>
        <v>01303</v>
      </c>
      <c r="B1010" s="1" t="str">
        <f>"رضا"</f>
        <v>رضا</v>
      </c>
      <c r="C1010" s="1" t="str">
        <f>"تيموري"</f>
        <v>تيموري</v>
      </c>
      <c r="D1010" s="1" t="str">
        <f t="shared" si="109"/>
        <v>قراردادي بهره بردار</v>
      </c>
      <c r="E1010" s="1" t="str">
        <f t="shared" si="108"/>
        <v>پروژه تعميرات نيروگاه بوشهر</v>
      </c>
      <c r="F1010" s="1">
        <v>15176939</v>
      </c>
      <c r="G1010" s="1">
        <v>0</v>
      </c>
      <c r="H1010" s="1">
        <v>0</v>
      </c>
      <c r="I1010" s="1">
        <v>7610700</v>
      </c>
      <c r="J1010" s="1">
        <v>0</v>
      </c>
      <c r="K1010" s="1">
        <v>5500000</v>
      </c>
      <c r="L1010" s="1">
        <v>0</v>
      </c>
      <c r="M1010" s="1">
        <v>1000000</v>
      </c>
      <c r="N1010" s="1">
        <v>2310168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1387000</v>
      </c>
      <c r="U1010" s="1">
        <v>0</v>
      </c>
      <c r="V1010" s="1">
        <v>3097131</v>
      </c>
      <c r="W1010" s="1">
        <v>1900000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1650120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4223386</v>
      </c>
      <c r="AM1010" s="1">
        <v>0</v>
      </c>
      <c r="AN1010" s="1">
        <v>0</v>
      </c>
      <c r="AO1010" s="1">
        <v>43855444</v>
      </c>
      <c r="AP1010" s="1">
        <v>3825737</v>
      </c>
      <c r="AQ1010" s="1">
        <v>40029707</v>
      </c>
      <c r="AR1010" s="1">
        <v>8771089</v>
      </c>
      <c r="AS1010" s="1">
        <v>1315663</v>
      </c>
      <c r="AT1010" s="1">
        <f t="shared" si="106"/>
        <v>53942196</v>
      </c>
    </row>
    <row r="1011" spans="1:46" x14ac:dyDescent="0.2">
      <c r="A1011" s="1" t="str">
        <f>"01304"</f>
        <v>01304</v>
      </c>
      <c r="B1011" s="1" t="str">
        <f>"محسن"</f>
        <v>محسن</v>
      </c>
      <c r="C1011" s="1" t="str">
        <f>"جعفري"</f>
        <v>جعفري</v>
      </c>
      <c r="D1011" s="1" t="str">
        <f t="shared" si="109"/>
        <v>قراردادي بهره بردار</v>
      </c>
      <c r="E1011" s="1" t="str">
        <f t="shared" si="108"/>
        <v>پروژه تعميرات نيروگاه بوشهر</v>
      </c>
      <c r="F1011" s="1">
        <v>14749759</v>
      </c>
      <c r="G1011" s="1">
        <v>0</v>
      </c>
      <c r="H1011" s="1">
        <v>0</v>
      </c>
      <c r="I1011" s="1">
        <v>7216655</v>
      </c>
      <c r="J1011" s="1">
        <v>0</v>
      </c>
      <c r="K1011" s="1">
        <v>4125000</v>
      </c>
      <c r="L1011" s="1">
        <v>0</v>
      </c>
      <c r="M1011" s="1">
        <v>1000000</v>
      </c>
      <c r="N1011" s="1">
        <v>2160655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1387000</v>
      </c>
      <c r="U1011" s="1">
        <v>0</v>
      </c>
      <c r="V1011" s="1">
        <v>2985325</v>
      </c>
      <c r="W1011" s="1">
        <v>1900000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1543325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4182859</v>
      </c>
      <c r="AM1011" s="1">
        <v>0</v>
      </c>
      <c r="AN1011" s="1">
        <v>0</v>
      </c>
      <c r="AO1011" s="1">
        <v>41250578</v>
      </c>
      <c r="AP1011" s="1">
        <v>3401144</v>
      </c>
      <c r="AQ1011" s="1">
        <v>37849434</v>
      </c>
      <c r="AR1011" s="1">
        <v>8250116</v>
      </c>
      <c r="AS1011" s="1">
        <v>1237517</v>
      </c>
      <c r="AT1011" s="1">
        <f t="shared" si="106"/>
        <v>50738211</v>
      </c>
    </row>
    <row r="1012" spans="1:46" x14ac:dyDescent="0.2">
      <c r="A1012" s="1" t="str">
        <f>"01305"</f>
        <v>01305</v>
      </c>
      <c r="B1012" s="1" t="str">
        <f>"حسن"</f>
        <v>حسن</v>
      </c>
      <c r="C1012" s="1" t="str">
        <f>"جلوه گر خوش"</f>
        <v>جلوه گر خوش</v>
      </c>
      <c r="D1012" s="1" t="str">
        <f t="shared" si="109"/>
        <v>قراردادي بهره بردار</v>
      </c>
      <c r="E1012" s="1" t="str">
        <f t="shared" si="108"/>
        <v>پروژه تعميرات نيروگاه بوشهر</v>
      </c>
      <c r="F1012" s="1">
        <v>9901813</v>
      </c>
      <c r="G1012" s="1">
        <v>1733455</v>
      </c>
      <c r="H1012" s="1">
        <v>0</v>
      </c>
      <c r="I1012" s="1">
        <v>5020563</v>
      </c>
      <c r="J1012" s="1">
        <v>0</v>
      </c>
      <c r="K1012" s="1">
        <v>4620000</v>
      </c>
      <c r="L1012" s="1">
        <v>0</v>
      </c>
      <c r="M1012" s="1">
        <v>1000000</v>
      </c>
      <c r="N1012" s="1">
        <v>1556469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1387000</v>
      </c>
      <c r="U1012" s="1">
        <v>0</v>
      </c>
      <c r="V1012" s="1">
        <v>2233231</v>
      </c>
      <c r="W1012" s="1">
        <v>1900000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1111763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4741698</v>
      </c>
      <c r="AM1012" s="1">
        <v>0</v>
      </c>
      <c r="AN1012" s="1">
        <v>0</v>
      </c>
      <c r="AO1012" s="1">
        <v>35205992</v>
      </c>
      <c r="AP1012" s="1">
        <v>12417557</v>
      </c>
      <c r="AQ1012" s="1">
        <v>22788435</v>
      </c>
      <c r="AR1012" s="1">
        <v>7041198</v>
      </c>
      <c r="AS1012" s="1">
        <v>1056180</v>
      </c>
      <c r="AT1012" s="1">
        <f t="shared" si="106"/>
        <v>43303370</v>
      </c>
    </row>
    <row r="1013" spans="1:46" x14ac:dyDescent="0.2">
      <c r="A1013" s="1" t="str">
        <f>"01306"</f>
        <v>01306</v>
      </c>
      <c r="B1013" s="1" t="str">
        <f>"علي اكبر"</f>
        <v>علي اكبر</v>
      </c>
      <c r="C1013" s="1" t="str">
        <f>"جوان فر"</f>
        <v>جوان فر</v>
      </c>
      <c r="D1013" s="1" t="str">
        <f t="shared" si="109"/>
        <v>قراردادي بهره بردار</v>
      </c>
      <c r="E1013" s="1" t="str">
        <f t="shared" si="108"/>
        <v>پروژه تعميرات نيروگاه بوشهر</v>
      </c>
      <c r="F1013" s="1">
        <v>10940189</v>
      </c>
      <c r="G1013" s="1">
        <v>0</v>
      </c>
      <c r="H1013" s="1">
        <v>0</v>
      </c>
      <c r="I1013" s="1">
        <v>5740188</v>
      </c>
      <c r="J1013" s="1">
        <v>0</v>
      </c>
      <c r="K1013" s="1">
        <v>4620000</v>
      </c>
      <c r="L1013" s="1">
        <v>0</v>
      </c>
      <c r="M1013" s="1">
        <v>1000000</v>
      </c>
      <c r="N1013" s="1">
        <v>1919900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1387000</v>
      </c>
      <c r="U1013" s="1">
        <v>0</v>
      </c>
      <c r="V1013" s="1">
        <v>2455758</v>
      </c>
      <c r="W1013" s="1">
        <v>1900000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1371357</v>
      </c>
      <c r="AF1013" s="1">
        <v>1516881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4585942</v>
      </c>
      <c r="AM1013" s="1">
        <v>0</v>
      </c>
      <c r="AN1013" s="1">
        <v>0</v>
      </c>
      <c r="AO1013" s="1">
        <v>37437215</v>
      </c>
      <c r="AP1013" s="1">
        <v>2684002</v>
      </c>
      <c r="AQ1013" s="1">
        <v>34753213</v>
      </c>
      <c r="AR1013" s="1">
        <v>7184067</v>
      </c>
      <c r="AS1013" s="1">
        <v>1077610</v>
      </c>
      <c r="AT1013" s="1">
        <f t="shared" si="106"/>
        <v>45698892</v>
      </c>
    </row>
    <row r="1014" spans="1:46" x14ac:dyDescent="0.2">
      <c r="A1014" s="1" t="str">
        <f>"01307"</f>
        <v>01307</v>
      </c>
      <c r="B1014" s="1" t="str">
        <f>"سيد صادق"</f>
        <v>سيد صادق</v>
      </c>
      <c r="C1014" s="1" t="str">
        <f>"حسيني"</f>
        <v>حسيني</v>
      </c>
      <c r="D1014" s="1" t="str">
        <f t="shared" si="109"/>
        <v>قراردادي بهره بردار</v>
      </c>
      <c r="E1014" s="1" t="str">
        <f t="shared" si="108"/>
        <v>پروژه تعميرات نيروگاه بوشهر</v>
      </c>
      <c r="F1014" s="1">
        <v>15003876</v>
      </c>
      <c r="G1014" s="1">
        <v>0</v>
      </c>
      <c r="H1014" s="1">
        <v>0</v>
      </c>
      <c r="I1014" s="1">
        <v>7388251</v>
      </c>
      <c r="J1014" s="1">
        <v>0</v>
      </c>
      <c r="K1014" s="1">
        <v>4125000</v>
      </c>
      <c r="L1014" s="1">
        <v>0</v>
      </c>
      <c r="M1014" s="1">
        <v>1000000</v>
      </c>
      <c r="N1014" s="1">
        <v>2249596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1387000</v>
      </c>
      <c r="U1014" s="1">
        <v>0</v>
      </c>
      <c r="V1014" s="1">
        <v>3049452</v>
      </c>
      <c r="W1014" s="1">
        <v>1900000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1606854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4245950</v>
      </c>
      <c r="AM1014" s="1">
        <v>0</v>
      </c>
      <c r="AN1014" s="1">
        <v>0</v>
      </c>
      <c r="AO1014" s="1">
        <v>41955979</v>
      </c>
      <c r="AP1014" s="1">
        <v>15256654</v>
      </c>
      <c r="AQ1014" s="1">
        <v>26699325</v>
      </c>
      <c r="AR1014" s="1">
        <v>8391196</v>
      </c>
      <c r="AS1014" s="1">
        <v>1258679</v>
      </c>
      <c r="AT1014" s="1">
        <f t="shared" si="106"/>
        <v>51605854</v>
      </c>
    </row>
    <row r="1015" spans="1:46" x14ac:dyDescent="0.2">
      <c r="A1015" s="1" t="str">
        <f>"01308"</f>
        <v>01308</v>
      </c>
      <c r="B1015" s="1" t="str">
        <f>"رضا"</f>
        <v>رضا</v>
      </c>
      <c r="C1015" s="1" t="str">
        <f>"خدري"</f>
        <v>خدري</v>
      </c>
      <c r="D1015" s="1" t="str">
        <f t="shared" si="109"/>
        <v>قراردادي بهره بردار</v>
      </c>
      <c r="E1015" s="1" t="str">
        <f t="shared" si="108"/>
        <v>پروژه تعميرات نيروگاه بوشهر</v>
      </c>
      <c r="F1015" s="1">
        <v>10607208</v>
      </c>
      <c r="G1015" s="1">
        <v>4879263</v>
      </c>
      <c r="H1015" s="1">
        <v>0</v>
      </c>
      <c r="I1015" s="1">
        <v>5509422</v>
      </c>
      <c r="J1015" s="1">
        <v>0</v>
      </c>
      <c r="K1015" s="1">
        <v>3465000</v>
      </c>
      <c r="L1015" s="1">
        <v>0</v>
      </c>
      <c r="M1015" s="1">
        <v>1000000</v>
      </c>
      <c r="N1015" s="1">
        <v>1803357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1387000</v>
      </c>
      <c r="U1015" s="1">
        <v>0</v>
      </c>
      <c r="V1015" s="1">
        <v>2417697</v>
      </c>
      <c r="W1015" s="1">
        <v>1900000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1288112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4968870</v>
      </c>
      <c r="AM1015" s="1">
        <v>0</v>
      </c>
      <c r="AN1015" s="1">
        <v>0</v>
      </c>
      <c r="AO1015" s="1">
        <v>39225929</v>
      </c>
      <c r="AP1015" s="1">
        <v>3071126</v>
      </c>
      <c r="AQ1015" s="1">
        <v>36154803</v>
      </c>
      <c r="AR1015" s="1">
        <v>7845186</v>
      </c>
      <c r="AS1015" s="1">
        <v>1176778</v>
      </c>
      <c r="AT1015" s="1">
        <f t="shared" si="106"/>
        <v>48247893</v>
      </c>
    </row>
    <row r="1016" spans="1:46" x14ac:dyDescent="0.2">
      <c r="A1016" s="1" t="str">
        <f>"01309"</f>
        <v>01309</v>
      </c>
      <c r="B1016" s="1" t="str">
        <f>"سجاد"</f>
        <v>سجاد</v>
      </c>
      <c r="C1016" s="1" t="str">
        <f>"ذكاوت جو"</f>
        <v>ذكاوت جو</v>
      </c>
      <c r="D1016" s="1" t="str">
        <f t="shared" si="109"/>
        <v>قراردادي بهره بردار</v>
      </c>
      <c r="E1016" s="1" t="str">
        <f t="shared" si="108"/>
        <v>پروژه تعميرات نيروگاه بوشهر</v>
      </c>
      <c r="F1016" s="1">
        <v>10344328</v>
      </c>
      <c r="G1016" s="1">
        <v>0</v>
      </c>
      <c r="H1016" s="1">
        <v>0</v>
      </c>
      <c r="I1016" s="1">
        <v>5327239</v>
      </c>
      <c r="J1016" s="1">
        <v>0</v>
      </c>
      <c r="K1016" s="1">
        <v>3465000</v>
      </c>
      <c r="L1016" s="1">
        <v>0</v>
      </c>
      <c r="M1016" s="1">
        <v>1000000</v>
      </c>
      <c r="N1016" s="1">
        <v>1711349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1387000</v>
      </c>
      <c r="U1016" s="1">
        <v>0</v>
      </c>
      <c r="V1016" s="1">
        <v>2335292</v>
      </c>
      <c r="W1016" s="1">
        <v>1900000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1222392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4747613</v>
      </c>
      <c r="AM1016" s="1">
        <v>0</v>
      </c>
      <c r="AN1016" s="1">
        <v>0</v>
      </c>
      <c r="AO1016" s="1">
        <v>33440213</v>
      </c>
      <c r="AP1016" s="1">
        <v>2346815</v>
      </c>
      <c r="AQ1016" s="1">
        <v>31093398</v>
      </c>
      <c r="AR1016" s="1">
        <v>6688043</v>
      </c>
      <c r="AS1016" s="1">
        <v>1003206</v>
      </c>
      <c r="AT1016" s="1">
        <f t="shared" si="106"/>
        <v>41131462</v>
      </c>
    </row>
    <row r="1017" spans="1:46" x14ac:dyDescent="0.2">
      <c r="A1017" s="1" t="str">
        <f>"01310"</f>
        <v>01310</v>
      </c>
      <c r="B1017" s="1" t="str">
        <f>"فرهاد"</f>
        <v>فرهاد</v>
      </c>
      <c r="C1017" s="1" t="str">
        <f>"رازقي نيا"</f>
        <v>رازقي نيا</v>
      </c>
      <c r="D1017" s="1" t="str">
        <f t="shared" si="109"/>
        <v>قراردادي بهره بردار</v>
      </c>
      <c r="E1017" s="1" t="str">
        <f t="shared" si="108"/>
        <v>پروژه تعميرات نيروگاه بوشهر</v>
      </c>
      <c r="F1017" s="1">
        <v>9910576</v>
      </c>
      <c r="G1017" s="1">
        <v>0</v>
      </c>
      <c r="H1017" s="1">
        <v>0</v>
      </c>
      <c r="I1017" s="1">
        <v>5026636</v>
      </c>
      <c r="J1017" s="1">
        <v>0</v>
      </c>
      <c r="K1017" s="1">
        <v>3465000</v>
      </c>
      <c r="L1017" s="1">
        <v>0</v>
      </c>
      <c r="M1017" s="1">
        <v>1000000</v>
      </c>
      <c r="N1017" s="1">
        <v>1559536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1387000</v>
      </c>
      <c r="U1017" s="1">
        <v>0</v>
      </c>
      <c r="V1017" s="1">
        <v>2234670</v>
      </c>
      <c r="W1017" s="1">
        <v>1900000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1113954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4736002</v>
      </c>
      <c r="AM1017" s="1">
        <v>0</v>
      </c>
      <c r="AN1017" s="1">
        <v>0</v>
      </c>
      <c r="AO1017" s="1">
        <v>32333374</v>
      </c>
      <c r="AP1017" s="1">
        <v>2857009</v>
      </c>
      <c r="AQ1017" s="1">
        <v>29476365</v>
      </c>
      <c r="AR1017" s="1">
        <v>6466675</v>
      </c>
      <c r="AS1017" s="1">
        <v>970001</v>
      </c>
      <c r="AT1017" s="1">
        <f t="shared" si="106"/>
        <v>39770050</v>
      </c>
    </row>
    <row r="1018" spans="1:46" x14ac:dyDescent="0.2">
      <c r="A1018" s="1" t="str">
        <f>"01311"</f>
        <v>01311</v>
      </c>
      <c r="B1018" s="1" t="str">
        <f>"محمدرضا"</f>
        <v>محمدرضا</v>
      </c>
      <c r="C1018" s="1" t="str">
        <f>"ربيعي"</f>
        <v>ربيعي</v>
      </c>
      <c r="D1018" s="1" t="str">
        <f t="shared" si="109"/>
        <v>قراردادي بهره بردار</v>
      </c>
      <c r="E1018" s="1" t="str">
        <f t="shared" si="108"/>
        <v>پروژه تعميرات نيروگاه بوشهر</v>
      </c>
      <c r="F1018" s="1">
        <v>9879907</v>
      </c>
      <c r="G1018" s="1">
        <v>0</v>
      </c>
      <c r="H1018" s="1">
        <v>0</v>
      </c>
      <c r="I1018" s="1">
        <v>5005381</v>
      </c>
      <c r="J1018" s="1">
        <v>0</v>
      </c>
      <c r="K1018" s="1">
        <v>3465000</v>
      </c>
      <c r="L1018" s="1">
        <v>0</v>
      </c>
      <c r="M1018" s="1">
        <v>1000000</v>
      </c>
      <c r="N1018" s="1">
        <v>1548801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1387000</v>
      </c>
      <c r="U1018" s="1">
        <v>0</v>
      </c>
      <c r="V1018" s="1">
        <v>2227441</v>
      </c>
      <c r="W1018" s="1">
        <v>1900000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1106287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4734031</v>
      </c>
      <c r="AM1018" s="1">
        <v>0</v>
      </c>
      <c r="AN1018" s="1">
        <v>0</v>
      </c>
      <c r="AO1018" s="1">
        <v>32253848</v>
      </c>
      <c r="AP1018" s="1">
        <v>21516767</v>
      </c>
      <c r="AQ1018" s="1">
        <v>10737081</v>
      </c>
      <c r="AR1018" s="1">
        <v>6450770</v>
      </c>
      <c r="AS1018" s="1">
        <v>967615</v>
      </c>
      <c r="AT1018" s="1">
        <f t="shared" si="106"/>
        <v>39672233</v>
      </c>
    </row>
    <row r="1019" spans="1:46" x14ac:dyDescent="0.2">
      <c r="A1019" s="1" t="str">
        <f>"01312"</f>
        <v>01312</v>
      </c>
      <c r="B1019" s="1" t="str">
        <f>"عباس"</f>
        <v>عباس</v>
      </c>
      <c r="C1019" s="1" t="str">
        <f>"رضايي"</f>
        <v>رضايي</v>
      </c>
      <c r="D1019" s="1" t="str">
        <f t="shared" si="109"/>
        <v>قراردادي بهره بردار</v>
      </c>
      <c r="E1019" s="1" t="str">
        <f t="shared" ref="E1019:E1045" si="110">"پروژه تعميرات نيروگاه بوشهر"</f>
        <v>پروژه تعميرات نيروگاه بوشهر</v>
      </c>
      <c r="F1019" s="1">
        <v>10795605</v>
      </c>
      <c r="G1019" s="1">
        <v>0</v>
      </c>
      <c r="H1019" s="1">
        <v>0</v>
      </c>
      <c r="I1019" s="1">
        <v>5639988</v>
      </c>
      <c r="J1019" s="1">
        <v>0</v>
      </c>
      <c r="K1019" s="1">
        <v>3465000</v>
      </c>
      <c r="L1019" s="1">
        <v>0</v>
      </c>
      <c r="M1019" s="1">
        <v>1000000</v>
      </c>
      <c r="N1019" s="1">
        <v>1869296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1387000</v>
      </c>
      <c r="U1019" s="1">
        <v>0</v>
      </c>
      <c r="V1019" s="1">
        <v>2468367</v>
      </c>
      <c r="W1019" s="1">
        <v>1900000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1335211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5043572</v>
      </c>
      <c r="AM1019" s="1">
        <v>0</v>
      </c>
      <c r="AN1019" s="1">
        <v>0</v>
      </c>
      <c r="AO1019" s="1">
        <v>34904039</v>
      </c>
      <c r="AP1019" s="1">
        <v>22214378</v>
      </c>
      <c r="AQ1019" s="1">
        <v>12689661</v>
      </c>
      <c r="AR1019" s="1">
        <v>6980808</v>
      </c>
      <c r="AS1019" s="1">
        <v>1047121</v>
      </c>
      <c r="AT1019" s="1">
        <f t="shared" si="106"/>
        <v>42931968</v>
      </c>
    </row>
    <row r="1020" spans="1:46" x14ac:dyDescent="0.2">
      <c r="A1020" s="1" t="str">
        <f>"01313"</f>
        <v>01313</v>
      </c>
      <c r="B1020" s="1" t="str">
        <f>"سعيد"</f>
        <v>سعيد</v>
      </c>
      <c r="C1020" s="1" t="str">
        <f>"زارعي"</f>
        <v>زارعي</v>
      </c>
      <c r="D1020" s="1" t="str">
        <f t="shared" si="109"/>
        <v>قراردادي بهره بردار</v>
      </c>
      <c r="E1020" s="1" t="str">
        <f t="shared" si="110"/>
        <v>پروژه تعميرات نيروگاه بوشهر</v>
      </c>
      <c r="F1020" s="1">
        <v>10291752</v>
      </c>
      <c r="G1020" s="1">
        <v>0</v>
      </c>
      <c r="H1020" s="1">
        <v>0</v>
      </c>
      <c r="I1020" s="1">
        <v>5322065</v>
      </c>
      <c r="J1020" s="1">
        <v>0</v>
      </c>
      <c r="K1020" s="1">
        <v>4620000</v>
      </c>
      <c r="L1020" s="1">
        <v>0</v>
      </c>
      <c r="M1020" s="1">
        <v>1000000</v>
      </c>
      <c r="N1020" s="1">
        <v>1692947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1387000</v>
      </c>
      <c r="U1020" s="1">
        <v>0</v>
      </c>
      <c r="V1020" s="1">
        <v>2308750</v>
      </c>
      <c r="W1020" s="1">
        <v>1900000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1209248</v>
      </c>
      <c r="AF1020" s="1">
        <v>1516881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4571483</v>
      </c>
      <c r="AM1020" s="1">
        <v>0</v>
      </c>
      <c r="AN1020" s="1">
        <v>0</v>
      </c>
      <c r="AO1020" s="1">
        <v>35820126</v>
      </c>
      <c r="AP1020" s="1">
        <v>3030119</v>
      </c>
      <c r="AQ1020" s="1">
        <v>32790007</v>
      </c>
      <c r="AR1020" s="1">
        <v>6860649</v>
      </c>
      <c r="AS1020" s="1">
        <v>1029097</v>
      </c>
      <c r="AT1020" s="1">
        <f t="shared" si="106"/>
        <v>43709872</v>
      </c>
    </row>
    <row r="1021" spans="1:46" x14ac:dyDescent="0.2">
      <c r="A1021" s="1" t="str">
        <f>"01314"</f>
        <v>01314</v>
      </c>
      <c r="B1021" s="1" t="str">
        <f>"عزيز"</f>
        <v>عزيز</v>
      </c>
      <c r="C1021" s="1" t="str">
        <f>"سالمي نيا"</f>
        <v>سالمي نيا</v>
      </c>
      <c r="D1021" s="1" t="str">
        <f t="shared" si="109"/>
        <v>قراردادي بهره بردار</v>
      </c>
      <c r="E1021" s="1" t="str">
        <f t="shared" si="110"/>
        <v>پروژه تعميرات نيروگاه بوشهر</v>
      </c>
      <c r="F1021" s="1">
        <v>10574348</v>
      </c>
      <c r="G1021" s="1">
        <v>0</v>
      </c>
      <c r="H1021" s="1">
        <v>0</v>
      </c>
      <c r="I1021" s="1">
        <v>5486650</v>
      </c>
      <c r="J1021" s="1">
        <v>0</v>
      </c>
      <c r="K1021" s="1">
        <v>3465000</v>
      </c>
      <c r="L1021" s="1">
        <v>0</v>
      </c>
      <c r="M1021" s="1">
        <v>1000000</v>
      </c>
      <c r="N1021" s="1">
        <v>1791856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1387000</v>
      </c>
      <c r="U1021" s="1">
        <v>0</v>
      </c>
      <c r="V1021" s="1">
        <v>2409888</v>
      </c>
      <c r="W1021" s="1">
        <v>1900000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1279897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4966132</v>
      </c>
      <c r="AM1021" s="1">
        <v>0</v>
      </c>
      <c r="AN1021" s="1">
        <v>0</v>
      </c>
      <c r="AO1021" s="1">
        <v>34260771</v>
      </c>
      <c r="AP1021" s="1">
        <v>18308184</v>
      </c>
      <c r="AQ1021" s="1">
        <v>15952587</v>
      </c>
      <c r="AR1021" s="1">
        <v>6852154</v>
      </c>
      <c r="AS1021" s="1">
        <v>1027823</v>
      </c>
      <c r="AT1021" s="1">
        <f t="shared" si="106"/>
        <v>42140748</v>
      </c>
    </row>
    <row r="1022" spans="1:46" x14ac:dyDescent="0.2">
      <c r="A1022" s="1" t="str">
        <f>"01315"</f>
        <v>01315</v>
      </c>
      <c r="B1022" s="1" t="str">
        <f>"مهران"</f>
        <v>مهران</v>
      </c>
      <c r="C1022" s="1" t="str">
        <f>"سليمي"</f>
        <v>سليمي</v>
      </c>
      <c r="D1022" s="1" t="str">
        <f t="shared" si="109"/>
        <v>قراردادي بهره بردار</v>
      </c>
      <c r="E1022" s="1" t="str">
        <f t="shared" si="110"/>
        <v>پروژه تعميرات نيروگاه بوشهر</v>
      </c>
      <c r="F1022" s="1">
        <v>15236087</v>
      </c>
      <c r="G1022" s="1">
        <v>0</v>
      </c>
      <c r="H1022" s="1">
        <v>0</v>
      </c>
      <c r="I1022" s="1">
        <v>7545054</v>
      </c>
      <c r="J1022" s="1">
        <v>0</v>
      </c>
      <c r="K1022" s="1">
        <v>4125000</v>
      </c>
      <c r="L1022" s="1">
        <v>0</v>
      </c>
      <c r="M1022" s="1">
        <v>1000000</v>
      </c>
      <c r="N1022" s="1">
        <v>2330869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1387000</v>
      </c>
      <c r="U1022" s="1">
        <v>0</v>
      </c>
      <c r="V1022" s="1">
        <v>3100928</v>
      </c>
      <c r="W1022" s="1">
        <v>1900000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1664907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4232368</v>
      </c>
      <c r="AM1022" s="1">
        <v>0</v>
      </c>
      <c r="AN1022" s="1">
        <v>0</v>
      </c>
      <c r="AO1022" s="1">
        <v>42522213</v>
      </c>
      <c r="AP1022" s="1">
        <v>15348950</v>
      </c>
      <c r="AQ1022" s="1">
        <v>27173263</v>
      </c>
      <c r="AR1022" s="1">
        <v>8504443</v>
      </c>
      <c r="AS1022" s="1">
        <v>1275666</v>
      </c>
      <c r="AT1022" s="1">
        <f t="shared" si="106"/>
        <v>52302322</v>
      </c>
    </row>
    <row r="1023" spans="1:46" x14ac:dyDescent="0.2">
      <c r="A1023" s="1" t="str">
        <f>"01316"</f>
        <v>01316</v>
      </c>
      <c r="B1023" s="1" t="str">
        <f>"اميد"</f>
        <v>اميد</v>
      </c>
      <c r="C1023" s="1" t="str">
        <f>"شاهسوندحسيني"</f>
        <v>شاهسوندحسيني</v>
      </c>
      <c r="D1023" s="1" t="str">
        <f t="shared" si="109"/>
        <v>قراردادي بهره بردار</v>
      </c>
      <c r="E1023" s="1" t="str">
        <f t="shared" si="110"/>
        <v>پروژه تعميرات نيروگاه بوشهر</v>
      </c>
      <c r="F1023" s="1">
        <v>10221651</v>
      </c>
      <c r="G1023" s="1">
        <v>0</v>
      </c>
      <c r="H1023" s="1">
        <v>0</v>
      </c>
      <c r="I1023" s="1">
        <v>5242220</v>
      </c>
      <c r="J1023" s="1">
        <v>0</v>
      </c>
      <c r="K1023" s="1">
        <v>3465000</v>
      </c>
      <c r="L1023" s="1">
        <v>0</v>
      </c>
      <c r="M1023" s="1">
        <v>1000000</v>
      </c>
      <c r="N1023" s="1">
        <v>1668412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1387000</v>
      </c>
      <c r="U1023" s="1">
        <v>0</v>
      </c>
      <c r="V1023" s="1">
        <v>2287095</v>
      </c>
      <c r="W1023" s="1">
        <v>1900000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1191723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4546948</v>
      </c>
      <c r="AM1023" s="1">
        <v>0</v>
      </c>
      <c r="AN1023" s="1">
        <v>0</v>
      </c>
      <c r="AO1023" s="1">
        <v>32910049</v>
      </c>
      <c r="AP1023" s="1">
        <v>2309703</v>
      </c>
      <c r="AQ1023" s="1">
        <v>30600346</v>
      </c>
      <c r="AR1023" s="1">
        <v>6582010</v>
      </c>
      <c r="AS1023" s="1">
        <v>987301</v>
      </c>
      <c r="AT1023" s="1">
        <f t="shared" si="106"/>
        <v>40479360</v>
      </c>
    </row>
    <row r="1024" spans="1:46" x14ac:dyDescent="0.2">
      <c r="A1024" s="1" t="str">
        <f>"01317"</f>
        <v>01317</v>
      </c>
      <c r="B1024" s="1" t="str">
        <f>"امين"</f>
        <v>امين</v>
      </c>
      <c r="C1024" s="1" t="str">
        <f>"شفيعي"</f>
        <v>شفيعي</v>
      </c>
      <c r="D1024" s="1" t="str">
        <f t="shared" si="109"/>
        <v>قراردادي بهره بردار</v>
      </c>
      <c r="E1024" s="1" t="str">
        <f t="shared" si="110"/>
        <v>پروژه تعميرات نيروگاه بوشهر</v>
      </c>
      <c r="F1024" s="1">
        <v>11196497</v>
      </c>
      <c r="G1024" s="1">
        <v>0</v>
      </c>
      <c r="H1024" s="1">
        <v>0</v>
      </c>
      <c r="I1024" s="1">
        <v>5800337</v>
      </c>
      <c r="J1024" s="1">
        <v>0</v>
      </c>
      <c r="K1024" s="1">
        <v>4620000</v>
      </c>
      <c r="L1024" s="1">
        <v>0</v>
      </c>
      <c r="M1024" s="1">
        <v>1000000</v>
      </c>
      <c r="N1024" s="1">
        <v>1894598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1387000</v>
      </c>
      <c r="U1024" s="1">
        <v>0</v>
      </c>
      <c r="V1024" s="1">
        <v>2484259</v>
      </c>
      <c r="W1024" s="1">
        <v>1900000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1353284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4597881</v>
      </c>
      <c r="AM1024" s="1">
        <v>0</v>
      </c>
      <c r="AN1024" s="1">
        <v>0</v>
      </c>
      <c r="AO1024" s="1">
        <v>36233856</v>
      </c>
      <c r="AP1024" s="1">
        <v>2583419</v>
      </c>
      <c r="AQ1024" s="1">
        <v>33650437</v>
      </c>
      <c r="AR1024" s="1">
        <v>7246771</v>
      </c>
      <c r="AS1024" s="1">
        <v>1087016</v>
      </c>
      <c r="AT1024" s="1">
        <f t="shared" si="106"/>
        <v>44567643</v>
      </c>
    </row>
    <row r="1025" spans="1:46" x14ac:dyDescent="0.2">
      <c r="A1025" s="1" t="str">
        <f>"01318"</f>
        <v>01318</v>
      </c>
      <c r="B1025" s="1" t="str">
        <f>"محمدامين"</f>
        <v>محمدامين</v>
      </c>
      <c r="C1025" s="1" t="str">
        <f>"صالحي"</f>
        <v>صالحي</v>
      </c>
      <c r="D1025" s="1" t="str">
        <f t="shared" si="109"/>
        <v>قراردادي بهره بردار</v>
      </c>
      <c r="E1025" s="1" t="str">
        <f t="shared" si="110"/>
        <v>پروژه تعميرات نيروگاه بوشهر</v>
      </c>
      <c r="F1025" s="1">
        <v>10324612</v>
      </c>
      <c r="G1025" s="1">
        <v>0</v>
      </c>
      <c r="H1025" s="1">
        <v>0</v>
      </c>
      <c r="I1025" s="1">
        <v>5356933</v>
      </c>
      <c r="J1025" s="1">
        <v>0</v>
      </c>
      <c r="K1025" s="1">
        <v>3465000</v>
      </c>
      <c r="L1025" s="1">
        <v>0</v>
      </c>
      <c r="M1025" s="1">
        <v>1000000</v>
      </c>
      <c r="N1025" s="1">
        <v>1704448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1387000</v>
      </c>
      <c r="U1025" s="1">
        <v>0</v>
      </c>
      <c r="V1025" s="1">
        <v>2314263</v>
      </c>
      <c r="W1025" s="1">
        <v>1900000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1217463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4539171</v>
      </c>
      <c r="AM1025" s="1">
        <v>0</v>
      </c>
      <c r="AN1025" s="1">
        <v>0</v>
      </c>
      <c r="AO1025" s="1">
        <v>33208890</v>
      </c>
      <c r="AP1025" s="1">
        <v>9108676</v>
      </c>
      <c r="AQ1025" s="1">
        <v>24100214</v>
      </c>
      <c r="AR1025" s="1">
        <v>6641778</v>
      </c>
      <c r="AS1025" s="1">
        <v>996267</v>
      </c>
      <c r="AT1025" s="1">
        <f t="shared" si="106"/>
        <v>40846935</v>
      </c>
    </row>
    <row r="1026" spans="1:46" x14ac:dyDescent="0.2">
      <c r="A1026" s="1" t="str">
        <f>"01319"</f>
        <v>01319</v>
      </c>
      <c r="B1026" s="1" t="str">
        <f>"رضا"</f>
        <v>رضا</v>
      </c>
      <c r="C1026" s="1" t="str">
        <f>"عاليبري"</f>
        <v>عاليبري</v>
      </c>
      <c r="D1026" s="1" t="str">
        <f t="shared" ref="D1026:D1044" si="111">"قراردادي بهره بردار"</f>
        <v>قراردادي بهره بردار</v>
      </c>
      <c r="E1026" s="1" t="str">
        <f t="shared" si="110"/>
        <v>پروژه تعميرات نيروگاه بوشهر</v>
      </c>
      <c r="F1026" s="1">
        <v>10537107</v>
      </c>
      <c r="G1026" s="1">
        <v>0</v>
      </c>
      <c r="H1026" s="1">
        <v>0</v>
      </c>
      <c r="I1026" s="1">
        <v>5460840</v>
      </c>
      <c r="J1026" s="1">
        <v>0</v>
      </c>
      <c r="K1026" s="1">
        <v>3465000</v>
      </c>
      <c r="L1026" s="1">
        <v>0</v>
      </c>
      <c r="M1026" s="1">
        <v>1000000</v>
      </c>
      <c r="N1026" s="1">
        <v>1778821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1387000</v>
      </c>
      <c r="U1026" s="1">
        <v>0</v>
      </c>
      <c r="V1026" s="1">
        <v>2401140</v>
      </c>
      <c r="W1026" s="1">
        <v>1900000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1270587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4964051</v>
      </c>
      <c r="AM1026" s="1">
        <v>0</v>
      </c>
      <c r="AN1026" s="1">
        <v>0</v>
      </c>
      <c r="AO1026" s="1">
        <v>34164546</v>
      </c>
      <c r="AP1026" s="1">
        <v>9396523</v>
      </c>
      <c r="AQ1026" s="1">
        <v>24768023</v>
      </c>
      <c r="AR1026" s="1">
        <v>6832909</v>
      </c>
      <c r="AS1026" s="1">
        <v>1024936</v>
      </c>
      <c r="AT1026" s="1">
        <f t="shared" si="106"/>
        <v>42022391</v>
      </c>
    </row>
    <row r="1027" spans="1:46" x14ac:dyDescent="0.2">
      <c r="A1027" s="1" t="str">
        <f>"01320"</f>
        <v>01320</v>
      </c>
      <c r="B1027" s="1" t="str">
        <f>"حسين"</f>
        <v>حسين</v>
      </c>
      <c r="C1027" s="1" t="str">
        <f>"عباسي"</f>
        <v>عباسي</v>
      </c>
      <c r="D1027" s="1" t="str">
        <f t="shared" si="111"/>
        <v>قراردادي بهره بردار</v>
      </c>
      <c r="E1027" s="1" t="str">
        <f t="shared" si="110"/>
        <v>پروژه تعميرات نيروگاه بوشهر</v>
      </c>
      <c r="F1027" s="1">
        <v>15242659</v>
      </c>
      <c r="G1027" s="1">
        <v>0</v>
      </c>
      <c r="H1027" s="1">
        <v>0</v>
      </c>
      <c r="I1027" s="1">
        <v>7655702</v>
      </c>
      <c r="J1027" s="1">
        <v>0</v>
      </c>
      <c r="K1027" s="1">
        <v>5500000</v>
      </c>
      <c r="L1027" s="1">
        <v>0</v>
      </c>
      <c r="M1027" s="1">
        <v>1000000</v>
      </c>
      <c r="N1027" s="1">
        <v>2333170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1387000</v>
      </c>
      <c r="U1027" s="1">
        <v>0</v>
      </c>
      <c r="V1027" s="1">
        <v>3111709</v>
      </c>
      <c r="W1027" s="1">
        <v>1900000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1666550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4219005</v>
      </c>
      <c r="AM1027" s="1">
        <v>0</v>
      </c>
      <c r="AN1027" s="1">
        <v>0</v>
      </c>
      <c r="AO1027" s="1">
        <v>44015795</v>
      </c>
      <c r="AP1027" s="1">
        <v>3851875</v>
      </c>
      <c r="AQ1027" s="1">
        <v>40163920</v>
      </c>
      <c r="AR1027" s="1">
        <v>8803159</v>
      </c>
      <c r="AS1027" s="1">
        <v>1320474</v>
      </c>
      <c r="AT1027" s="1">
        <f t="shared" ref="AT1027:AT1090" si="112">AO1027+AR1027+AS1027</f>
        <v>54139428</v>
      </c>
    </row>
    <row r="1028" spans="1:46" x14ac:dyDescent="0.2">
      <c r="A1028" s="1" t="str">
        <f>"01321"</f>
        <v>01321</v>
      </c>
      <c r="B1028" s="1" t="str">
        <f>"ابراهيم"</f>
        <v>ابراهيم</v>
      </c>
      <c r="C1028" s="1" t="str">
        <f>"عباسيان"</f>
        <v>عباسيان</v>
      </c>
      <c r="D1028" s="1" t="str">
        <f t="shared" si="111"/>
        <v>قراردادي بهره بردار</v>
      </c>
      <c r="E1028" s="1" t="str">
        <f t="shared" si="110"/>
        <v>پروژه تعميرات نيروگاه بوشهر</v>
      </c>
      <c r="F1028" s="1">
        <v>16143023</v>
      </c>
      <c r="G1028" s="1">
        <v>2536603</v>
      </c>
      <c r="H1028" s="1">
        <v>0</v>
      </c>
      <c r="I1028" s="1">
        <v>8072476</v>
      </c>
      <c r="J1028" s="1">
        <v>0</v>
      </c>
      <c r="K1028" s="1">
        <v>5500000</v>
      </c>
      <c r="L1028" s="1">
        <v>0</v>
      </c>
      <c r="M1028" s="1">
        <v>1000000</v>
      </c>
      <c r="N1028" s="1">
        <v>2464281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1387000</v>
      </c>
      <c r="U1028" s="1">
        <v>0</v>
      </c>
      <c r="V1028" s="1">
        <v>3267936</v>
      </c>
      <c r="W1028" s="1">
        <v>1900000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1760201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4239378</v>
      </c>
      <c r="AM1028" s="1">
        <v>0</v>
      </c>
      <c r="AN1028" s="1">
        <v>0</v>
      </c>
      <c r="AO1028" s="1">
        <v>48270898</v>
      </c>
      <c r="AP1028" s="1">
        <v>19221119</v>
      </c>
      <c r="AQ1028" s="1">
        <v>29049779</v>
      </c>
      <c r="AR1028" s="1">
        <v>9654180</v>
      </c>
      <c r="AS1028" s="1">
        <v>1448127</v>
      </c>
      <c r="AT1028" s="1">
        <f t="shared" si="112"/>
        <v>59373205</v>
      </c>
    </row>
    <row r="1029" spans="1:46" x14ac:dyDescent="0.2">
      <c r="A1029" s="1" t="str">
        <f>"01322"</f>
        <v>01322</v>
      </c>
      <c r="B1029" s="1" t="str">
        <f>"ميثم"</f>
        <v>ميثم</v>
      </c>
      <c r="C1029" s="1" t="str">
        <f>"علمداري"</f>
        <v>علمداري</v>
      </c>
      <c r="D1029" s="1" t="str">
        <f t="shared" si="111"/>
        <v>قراردادي بهره بردار</v>
      </c>
      <c r="E1029" s="1" t="str">
        <f t="shared" si="110"/>
        <v>پروژه تعميرات نيروگاه بوشهر</v>
      </c>
      <c r="F1029" s="1">
        <v>10381569</v>
      </c>
      <c r="G1029" s="1">
        <v>0</v>
      </c>
      <c r="H1029" s="1">
        <v>0</v>
      </c>
      <c r="I1029" s="1">
        <v>5353048</v>
      </c>
      <c r="J1029" s="1">
        <v>0</v>
      </c>
      <c r="K1029" s="1">
        <v>3465000</v>
      </c>
      <c r="L1029" s="1">
        <v>0</v>
      </c>
      <c r="M1029" s="1">
        <v>1000000</v>
      </c>
      <c r="N1029" s="1">
        <v>1724383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1387000</v>
      </c>
      <c r="U1029" s="1">
        <v>0</v>
      </c>
      <c r="V1029" s="1">
        <v>2323010</v>
      </c>
      <c r="W1029" s="1">
        <v>1900000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1231702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4539390</v>
      </c>
      <c r="AM1029" s="1">
        <v>0</v>
      </c>
      <c r="AN1029" s="1">
        <v>0</v>
      </c>
      <c r="AO1029" s="1">
        <v>33305102</v>
      </c>
      <c r="AP1029" s="1">
        <v>9240591</v>
      </c>
      <c r="AQ1029" s="1">
        <v>24064511</v>
      </c>
      <c r="AR1029" s="1">
        <v>6661020</v>
      </c>
      <c r="AS1029" s="1">
        <v>999153</v>
      </c>
      <c r="AT1029" s="1">
        <f t="shared" si="112"/>
        <v>40965275</v>
      </c>
    </row>
    <row r="1030" spans="1:46" x14ac:dyDescent="0.2">
      <c r="A1030" s="1" t="str">
        <f>"01324"</f>
        <v>01324</v>
      </c>
      <c r="B1030" s="1" t="str">
        <f>"نعمت الله"</f>
        <v>نعمت الله</v>
      </c>
      <c r="C1030" s="1" t="str">
        <f>"فقيه"</f>
        <v>فقيه</v>
      </c>
      <c r="D1030" s="1" t="str">
        <f t="shared" si="111"/>
        <v>قراردادي بهره بردار</v>
      </c>
      <c r="E1030" s="1" t="str">
        <f t="shared" si="110"/>
        <v>پروژه تعميرات نيروگاه بوشهر</v>
      </c>
      <c r="F1030" s="1">
        <v>10605017</v>
      </c>
      <c r="G1030" s="1">
        <v>1474970</v>
      </c>
      <c r="H1030" s="1">
        <v>0</v>
      </c>
      <c r="I1030" s="1">
        <v>5507904</v>
      </c>
      <c r="J1030" s="1">
        <v>0</v>
      </c>
      <c r="K1030" s="1">
        <v>4620000</v>
      </c>
      <c r="L1030" s="1">
        <v>0</v>
      </c>
      <c r="M1030" s="1">
        <v>1000000</v>
      </c>
      <c r="N1030" s="1">
        <v>1802590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1387000</v>
      </c>
      <c r="U1030" s="1">
        <v>0</v>
      </c>
      <c r="V1030" s="1">
        <v>2375276</v>
      </c>
      <c r="W1030" s="1">
        <v>1900000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1287564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4549686</v>
      </c>
      <c r="AM1030" s="1">
        <v>0</v>
      </c>
      <c r="AN1030" s="1">
        <v>0</v>
      </c>
      <c r="AO1030" s="1">
        <v>36510007</v>
      </c>
      <c r="AP1030" s="1">
        <v>2928431</v>
      </c>
      <c r="AQ1030" s="1">
        <v>33581576</v>
      </c>
      <c r="AR1030" s="1">
        <v>7302001</v>
      </c>
      <c r="AS1030" s="1">
        <v>1095300</v>
      </c>
      <c r="AT1030" s="1">
        <f t="shared" si="112"/>
        <v>44907308</v>
      </c>
    </row>
    <row r="1031" spans="1:46" x14ac:dyDescent="0.2">
      <c r="A1031" s="1" t="str">
        <f>"01325"</f>
        <v>01325</v>
      </c>
      <c r="B1031" s="1" t="str">
        <f>"حسين"</f>
        <v>حسين</v>
      </c>
      <c r="C1031" s="1" t="str">
        <f>"قديريان"</f>
        <v>قديريان</v>
      </c>
      <c r="D1031" s="1" t="str">
        <f t="shared" si="111"/>
        <v>قراردادي بهره بردار</v>
      </c>
      <c r="E1031" s="1" t="str">
        <f t="shared" si="110"/>
        <v>پروژه تعميرات نيروگاه بوشهر</v>
      </c>
      <c r="F1031" s="1">
        <v>15209799</v>
      </c>
      <c r="G1031" s="1">
        <v>0</v>
      </c>
      <c r="H1031" s="1">
        <v>0</v>
      </c>
      <c r="I1031" s="1">
        <v>7616258</v>
      </c>
      <c r="J1031" s="1">
        <v>0</v>
      </c>
      <c r="K1031" s="1">
        <v>5500000</v>
      </c>
      <c r="L1031" s="1">
        <v>0</v>
      </c>
      <c r="M1031" s="1">
        <v>1000000</v>
      </c>
      <c r="N1031" s="1">
        <v>2321669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1387000</v>
      </c>
      <c r="U1031" s="1">
        <v>0</v>
      </c>
      <c r="V1031" s="1">
        <v>3091882</v>
      </c>
      <c r="W1031" s="1">
        <v>1900000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1658335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4112758</v>
      </c>
      <c r="AM1031" s="1">
        <v>0</v>
      </c>
      <c r="AN1031" s="1">
        <v>0</v>
      </c>
      <c r="AO1031" s="1">
        <v>43797701</v>
      </c>
      <c r="AP1031" s="1">
        <v>4951890</v>
      </c>
      <c r="AQ1031" s="1">
        <v>38845811</v>
      </c>
      <c r="AR1031" s="1">
        <v>8759540</v>
      </c>
      <c r="AS1031" s="1">
        <v>1313931</v>
      </c>
      <c r="AT1031" s="1">
        <f t="shared" si="112"/>
        <v>53871172</v>
      </c>
    </row>
    <row r="1032" spans="1:46" x14ac:dyDescent="0.2">
      <c r="A1032" s="1" t="str">
        <f>"01326"</f>
        <v>01326</v>
      </c>
      <c r="B1032" s="1" t="str">
        <f>"مسعود"</f>
        <v>مسعود</v>
      </c>
      <c r="C1032" s="1" t="str">
        <f>"قرباني"</f>
        <v>قرباني</v>
      </c>
      <c r="D1032" s="1" t="str">
        <f t="shared" si="111"/>
        <v>قراردادي بهره بردار</v>
      </c>
      <c r="E1032" s="1" t="str">
        <f t="shared" si="110"/>
        <v>پروژه تعميرات نيروگاه بوشهر</v>
      </c>
      <c r="F1032" s="1">
        <v>10646640</v>
      </c>
      <c r="G1032" s="1">
        <v>0</v>
      </c>
      <c r="H1032" s="1">
        <v>0</v>
      </c>
      <c r="I1032" s="1">
        <v>5536750</v>
      </c>
      <c r="J1032" s="1">
        <v>0</v>
      </c>
      <c r="K1032" s="1">
        <v>3465000</v>
      </c>
      <c r="L1032" s="1">
        <v>0</v>
      </c>
      <c r="M1032" s="1">
        <v>1000000</v>
      </c>
      <c r="N1032" s="1">
        <v>1817158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1387000</v>
      </c>
      <c r="U1032" s="1">
        <v>0</v>
      </c>
      <c r="V1032" s="1">
        <v>2382772</v>
      </c>
      <c r="W1032" s="1">
        <v>1900000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1297970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4529203</v>
      </c>
      <c r="AM1032" s="1">
        <v>0</v>
      </c>
      <c r="AN1032" s="1">
        <v>0</v>
      </c>
      <c r="AO1032" s="1">
        <v>33962493</v>
      </c>
      <c r="AP1032" s="1">
        <v>2783375</v>
      </c>
      <c r="AQ1032" s="1">
        <v>31179118</v>
      </c>
      <c r="AR1032" s="1">
        <v>6792499</v>
      </c>
      <c r="AS1032" s="1">
        <v>1018875</v>
      </c>
      <c r="AT1032" s="1">
        <f t="shared" si="112"/>
        <v>41773867</v>
      </c>
    </row>
    <row r="1033" spans="1:46" x14ac:dyDescent="0.2">
      <c r="A1033" s="1" t="str">
        <f>"01327"</f>
        <v>01327</v>
      </c>
      <c r="B1033" s="1" t="str">
        <f>"سجاد"</f>
        <v>سجاد</v>
      </c>
      <c r="C1033" s="1" t="str">
        <f>"قنبري"</f>
        <v>قنبري</v>
      </c>
      <c r="D1033" s="1" t="str">
        <f t="shared" si="111"/>
        <v>قراردادي بهره بردار</v>
      </c>
      <c r="E1033" s="1" t="str">
        <f t="shared" si="110"/>
        <v>پروژه تعميرات نيروگاه بوشهر</v>
      </c>
      <c r="F1033" s="1">
        <v>15303997</v>
      </c>
      <c r="G1033" s="1">
        <v>0</v>
      </c>
      <c r="H1033" s="1">
        <v>0</v>
      </c>
      <c r="I1033" s="1">
        <v>7590911</v>
      </c>
      <c r="J1033" s="1">
        <v>0</v>
      </c>
      <c r="K1033" s="1">
        <v>5500000</v>
      </c>
      <c r="L1033" s="1">
        <v>0</v>
      </c>
      <c r="M1033" s="1">
        <v>1000000</v>
      </c>
      <c r="N1033" s="1">
        <v>2354638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1387000</v>
      </c>
      <c r="U1033" s="1">
        <v>0</v>
      </c>
      <c r="V1033" s="1">
        <v>3115788</v>
      </c>
      <c r="W1033" s="1">
        <v>1900000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1681884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4226453</v>
      </c>
      <c r="AM1033" s="1">
        <v>0</v>
      </c>
      <c r="AN1033" s="1">
        <v>0</v>
      </c>
      <c r="AO1033" s="1">
        <v>44060671</v>
      </c>
      <c r="AP1033" s="1">
        <v>3859189</v>
      </c>
      <c r="AQ1033" s="1">
        <v>40201482</v>
      </c>
      <c r="AR1033" s="1">
        <v>8812134</v>
      </c>
      <c r="AS1033" s="1">
        <v>1321820</v>
      </c>
      <c r="AT1033" s="1">
        <f t="shared" si="112"/>
        <v>54194625</v>
      </c>
    </row>
    <row r="1034" spans="1:46" x14ac:dyDescent="0.2">
      <c r="A1034" s="1" t="str">
        <f>"01328"</f>
        <v>01328</v>
      </c>
      <c r="B1034" s="1" t="str">
        <f>"رامين"</f>
        <v>رامين</v>
      </c>
      <c r="C1034" s="1" t="str">
        <f>"كاوسي"</f>
        <v>كاوسي</v>
      </c>
      <c r="D1034" s="1" t="str">
        <f t="shared" si="111"/>
        <v>قراردادي بهره بردار</v>
      </c>
      <c r="E1034" s="1" t="str">
        <f t="shared" si="110"/>
        <v>پروژه تعميرات نيروگاه بوشهر</v>
      </c>
      <c r="F1034" s="1">
        <v>10541488</v>
      </c>
      <c r="G1034" s="1">
        <v>0</v>
      </c>
      <c r="H1034" s="1">
        <v>0</v>
      </c>
      <c r="I1034" s="1">
        <v>5463877</v>
      </c>
      <c r="J1034" s="1">
        <v>0</v>
      </c>
      <c r="K1034" s="1">
        <v>3465000</v>
      </c>
      <c r="L1034" s="1">
        <v>0</v>
      </c>
      <c r="M1034" s="1">
        <v>1000000</v>
      </c>
      <c r="N1034" s="1">
        <v>1780355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1387000</v>
      </c>
      <c r="U1034" s="1">
        <v>0</v>
      </c>
      <c r="V1034" s="1">
        <v>2390907</v>
      </c>
      <c r="W1034" s="1">
        <v>1900000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1271682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4851669</v>
      </c>
      <c r="AM1034" s="1">
        <v>0</v>
      </c>
      <c r="AN1034" s="1">
        <v>0</v>
      </c>
      <c r="AO1034" s="1">
        <v>34051978</v>
      </c>
      <c r="AP1034" s="1">
        <v>13573560</v>
      </c>
      <c r="AQ1034" s="1">
        <v>20478418</v>
      </c>
      <c r="AR1034" s="1">
        <v>6810396</v>
      </c>
      <c r="AS1034" s="1">
        <v>1021559</v>
      </c>
      <c r="AT1034" s="1">
        <f t="shared" si="112"/>
        <v>41883933</v>
      </c>
    </row>
    <row r="1035" spans="1:46" x14ac:dyDescent="0.2">
      <c r="A1035" s="1" t="str">
        <f>"01329"</f>
        <v>01329</v>
      </c>
      <c r="B1035" s="1" t="str">
        <f>"مجتبي"</f>
        <v>مجتبي</v>
      </c>
      <c r="C1035" s="1" t="str">
        <f>"كيايي"</f>
        <v>كيايي</v>
      </c>
      <c r="D1035" s="1" t="str">
        <f t="shared" si="111"/>
        <v>قراردادي بهره بردار</v>
      </c>
      <c r="E1035" s="1" t="str">
        <f t="shared" si="110"/>
        <v>پروژه تعميرات نيروگاه بوشهر</v>
      </c>
      <c r="F1035" s="1">
        <v>10212888</v>
      </c>
      <c r="G1035" s="1">
        <v>0</v>
      </c>
      <c r="H1035" s="1">
        <v>0</v>
      </c>
      <c r="I1035" s="1">
        <v>5236147</v>
      </c>
      <c r="J1035" s="1">
        <v>0</v>
      </c>
      <c r="K1035" s="1">
        <v>4620000</v>
      </c>
      <c r="L1035" s="1">
        <v>0</v>
      </c>
      <c r="M1035" s="1">
        <v>1000000</v>
      </c>
      <c r="N1035" s="1">
        <v>1665345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1387000</v>
      </c>
      <c r="U1035" s="1">
        <v>0</v>
      </c>
      <c r="V1035" s="1">
        <v>2284999</v>
      </c>
      <c r="W1035" s="1">
        <v>1900000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1189532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4546071</v>
      </c>
      <c r="AM1035" s="1">
        <v>0</v>
      </c>
      <c r="AN1035" s="1">
        <v>0</v>
      </c>
      <c r="AO1035" s="1">
        <v>34041982</v>
      </c>
      <c r="AP1035" s="1">
        <v>2993675</v>
      </c>
      <c r="AQ1035" s="1">
        <v>31048307</v>
      </c>
      <c r="AR1035" s="1">
        <v>6808396</v>
      </c>
      <c r="AS1035" s="1">
        <v>1021259</v>
      </c>
      <c r="AT1035" s="1">
        <f t="shared" si="112"/>
        <v>41871637</v>
      </c>
    </row>
    <row r="1036" spans="1:46" x14ac:dyDescent="0.2">
      <c r="A1036" s="1" t="str">
        <f>"01330"</f>
        <v>01330</v>
      </c>
      <c r="B1036" s="1" t="str">
        <f>"حسن"</f>
        <v>حسن</v>
      </c>
      <c r="C1036" s="1" t="str">
        <f>"محقق نژاد"</f>
        <v>محقق نژاد</v>
      </c>
      <c r="D1036" s="1" t="str">
        <f t="shared" si="111"/>
        <v>قراردادي بهره بردار</v>
      </c>
      <c r="E1036" s="1" t="str">
        <f t="shared" si="110"/>
        <v>پروژه تعميرات نيروگاه بوشهر</v>
      </c>
      <c r="F1036" s="1">
        <v>15236087</v>
      </c>
      <c r="G1036" s="1">
        <v>0</v>
      </c>
      <c r="H1036" s="1">
        <v>0</v>
      </c>
      <c r="I1036" s="1">
        <v>7430413</v>
      </c>
      <c r="J1036" s="1">
        <v>0</v>
      </c>
      <c r="K1036" s="1">
        <v>4125000</v>
      </c>
      <c r="L1036" s="1">
        <v>0</v>
      </c>
      <c r="M1036" s="1">
        <v>1000000</v>
      </c>
      <c r="N1036" s="1">
        <v>2330869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1387000</v>
      </c>
      <c r="U1036" s="1">
        <v>0</v>
      </c>
      <c r="V1036" s="1">
        <v>3165918</v>
      </c>
      <c r="W1036" s="1">
        <v>1900000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1664907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4996911</v>
      </c>
      <c r="AM1036" s="1">
        <v>0</v>
      </c>
      <c r="AN1036" s="1">
        <v>0</v>
      </c>
      <c r="AO1036" s="1">
        <v>43237105</v>
      </c>
      <c r="AP1036" s="1">
        <v>3724948</v>
      </c>
      <c r="AQ1036" s="1">
        <v>39512157</v>
      </c>
      <c r="AR1036" s="1">
        <v>8647421</v>
      </c>
      <c r="AS1036" s="1">
        <v>1297113</v>
      </c>
      <c r="AT1036" s="1">
        <f t="shared" si="112"/>
        <v>53181639</v>
      </c>
    </row>
    <row r="1037" spans="1:46" x14ac:dyDescent="0.2">
      <c r="A1037" s="1" t="str">
        <f>"01331"</f>
        <v>01331</v>
      </c>
      <c r="B1037" s="1" t="str">
        <f>"آرمين"</f>
        <v>آرمين</v>
      </c>
      <c r="C1037" s="1" t="str">
        <f>"محمودي"</f>
        <v>محمودي</v>
      </c>
      <c r="D1037" s="1" t="str">
        <f t="shared" si="111"/>
        <v>قراردادي بهره بردار</v>
      </c>
      <c r="E1037" s="1" t="str">
        <f t="shared" si="110"/>
        <v>پروژه تعميرات نيروگاه بوشهر</v>
      </c>
      <c r="F1037" s="1">
        <v>15420103</v>
      </c>
      <c r="G1037" s="1">
        <v>0</v>
      </c>
      <c r="H1037" s="1">
        <v>0</v>
      </c>
      <c r="I1037" s="1">
        <v>7671470</v>
      </c>
      <c r="J1037" s="1">
        <v>0</v>
      </c>
      <c r="K1037" s="1">
        <v>4125000</v>
      </c>
      <c r="L1037" s="1">
        <v>0</v>
      </c>
      <c r="M1037" s="1">
        <v>1000000</v>
      </c>
      <c r="N1037" s="1">
        <v>2395275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1387000</v>
      </c>
      <c r="U1037" s="1">
        <v>0</v>
      </c>
      <c r="V1037" s="1">
        <v>3141523</v>
      </c>
      <c r="W1037" s="1">
        <v>1900000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1710911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4217471</v>
      </c>
      <c r="AM1037" s="1">
        <v>0</v>
      </c>
      <c r="AN1037" s="1">
        <v>0</v>
      </c>
      <c r="AO1037" s="1">
        <v>42968753</v>
      </c>
      <c r="AP1037" s="1">
        <v>21657914</v>
      </c>
      <c r="AQ1037" s="1">
        <v>21310839</v>
      </c>
      <c r="AR1037" s="1">
        <v>8593751</v>
      </c>
      <c r="AS1037" s="1">
        <v>1289063</v>
      </c>
      <c r="AT1037" s="1">
        <f t="shared" si="112"/>
        <v>52851567</v>
      </c>
    </row>
    <row r="1038" spans="1:46" x14ac:dyDescent="0.2">
      <c r="A1038" s="1" t="str">
        <f>"01332"</f>
        <v>01332</v>
      </c>
      <c r="B1038" s="1" t="str">
        <f>"فرامرز"</f>
        <v>فرامرز</v>
      </c>
      <c r="C1038" s="1" t="str">
        <f>"مقتدربهاري"</f>
        <v>مقتدربهاري</v>
      </c>
      <c r="D1038" s="1" t="str">
        <f t="shared" si="111"/>
        <v>قراردادي بهره بردار</v>
      </c>
      <c r="E1038" s="1" t="str">
        <f t="shared" si="110"/>
        <v>پروژه تعميرات نيروگاه بوشهر</v>
      </c>
      <c r="F1038" s="1">
        <v>15308379</v>
      </c>
      <c r="G1038" s="1">
        <v>0</v>
      </c>
      <c r="H1038" s="1">
        <v>0</v>
      </c>
      <c r="I1038" s="1">
        <v>7593870</v>
      </c>
      <c r="J1038" s="1">
        <v>0</v>
      </c>
      <c r="K1038" s="1">
        <v>5500000</v>
      </c>
      <c r="L1038" s="1">
        <v>0</v>
      </c>
      <c r="M1038" s="1">
        <v>1000000</v>
      </c>
      <c r="N1038" s="1">
        <v>2356172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1387000</v>
      </c>
      <c r="U1038" s="1">
        <v>0</v>
      </c>
      <c r="V1038" s="1">
        <v>3116698</v>
      </c>
      <c r="W1038" s="1">
        <v>1900000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1682980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4225577</v>
      </c>
      <c r="AM1038" s="1">
        <v>0</v>
      </c>
      <c r="AN1038" s="1">
        <v>0</v>
      </c>
      <c r="AO1038" s="1">
        <v>44070676</v>
      </c>
      <c r="AP1038" s="1">
        <v>4752356</v>
      </c>
      <c r="AQ1038" s="1">
        <v>39318320</v>
      </c>
      <c r="AR1038" s="1">
        <v>8814135</v>
      </c>
      <c r="AS1038" s="1">
        <v>1322120</v>
      </c>
      <c r="AT1038" s="1">
        <f t="shared" si="112"/>
        <v>54206931</v>
      </c>
    </row>
    <row r="1039" spans="1:46" x14ac:dyDescent="0.2">
      <c r="A1039" s="1" t="str">
        <f>"01333"</f>
        <v>01333</v>
      </c>
      <c r="B1039" s="1" t="str">
        <f>"حسين"</f>
        <v>حسين</v>
      </c>
      <c r="C1039" s="1" t="str">
        <f>"منصوري"</f>
        <v>منصوري</v>
      </c>
      <c r="D1039" s="1" t="str">
        <f t="shared" si="111"/>
        <v>قراردادي بهره بردار</v>
      </c>
      <c r="E1039" s="1" t="str">
        <f t="shared" si="110"/>
        <v>پروژه تعميرات نيروگاه بوشهر</v>
      </c>
      <c r="F1039" s="1">
        <v>10138405</v>
      </c>
      <c r="G1039" s="1">
        <v>0</v>
      </c>
      <c r="H1039" s="1">
        <v>0</v>
      </c>
      <c r="I1039" s="1">
        <v>5185987</v>
      </c>
      <c r="J1039" s="1">
        <v>0</v>
      </c>
      <c r="K1039" s="1">
        <v>3465000</v>
      </c>
      <c r="L1039" s="1">
        <v>0</v>
      </c>
      <c r="M1039" s="1">
        <v>1000000</v>
      </c>
      <c r="N1039" s="1">
        <v>1639276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1387000</v>
      </c>
      <c r="U1039" s="1">
        <v>0</v>
      </c>
      <c r="V1039" s="1">
        <v>2287803</v>
      </c>
      <c r="W1039" s="1">
        <v>1900000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1170911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4743451</v>
      </c>
      <c r="AM1039" s="1">
        <v>0</v>
      </c>
      <c r="AN1039" s="1">
        <v>0</v>
      </c>
      <c r="AO1039" s="1">
        <v>32917833</v>
      </c>
      <c r="AP1039" s="1">
        <v>2310248</v>
      </c>
      <c r="AQ1039" s="1">
        <v>30607585</v>
      </c>
      <c r="AR1039" s="1">
        <v>6583567</v>
      </c>
      <c r="AS1039" s="1">
        <v>987535</v>
      </c>
      <c r="AT1039" s="1">
        <f t="shared" si="112"/>
        <v>40488935</v>
      </c>
    </row>
    <row r="1040" spans="1:46" x14ac:dyDescent="0.2">
      <c r="A1040" s="1" t="str">
        <f>"01334"</f>
        <v>01334</v>
      </c>
      <c r="B1040" s="1" t="str">
        <f>"حسين"</f>
        <v>حسين</v>
      </c>
      <c r="C1040" s="1" t="str">
        <f>"منفرد"</f>
        <v>منفرد</v>
      </c>
      <c r="D1040" s="1" t="str">
        <f t="shared" si="111"/>
        <v>قراردادي بهره بردار</v>
      </c>
      <c r="E1040" s="1" t="str">
        <f t="shared" si="110"/>
        <v>پروژه تعميرات نيروگاه بوشهر</v>
      </c>
      <c r="F1040" s="1">
        <v>10215079</v>
      </c>
      <c r="G1040" s="1">
        <v>0</v>
      </c>
      <c r="H1040" s="1">
        <v>0</v>
      </c>
      <c r="I1040" s="1">
        <v>5237665</v>
      </c>
      <c r="J1040" s="1">
        <v>0</v>
      </c>
      <c r="K1040" s="1">
        <v>3465000</v>
      </c>
      <c r="L1040" s="1">
        <v>0</v>
      </c>
      <c r="M1040" s="1">
        <v>1000000</v>
      </c>
      <c r="N1040" s="1">
        <v>1666112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1387000</v>
      </c>
      <c r="U1040" s="1">
        <v>0</v>
      </c>
      <c r="V1040" s="1">
        <v>2285577</v>
      </c>
      <c r="W1040" s="1">
        <v>1900000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1190080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4546838</v>
      </c>
      <c r="AM1040" s="1">
        <v>0</v>
      </c>
      <c r="AN1040" s="1">
        <v>0</v>
      </c>
      <c r="AO1040" s="1">
        <v>32893351</v>
      </c>
      <c r="AP1040" s="1">
        <v>2308535</v>
      </c>
      <c r="AQ1040" s="1">
        <v>30584816</v>
      </c>
      <c r="AR1040" s="1">
        <v>6578670</v>
      </c>
      <c r="AS1040" s="1">
        <v>986801</v>
      </c>
      <c r="AT1040" s="1">
        <f t="shared" si="112"/>
        <v>40458822</v>
      </c>
    </row>
    <row r="1041" spans="1:46" x14ac:dyDescent="0.2">
      <c r="A1041" s="1" t="str">
        <f>"01336"</f>
        <v>01336</v>
      </c>
      <c r="B1041" s="1" t="str">
        <f>"علي"</f>
        <v>علي</v>
      </c>
      <c r="C1041" s="1" t="str">
        <f>"نعمتي"</f>
        <v>نعمتي</v>
      </c>
      <c r="D1041" s="1" t="str">
        <f t="shared" si="111"/>
        <v>قراردادي بهره بردار</v>
      </c>
      <c r="E1041" s="1" t="str">
        <f t="shared" si="110"/>
        <v>پروژه تعميرات نيروگاه بوشهر</v>
      </c>
      <c r="F1041" s="1">
        <v>15236087</v>
      </c>
      <c r="G1041" s="1">
        <v>0</v>
      </c>
      <c r="H1041" s="1">
        <v>0</v>
      </c>
      <c r="I1041" s="1">
        <v>7545054</v>
      </c>
      <c r="J1041" s="1">
        <v>0</v>
      </c>
      <c r="K1041" s="1">
        <v>4125000</v>
      </c>
      <c r="L1041" s="1">
        <v>0</v>
      </c>
      <c r="M1041" s="1">
        <v>1000000</v>
      </c>
      <c r="N1041" s="1">
        <v>2330869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1387000</v>
      </c>
      <c r="U1041" s="1">
        <v>0</v>
      </c>
      <c r="V1041" s="1">
        <v>3100928</v>
      </c>
      <c r="W1041" s="1">
        <v>1900000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1664907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4232368</v>
      </c>
      <c r="AM1041" s="1">
        <v>0</v>
      </c>
      <c r="AN1041" s="1">
        <v>0</v>
      </c>
      <c r="AO1041" s="1">
        <v>42522213</v>
      </c>
      <c r="AP1041" s="1">
        <v>3608421</v>
      </c>
      <c r="AQ1041" s="1">
        <v>38913792</v>
      </c>
      <c r="AR1041" s="1">
        <v>8504443</v>
      </c>
      <c r="AS1041" s="1">
        <v>1275666</v>
      </c>
      <c r="AT1041" s="1">
        <f t="shared" si="112"/>
        <v>52302322</v>
      </c>
    </row>
    <row r="1042" spans="1:46" x14ac:dyDescent="0.2">
      <c r="A1042" s="1" t="str">
        <f>"01337"</f>
        <v>01337</v>
      </c>
      <c r="B1042" s="1" t="str">
        <f>"محمد"</f>
        <v>محمد</v>
      </c>
      <c r="C1042" s="1" t="str">
        <f>"نوروزي"</f>
        <v>نوروزي</v>
      </c>
      <c r="D1042" s="1" t="str">
        <f t="shared" si="111"/>
        <v>قراردادي بهره بردار</v>
      </c>
      <c r="E1042" s="1" t="str">
        <f t="shared" si="110"/>
        <v>پروژه تعميرات نيروگاه بوشهر</v>
      </c>
      <c r="F1042" s="1">
        <v>10876660</v>
      </c>
      <c r="G1042" s="1">
        <v>0</v>
      </c>
      <c r="H1042" s="1">
        <v>0</v>
      </c>
      <c r="I1042" s="1">
        <v>5632362</v>
      </c>
      <c r="J1042" s="1">
        <v>0</v>
      </c>
      <c r="K1042" s="1">
        <v>3465000</v>
      </c>
      <c r="L1042" s="1">
        <v>0</v>
      </c>
      <c r="M1042" s="1">
        <v>1000000</v>
      </c>
      <c r="N1042" s="1">
        <v>1782655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1387000</v>
      </c>
      <c r="U1042" s="1">
        <v>0</v>
      </c>
      <c r="V1042" s="1">
        <v>2404217</v>
      </c>
      <c r="W1042" s="1">
        <v>1900000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1273325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4477175</v>
      </c>
      <c r="AM1042" s="1">
        <v>0</v>
      </c>
      <c r="AN1042" s="1">
        <v>0</v>
      </c>
      <c r="AO1042" s="1">
        <v>34198394</v>
      </c>
      <c r="AP1042" s="1">
        <v>2699888</v>
      </c>
      <c r="AQ1042" s="1">
        <v>31498506</v>
      </c>
      <c r="AR1042" s="1">
        <v>6839679</v>
      </c>
      <c r="AS1042" s="1">
        <v>1025952</v>
      </c>
      <c r="AT1042" s="1">
        <f t="shared" si="112"/>
        <v>42064025</v>
      </c>
    </row>
    <row r="1043" spans="1:46" x14ac:dyDescent="0.2">
      <c r="A1043" s="1" t="str">
        <f>"01338"</f>
        <v>01338</v>
      </c>
      <c r="B1043" s="1" t="str">
        <f>"عباس"</f>
        <v>عباس</v>
      </c>
      <c r="C1043" s="1" t="str">
        <f>"نياکان"</f>
        <v>نياکان</v>
      </c>
      <c r="D1043" s="1" t="str">
        <f t="shared" si="111"/>
        <v>قراردادي بهره بردار</v>
      </c>
      <c r="E1043" s="1" t="str">
        <f t="shared" si="110"/>
        <v>پروژه تعميرات نيروگاه بوشهر</v>
      </c>
      <c r="F1043" s="1">
        <v>16690689</v>
      </c>
      <c r="G1043" s="1">
        <v>0</v>
      </c>
      <c r="H1043" s="1">
        <v>0</v>
      </c>
      <c r="I1043" s="1">
        <v>8457904</v>
      </c>
      <c r="J1043" s="1">
        <v>0</v>
      </c>
      <c r="K1043" s="1">
        <v>4125000</v>
      </c>
      <c r="L1043" s="1">
        <v>0</v>
      </c>
      <c r="M1043" s="1">
        <v>1000000</v>
      </c>
      <c r="N1043" s="1">
        <v>2655964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1387000</v>
      </c>
      <c r="U1043" s="1">
        <v>0</v>
      </c>
      <c r="V1043" s="1">
        <v>3399363</v>
      </c>
      <c r="W1043" s="1">
        <v>1900000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1897117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4291954</v>
      </c>
      <c r="AM1043" s="1">
        <v>0</v>
      </c>
      <c r="AN1043" s="1">
        <v>0</v>
      </c>
      <c r="AO1043" s="1">
        <v>45804991</v>
      </c>
      <c r="AP1043" s="1">
        <v>6115612</v>
      </c>
      <c r="AQ1043" s="1">
        <v>39689379</v>
      </c>
      <c r="AR1043" s="1">
        <v>9160998</v>
      </c>
      <c r="AS1043" s="1">
        <v>1374150</v>
      </c>
      <c r="AT1043" s="1">
        <f t="shared" si="112"/>
        <v>56340139</v>
      </c>
    </row>
    <row r="1044" spans="1:46" x14ac:dyDescent="0.2">
      <c r="A1044" s="1" t="str">
        <f>"01339"</f>
        <v>01339</v>
      </c>
      <c r="B1044" s="1" t="str">
        <f>"جواد"</f>
        <v>جواد</v>
      </c>
      <c r="C1044" s="1" t="str">
        <f>"نيک پي"</f>
        <v>نيک پي</v>
      </c>
      <c r="D1044" s="1" t="str">
        <f t="shared" si="111"/>
        <v>قراردادي بهره بردار</v>
      </c>
      <c r="E1044" s="1" t="str">
        <f t="shared" si="110"/>
        <v>پروژه تعميرات نيروگاه بوشهر</v>
      </c>
      <c r="F1044" s="1">
        <v>10611589</v>
      </c>
      <c r="G1044" s="1">
        <v>1497502</v>
      </c>
      <c r="H1044" s="1">
        <v>0</v>
      </c>
      <c r="I1044" s="1">
        <v>5514010</v>
      </c>
      <c r="J1044" s="1">
        <v>0</v>
      </c>
      <c r="K1044" s="1">
        <v>4620000</v>
      </c>
      <c r="L1044" s="1">
        <v>0</v>
      </c>
      <c r="M1044" s="1">
        <v>1000000</v>
      </c>
      <c r="N1044" s="1">
        <v>1804890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1387000</v>
      </c>
      <c r="U1044" s="1">
        <v>0</v>
      </c>
      <c r="V1044" s="1">
        <v>2411562</v>
      </c>
      <c r="W1044" s="1">
        <v>1900000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1289207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4895921</v>
      </c>
      <c r="AM1044" s="1">
        <v>0</v>
      </c>
      <c r="AN1044" s="1">
        <v>0</v>
      </c>
      <c r="AO1044" s="1">
        <v>36931681</v>
      </c>
      <c r="AP1044" s="1">
        <v>9133057</v>
      </c>
      <c r="AQ1044" s="1">
        <v>27798624</v>
      </c>
      <c r="AR1044" s="1">
        <v>7386336</v>
      </c>
      <c r="AS1044" s="1">
        <v>1107950</v>
      </c>
      <c r="AT1044" s="1">
        <f t="shared" si="112"/>
        <v>45425967</v>
      </c>
    </row>
    <row r="1045" spans="1:46" x14ac:dyDescent="0.2">
      <c r="A1045" s="1" t="str">
        <f>"01340"</f>
        <v>01340</v>
      </c>
      <c r="B1045" s="1" t="str">
        <f>"فريبرز"</f>
        <v>فريبرز</v>
      </c>
      <c r="C1045" s="1" t="str">
        <f>"اشکني پور جفره"</f>
        <v>اشکني پور جفره</v>
      </c>
      <c r="D1045" s="1" t="str">
        <f>"قراردادي کارگري"</f>
        <v>قراردادي کارگري</v>
      </c>
      <c r="E1045" s="1" t="str">
        <f t="shared" si="110"/>
        <v>پروژه تعميرات نيروگاه بوشهر</v>
      </c>
      <c r="F1045" s="1">
        <v>6169476</v>
      </c>
      <c r="G1045" s="1">
        <v>0</v>
      </c>
      <c r="H1045" s="1">
        <v>0</v>
      </c>
      <c r="I1045" s="1">
        <v>3701685</v>
      </c>
      <c r="J1045" s="1">
        <v>0</v>
      </c>
      <c r="K1045" s="1">
        <v>0</v>
      </c>
      <c r="L1045" s="1">
        <v>7628143</v>
      </c>
      <c r="M1045" s="1">
        <v>1000000</v>
      </c>
      <c r="N1045" s="1">
        <v>3290388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4519408</v>
      </c>
      <c r="W1045" s="1">
        <v>1900000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0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0</v>
      </c>
      <c r="AM1045" s="1">
        <v>0</v>
      </c>
      <c r="AN1045" s="1">
        <v>0</v>
      </c>
      <c r="AO1045" s="1">
        <v>28209100</v>
      </c>
      <c r="AP1045" s="1">
        <v>1980637</v>
      </c>
      <c r="AQ1045" s="1">
        <v>26228463</v>
      </c>
      <c r="AR1045" s="1">
        <v>5641820</v>
      </c>
      <c r="AS1045" s="1">
        <v>846273</v>
      </c>
      <c r="AT1045" s="1">
        <f t="shared" si="112"/>
        <v>34697193</v>
      </c>
    </row>
    <row r="1046" spans="1:46" x14ac:dyDescent="0.2">
      <c r="A1046" s="1" t="str">
        <f>"01341"</f>
        <v>01341</v>
      </c>
      <c r="B1046" s="1" t="str">
        <f>"محسن"</f>
        <v>محسن</v>
      </c>
      <c r="C1046" s="1" t="str">
        <f>"ابراهيمي"</f>
        <v>ابراهيمي</v>
      </c>
      <c r="D1046" s="1" t="str">
        <f t="shared" ref="D1046:D1086" si="113">"قراردادي بهره بردار"</f>
        <v>قراردادي بهره بردار</v>
      </c>
      <c r="E1046" s="1" t="str">
        <f t="shared" ref="E1046:E1052" si="114">"پروژه بهره برداري نيروگاه بوشهر"</f>
        <v>پروژه بهره برداري نيروگاه بوشهر</v>
      </c>
      <c r="F1046" s="1">
        <v>16309513</v>
      </c>
      <c r="G1046" s="1">
        <v>5821023</v>
      </c>
      <c r="H1046" s="1">
        <v>0</v>
      </c>
      <c r="I1046" s="1">
        <v>11033056</v>
      </c>
      <c r="J1046" s="1">
        <v>0</v>
      </c>
      <c r="K1046" s="1">
        <v>5500000</v>
      </c>
      <c r="L1046" s="1">
        <v>0</v>
      </c>
      <c r="M1046" s="1">
        <v>1000000</v>
      </c>
      <c r="N1046" s="1">
        <v>2350038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1387000</v>
      </c>
      <c r="U1046" s="1">
        <v>0</v>
      </c>
      <c r="V1046" s="1">
        <v>3571092</v>
      </c>
      <c r="W1046" s="1">
        <v>1900000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1678598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4339711</v>
      </c>
      <c r="AM1046" s="1">
        <v>0</v>
      </c>
      <c r="AN1046" s="1">
        <v>0</v>
      </c>
      <c r="AO1046" s="1">
        <v>54890031</v>
      </c>
      <c r="AP1046" s="1">
        <v>19796445</v>
      </c>
      <c r="AQ1046" s="1">
        <v>35093586</v>
      </c>
      <c r="AR1046" s="1">
        <v>10978006</v>
      </c>
      <c r="AS1046" s="1">
        <v>1646701</v>
      </c>
      <c r="AT1046" s="1">
        <f t="shared" si="112"/>
        <v>67514738</v>
      </c>
    </row>
    <row r="1047" spans="1:46" x14ac:dyDescent="0.2">
      <c r="A1047" s="1" t="str">
        <f>"01342"</f>
        <v>01342</v>
      </c>
      <c r="B1047" s="1" t="str">
        <f>"صادق"</f>
        <v>صادق</v>
      </c>
      <c r="C1047" s="1" t="str">
        <f>"احمدي حبيب آباد"</f>
        <v>احمدي حبيب آباد</v>
      </c>
      <c r="D1047" s="1" t="str">
        <f t="shared" si="113"/>
        <v>قراردادي بهره بردار</v>
      </c>
      <c r="E1047" s="1" t="str">
        <f t="shared" si="114"/>
        <v>پروژه بهره برداري نيروگاه بوشهر</v>
      </c>
      <c r="F1047" s="1">
        <v>8872200</v>
      </c>
      <c r="G1047" s="1">
        <v>2320285</v>
      </c>
      <c r="H1047" s="1">
        <v>0</v>
      </c>
      <c r="I1047" s="1">
        <v>4782066</v>
      </c>
      <c r="J1047" s="1">
        <v>0</v>
      </c>
      <c r="K1047" s="1">
        <v>3465000</v>
      </c>
      <c r="L1047" s="1">
        <v>0</v>
      </c>
      <c r="M1047" s="1">
        <v>1000000</v>
      </c>
      <c r="N1047" s="1">
        <v>1196104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1387000</v>
      </c>
      <c r="U1047" s="1">
        <v>0</v>
      </c>
      <c r="V1047" s="1">
        <v>1992834</v>
      </c>
      <c r="W1047" s="1">
        <v>1900000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854360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4223605</v>
      </c>
      <c r="AM1047" s="1">
        <v>0</v>
      </c>
      <c r="AN1047" s="1">
        <v>0</v>
      </c>
      <c r="AO1047" s="1">
        <v>31993454</v>
      </c>
      <c r="AP1047" s="1">
        <v>6707271</v>
      </c>
      <c r="AQ1047" s="1">
        <v>25286183</v>
      </c>
      <c r="AR1047" s="1">
        <v>6398691</v>
      </c>
      <c r="AS1047" s="1">
        <v>959804</v>
      </c>
      <c r="AT1047" s="1">
        <f t="shared" si="112"/>
        <v>39351949</v>
      </c>
    </row>
    <row r="1048" spans="1:46" x14ac:dyDescent="0.2">
      <c r="A1048" s="1" t="str">
        <f>"01343"</f>
        <v>01343</v>
      </c>
      <c r="B1048" s="1" t="str">
        <f>"مهدي"</f>
        <v>مهدي</v>
      </c>
      <c r="C1048" s="1" t="str">
        <f>"بنافي"</f>
        <v>بنافي</v>
      </c>
      <c r="D1048" s="1" t="str">
        <f t="shared" si="113"/>
        <v>قراردادي بهره بردار</v>
      </c>
      <c r="E1048" s="1" t="str">
        <f t="shared" si="114"/>
        <v>پروژه بهره برداري نيروگاه بوشهر</v>
      </c>
      <c r="F1048" s="1">
        <v>16609635</v>
      </c>
      <c r="G1048" s="1">
        <v>1809335</v>
      </c>
      <c r="H1048" s="1">
        <v>0</v>
      </c>
      <c r="I1048" s="1">
        <v>8257653</v>
      </c>
      <c r="J1048" s="1">
        <v>0</v>
      </c>
      <c r="K1048" s="1">
        <v>4125000</v>
      </c>
      <c r="L1048" s="1">
        <v>0</v>
      </c>
      <c r="M1048" s="1">
        <v>1000000</v>
      </c>
      <c r="N1048" s="1">
        <v>2627595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1387000</v>
      </c>
      <c r="U1048" s="1">
        <v>0</v>
      </c>
      <c r="V1048" s="1">
        <v>3329982</v>
      </c>
      <c r="W1048" s="1">
        <v>1900000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1876854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3928084</v>
      </c>
      <c r="AM1048" s="1">
        <v>0</v>
      </c>
      <c r="AN1048" s="1">
        <v>0</v>
      </c>
      <c r="AO1048" s="1">
        <v>46851138</v>
      </c>
      <c r="AP1048" s="1">
        <v>4314036</v>
      </c>
      <c r="AQ1048" s="1">
        <v>42537102</v>
      </c>
      <c r="AR1048" s="1">
        <v>9370228</v>
      </c>
      <c r="AS1048" s="1">
        <v>1405534</v>
      </c>
      <c r="AT1048" s="1">
        <f t="shared" si="112"/>
        <v>57626900</v>
      </c>
    </row>
    <row r="1049" spans="1:46" x14ac:dyDescent="0.2">
      <c r="A1049" s="1" t="str">
        <f>"01344"</f>
        <v>01344</v>
      </c>
      <c r="B1049" s="1" t="str">
        <f>"جمشيد"</f>
        <v>جمشيد</v>
      </c>
      <c r="C1049" s="1" t="str">
        <f>"حيدري"</f>
        <v>حيدري</v>
      </c>
      <c r="D1049" s="1" t="str">
        <f t="shared" si="113"/>
        <v>قراردادي بهره بردار</v>
      </c>
      <c r="E1049" s="1" t="str">
        <f t="shared" si="114"/>
        <v>پروژه بهره برداري نيروگاه بوشهر</v>
      </c>
      <c r="F1049" s="1">
        <v>14684039</v>
      </c>
      <c r="G1049" s="1">
        <v>1502512</v>
      </c>
      <c r="H1049" s="1">
        <v>0</v>
      </c>
      <c r="I1049" s="1">
        <v>9540746</v>
      </c>
      <c r="J1049" s="1">
        <v>0</v>
      </c>
      <c r="K1049" s="1">
        <v>5500000</v>
      </c>
      <c r="L1049" s="1">
        <v>0</v>
      </c>
      <c r="M1049" s="1">
        <v>1000000</v>
      </c>
      <c r="N1049" s="1">
        <v>1953637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1387000</v>
      </c>
      <c r="U1049" s="1">
        <v>0</v>
      </c>
      <c r="V1049" s="1">
        <v>3226173</v>
      </c>
      <c r="W1049" s="1">
        <v>1900000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1395455</v>
      </c>
      <c r="AF1049" s="1">
        <v>1516881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4687851</v>
      </c>
      <c r="AM1049" s="1">
        <v>0</v>
      </c>
      <c r="AN1049" s="1">
        <v>0</v>
      </c>
      <c r="AO1049" s="1">
        <v>48294294</v>
      </c>
      <c r="AP1049" s="1">
        <v>16708335</v>
      </c>
      <c r="AQ1049" s="1">
        <v>31585959</v>
      </c>
      <c r="AR1049" s="1">
        <v>9355483</v>
      </c>
      <c r="AS1049" s="1">
        <v>1403322</v>
      </c>
      <c r="AT1049" s="1">
        <f t="shared" si="112"/>
        <v>59053099</v>
      </c>
    </row>
    <row r="1050" spans="1:46" x14ac:dyDescent="0.2">
      <c r="A1050" s="1" t="str">
        <f>"01345"</f>
        <v>01345</v>
      </c>
      <c r="B1050" s="1" t="str">
        <f>"وحيد"</f>
        <v>وحيد</v>
      </c>
      <c r="C1050" s="1" t="str">
        <f>"حياتي جعفر بيگي"</f>
        <v>حياتي جعفر بيگي</v>
      </c>
      <c r="D1050" s="1" t="str">
        <f t="shared" si="113"/>
        <v>قراردادي بهره بردار</v>
      </c>
      <c r="E1050" s="1" t="str">
        <f t="shared" si="114"/>
        <v>پروژه بهره برداري نيروگاه بوشهر</v>
      </c>
      <c r="F1050" s="1">
        <v>14808907</v>
      </c>
      <c r="G1050" s="1">
        <v>1558298</v>
      </c>
      <c r="H1050" s="1">
        <v>0</v>
      </c>
      <c r="I1050" s="1">
        <v>10617467</v>
      </c>
      <c r="J1050" s="1">
        <v>0</v>
      </c>
      <c r="K1050" s="1">
        <v>4125000</v>
      </c>
      <c r="L1050" s="1">
        <v>0</v>
      </c>
      <c r="M1050" s="1">
        <v>1000000</v>
      </c>
      <c r="N1050" s="1">
        <v>2181356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1387000</v>
      </c>
      <c r="U1050" s="1">
        <v>0</v>
      </c>
      <c r="V1050" s="1">
        <v>3345955</v>
      </c>
      <c r="W1050" s="1">
        <v>1900000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1558112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4293707</v>
      </c>
      <c r="AM1050" s="1">
        <v>0</v>
      </c>
      <c r="AN1050" s="1">
        <v>0</v>
      </c>
      <c r="AO1050" s="1">
        <v>46775802</v>
      </c>
      <c r="AP1050" s="1">
        <v>20743278</v>
      </c>
      <c r="AQ1050" s="1">
        <v>26032524</v>
      </c>
      <c r="AR1050" s="1">
        <v>9355160</v>
      </c>
      <c r="AS1050" s="1">
        <v>1403274</v>
      </c>
      <c r="AT1050" s="1">
        <f t="shared" si="112"/>
        <v>57534236</v>
      </c>
    </row>
    <row r="1051" spans="1:46" x14ac:dyDescent="0.2">
      <c r="A1051" s="1" t="str">
        <f>"01346"</f>
        <v>01346</v>
      </c>
      <c r="B1051" s="1" t="str">
        <f>"عيسي"</f>
        <v>عيسي</v>
      </c>
      <c r="C1051" s="1" t="str">
        <f>"قاسمي"</f>
        <v>قاسمي</v>
      </c>
      <c r="D1051" s="1" t="str">
        <f t="shared" si="113"/>
        <v>قراردادي بهره بردار</v>
      </c>
      <c r="E1051" s="1" t="str">
        <f t="shared" si="114"/>
        <v>پروژه بهره برداري نيروگاه بوشهر</v>
      </c>
      <c r="F1051" s="1">
        <v>9511875</v>
      </c>
      <c r="G1051" s="1">
        <v>9913033</v>
      </c>
      <c r="H1051" s="1">
        <v>0</v>
      </c>
      <c r="I1051" s="1">
        <v>6199236</v>
      </c>
      <c r="J1051" s="1">
        <v>0</v>
      </c>
      <c r="K1051" s="1">
        <v>4620000</v>
      </c>
      <c r="L1051" s="1">
        <v>0</v>
      </c>
      <c r="M1051" s="1">
        <v>1000000</v>
      </c>
      <c r="N1051" s="1">
        <v>1304980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1606000</v>
      </c>
      <c r="U1051" s="1">
        <v>0</v>
      </c>
      <c r="V1051" s="1">
        <v>4036834</v>
      </c>
      <c r="W1051" s="1">
        <v>1900000</v>
      </c>
      <c r="X1051" s="1">
        <v>1380756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932129</v>
      </c>
      <c r="AF1051" s="1">
        <v>3033762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7281995</v>
      </c>
      <c r="AM1051" s="1">
        <v>0</v>
      </c>
      <c r="AN1051" s="1">
        <v>0</v>
      </c>
      <c r="AO1051" s="1">
        <v>52720600</v>
      </c>
      <c r="AP1051" s="1">
        <v>5707314</v>
      </c>
      <c r="AQ1051" s="1">
        <v>47013286</v>
      </c>
      <c r="AR1051" s="1">
        <v>9937368</v>
      </c>
      <c r="AS1051" s="1">
        <v>1490605</v>
      </c>
      <c r="AT1051" s="1">
        <f t="shared" si="112"/>
        <v>64148573</v>
      </c>
    </row>
    <row r="1052" spans="1:46" x14ac:dyDescent="0.2">
      <c r="A1052" s="1" t="str">
        <f>"01347"</f>
        <v>01347</v>
      </c>
      <c r="B1052" s="1" t="str">
        <f>"مسعود"</f>
        <v>مسعود</v>
      </c>
      <c r="C1052" s="1" t="str">
        <f>"گلرخ"</f>
        <v>گلرخ</v>
      </c>
      <c r="D1052" s="1" t="str">
        <f t="shared" si="113"/>
        <v>قراردادي بهره بردار</v>
      </c>
      <c r="E1052" s="1" t="str">
        <f t="shared" si="114"/>
        <v>پروژه بهره برداري نيروگاه بوشهر</v>
      </c>
      <c r="F1052" s="1">
        <v>10948952</v>
      </c>
      <c r="G1052" s="1">
        <v>12050332</v>
      </c>
      <c r="H1052" s="1">
        <v>0</v>
      </c>
      <c r="I1052" s="1">
        <v>7789119</v>
      </c>
      <c r="J1052" s="1">
        <v>0</v>
      </c>
      <c r="K1052" s="1">
        <v>4620000</v>
      </c>
      <c r="L1052" s="1">
        <v>0</v>
      </c>
      <c r="M1052" s="1">
        <v>1000000</v>
      </c>
      <c r="N1052" s="1">
        <v>1807957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1606000</v>
      </c>
      <c r="U1052" s="1">
        <v>0</v>
      </c>
      <c r="V1052" s="1">
        <v>4907196</v>
      </c>
      <c r="W1052" s="1">
        <v>1900000</v>
      </c>
      <c r="X1052" s="1">
        <v>1589364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1291398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8832549</v>
      </c>
      <c r="AM1052" s="1">
        <v>0</v>
      </c>
      <c r="AN1052" s="1">
        <v>0</v>
      </c>
      <c r="AO1052" s="1">
        <v>58342867</v>
      </c>
      <c r="AP1052" s="1">
        <v>33752281</v>
      </c>
      <c r="AQ1052" s="1">
        <v>24590586</v>
      </c>
      <c r="AR1052" s="1">
        <v>11668573</v>
      </c>
      <c r="AS1052" s="1">
        <v>1750286</v>
      </c>
      <c r="AT1052" s="1">
        <f t="shared" si="112"/>
        <v>71761726</v>
      </c>
    </row>
    <row r="1053" spans="1:46" x14ac:dyDescent="0.2">
      <c r="A1053" s="1" t="str">
        <f>"01349"</f>
        <v>01349</v>
      </c>
      <c r="B1053" s="1" t="str">
        <f>"روزبه"</f>
        <v>روزبه</v>
      </c>
      <c r="C1053" s="1" t="str">
        <f>"محمدي"</f>
        <v>محمدي</v>
      </c>
      <c r="D1053" s="1" t="str">
        <f t="shared" si="113"/>
        <v>قراردادي بهره بردار</v>
      </c>
      <c r="E1053" s="1" t="str">
        <f>"پروژه تعميرات نيروگاه بوشهر"</f>
        <v>پروژه تعميرات نيروگاه بوشهر</v>
      </c>
      <c r="F1053" s="1">
        <v>15165985</v>
      </c>
      <c r="G1053" s="1">
        <v>3588747</v>
      </c>
      <c r="H1053" s="1">
        <v>0</v>
      </c>
      <c r="I1053" s="1">
        <v>7480839</v>
      </c>
      <c r="J1053" s="1">
        <v>0</v>
      </c>
      <c r="K1053" s="1">
        <v>4125000</v>
      </c>
      <c r="L1053" s="1">
        <v>0</v>
      </c>
      <c r="M1053" s="1">
        <v>1000000</v>
      </c>
      <c r="N1053" s="1">
        <v>2306334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1387000</v>
      </c>
      <c r="U1053" s="1">
        <v>0</v>
      </c>
      <c r="V1053" s="1">
        <v>3082284</v>
      </c>
      <c r="W1053" s="1">
        <v>1900000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1647381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4222291</v>
      </c>
      <c r="AM1053" s="1">
        <v>0</v>
      </c>
      <c r="AN1053" s="1">
        <v>0</v>
      </c>
      <c r="AO1053" s="1">
        <v>45905861</v>
      </c>
      <c r="AP1053" s="1">
        <v>12737218</v>
      </c>
      <c r="AQ1053" s="1">
        <v>33168643</v>
      </c>
      <c r="AR1053" s="1">
        <v>9181172</v>
      </c>
      <c r="AS1053" s="1">
        <v>1377176</v>
      </c>
      <c r="AT1053" s="1">
        <f t="shared" si="112"/>
        <v>56464209</v>
      </c>
    </row>
    <row r="1054" spans="1:46" x14ac:dyDescent="0.2">
      <c r="A1054" s="1" t="str">
        <f>"01350"</f>
        <v>01350</v>
      </c>
      <c r="B1054" s="1" t="str">
        <f>"صياد"</f>
        <v>صياد</v>
      </c>
      <c r="C1054" s="1" t="str">
        <f>"شريفي"</f>
        <v>شريفي</v>
      </c>
      <c r="D1054" s="1" t="str">
        <f t="shared" si="113"/>
        <v>قراردادي بهره بردار</v>
      </c>
      <c r="E1054" s="1" t="str">
        <f t="shared" ref="E1054:E1086" si="115">"پروژه بهره برداري نيروگاه بوشهر"</f>
        <v>پروژه بهره برداري نيروگاه بوشهر</v>
      </c>
      <c r="F1054" s="1">
        <v>15332476</v>
      </c>
      <c r="G1054" s="1">
        <v>1669150</v>
      </c>
      <c r="H1054" s="1">
        <v>0</v>
      </c>
      <c r="I1054" s="1">
        <v>7712094</v>
      </c>
      <c r="J1054" s="1">
        <v>0</v>
      </c>
      <c r="K1054" s="1">
        <v>5500000</v>
      </c>
      <c r="L1054" s="1">
        <v>0</v>
      </c>
      <c r="M1054" s="1">
        <v>1000000</v>
      </c>
      <c r="N1054" s="1">
        <v>2180590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1387000</v>
      </c>
      <c r="U1054" s="1">
        <v>0</v>
      </c>
      <c r="V1054" s="1">
        <v>3071979</v>
      </c>
      <c r="W1054" s="1">
        <v>1900000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1557564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3937066</v>
      </c>
      <c r="AM1054" s="1">
        <v>0</v>
      </c>
      <c r="AN1054" s="1">
        <v>0</v>
      </c>
      <c r="AO1054" s="1">
        <v>45247919</v>
      </c>
      <c r="AP1054" s="1">
        <v>18435342</v>
      </c>
      <c r="AQ1054" s="1">
        <v>26812577</v>
      </c>
      <c r="AR1054" s="1">
        <v>9049584</v>
      </c>
      <c r="AS1054" s="1">
        <v>1357438</v>
      </c>
      <c r="AT1054" s="1">
        <f t="shared" si="112"/>
        <v>55654941</v>
      </c>
    </row>
    <row r="1055" spans="1:46" x14ac:dyDescent="0.2">
      <c r="A1055" s="1" t="str">
        <f>"01351"</f>
        <v>01351</v>
      </c>
      <c r="B1055" s="1" t="str">
        <f>"رضا"</f>
        <v>رضا</v>
      </c>
      <c r="C1055" s="1" t="str">
        <f>"ثابت سروستاني"</f>
        <v>ثابت سروستاني</v>
      </c>
      <c r="D1055" s="1" t="str">
        <f t="shared" si="113"/>
        <v>قراردادي بهره بردار</v>
      </c>
      <c r="E1055" s="1" t="str">
        <f t="shared" si="115"/>
        <v>پروژه بهره برداري نيروگاه بوشهر</v>
      </c>
      <c r="F1055" s="1">
        <v>10813131</v>
      </c>
      <c r="G1055" s="1">
        <v>8397105</v>
      </c>
      <c r="H1055" s="1">
        <v>0</v>
      </c>
      <c r="I1055" s="1">
        <v>7044250</v>
      </c>
      <c r="J1055" s="1">
        <v>0</v>
      </c>
      <c r="K1055" s="1">
        <v>3465000</v>
      </c>
      <c r="L1055" s="1">
        <v>0</v>
      </c>
      <c r="M1055" s="1">
        <v>1000000</v>
      </c>
      <c r="N1055" s="1">
        <v>1618574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1387000</v>
      </c>
      <c r="U1055" s="1">
        <v>0</v>
      </c>
      <c r="V1055" s="1">
        <v>3090883</v>
      </c>
      <c r="W1055" s="1">
        <v>1900000</v>
      </c>
      <c r="X1055" s="1">
        <v>1569648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1156124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10276746</v>
      </c>
      <c r="AM1055" s="1">
        <v>0</v>
      </c>
      <c r="AN1055" s="1">
        <v>0</v>
      </c>
      <c r="AO1055" s="1">
        <v>51718461</v>
      </c>
      <c r="AP1055" s="1">
        <v>16670011</v>
      </c>
      <c r="AQ1055" s="1">
        <v>35048450</v>
      </c>
      <c r="AR1055" s="1">
        <v>10343692</v>
      </c>
      <c r="AS1055" s="1">
        <v>1551554</v>
      </c>
      <c r="AT1055" s="1">
        <f t="shared" si="112"/>
        <v>63613707</v>
      </c>
    </row>
    <row r="1056" spans="1:46" x14ac:dyDescent="0.2">
      <c r="A1056" s="1" t="str">
        <f>"01352"</f>
        <v>01352</v>
      </c>
      <c r="B1056" s="1" t="str">
        <f>"امير"</f>
        <v>امير</v>
      </c>
      <c r="C1056" s="1" t="str">
        <f>"حسينلو"</f>
        <v>حسينلو</v>
      </c>
      <c r="D1056" s="1" t="str">
        <f t="shared" si="113"/>
        <v>قراردادي بهره بردار</v>
      </c>
      <c r="E1056" s="1" t="str">
        <f t="shared" si="115"/>
        <v>پروژه بهره برداري نيروگاه بوشهر</v>
      </c>
      <c r="F1056" s="1">
        <v>10935808</v>
      </c>
      <c r="G1056" s="1">
        <v>2270641</v>
      </c>
      <c r="H1056" s="1">
        <v>0</v>
      </c>
      <c r="I1056" s="1">
        <v>7450492</v>
      </c>
      <c r="J1056" s="1">
        <v>0</v>
      </c>
      <c r="K1056" s="1">
        <v>3465000</v>
      </c>
      <c r="L1056" s="1">
        <v>0</v>
      </c>
      <c r="M1056" s="1">
        <v>1000000</v>
      </c>
      <c r="N1056" s="1">
        <v>1661511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1387000</v>
      </c>
      <c r="U1056" s="1">
        <v>0</v>
      </c>
      <c r="V1056" s="1">
        <v>3250326</v>
      </c>
      <c r="W1056" s="1">
        <v>1900000</v>
      </c>
      <c r="X1056" s="1">
        <v>1587456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1186794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11268658</v>
      </c>
      <c r="AM1056" s="1">
        <v>0</v>
      </c>
      <c r="AN1056" s="1">
        <v>0</v>
      </c>
      <c r="AO1056" s="1">
        <v>47363686</v>
      </c>
      <c r="AP1056" s="1">
        <v>30111742</v>
      </c>
      <c r="AQ1056" s="1">
        <v>17251944</v>
      </c>
      <c r="AR1056" s="1">
        <v>9472737</v>
      </c>
      <c r="AS1056" s="1">
        <v>1420911</v>
      </c>
      <c r="AT1056" s="1">
        <f t="shared" si="112"/>
        <v>58257334</v>
      </c>
    </row>
    <row r="1057" spans="1:46" x14ac:dyDescent="0.2">
      <c r="A1057" s="1" t="str">
        <f>"01353"</f>
        <v>01353</v>
      </c>
      <c r="B1057" s="1" t="str">
        <f>"مجتبي"</f>
        <v>مجتبي</v>
      </c>
      <c r="C1057" s="1" t="str">
        <f>"چکي"</f>
        <v>چکي</v>
      </c>
      <c r="D1057" s="1" t="str">
        <f t="shared" si="113"/>
        <v>قراردادي بهره بردار</v>
      </c>
      <c r="E1057" s="1" t="str">
        <f t="shared" si="115"/>
        <v>پروژه بهره برداري نيروگاه بوشهر</v>
      </c>
      <c r="F1057" s="1">
        <v>15593165</v>
      </c>
      <c r="G1057" s="1">
        <v>0</v>
      </c>
      <c r="H1057" s="1">
        <v>0</v>
      </c>
      <c r="I1057" s="1">
        <v>10149518</v>
      </c>
      <c r="J1057" s="1">
        <v>0</v>
      </c>
      <c r="K1057" s="1">
        <v>5500000</v>
      </c>
      <c r="L1057" s="1">
        <v>0</v>
      </c>
      <c r="M1057" s="1">
        <v>1000000</v>
      </c>
      <c r="N1057" s="1">
        <v>2294833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1387000</v>
      </c>
      <c r="U1057" s="1">
        <v>0</v>
      </c>
      <c r="V1057" s="1">
        <v>3556975</v>
      </c>
      <c r="W1057" s="1">
        <v>1900000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1639166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5893069</v>
      </c>
      <c r="AM1057" s="1">
        <v>0</v>
      </c>
      <c r="AN1057" s="1">
        <v>0</v>
      </c>
      <c r="AO1057" s="1">
        <v>48913726</v>
      </c>
      <c r="AP1057" s="1">
        <v>18603367</v>
      </c>
      <c r="AQ1057" s="1">
        <v>30310359</v>
      </c>
      <c r="AR1057" s="1">
        <v>9782745</v>
      </c>
      <c r="AS1057" s="1">
        <v>1467412</v>
      </c>
      <c r="AT1057" s="1">
        <f t="shared" si="112"/>
        <v>60163883</v>
      </c>
    </row>
    <row r="1058" spans="1:46" x14ac:dyDescent="0.2">
      <c r="A1058" s="1" t="str">
        <f>"01354"</f>
        <v>01354</v>
      </c>
      <c r="B1058" s="1" t="str">
        <f>"ايمان"</f>
        <v>ايمان</v>
      </c>
      <c r="C1058" s="1" t="str">
        <f>"زردپور"</f>
        <v>زردپور</v>
      </c>
      <c r="D1058" s="1" t="str">
        <f t="shared" si="113"/>
        <v>قراردادي بهره بردار</v>
      </c>
      <c r="E1058" s="1" t="str">
        <f t="shared" si="115"/>
        <v>پروژه بهره برداري نيروگاه بوشهر</v>
      </c>
      <c r="F1058" s="1">
        <v>14780428</v>
      </c>
      <c r="G1058" s="1">
        <v>0</v>
      </c>
      <c r="H1058" s="1">
        <v>0</v>
      </c>
      <c r="I1058" s="1">
        <v>9468999</v>
      </c>
      <c r="J1058" s="1">
        <v>0</v>
      </c>
      <c r="K1058" s="1">
        <v>5500000</v>
      </c>
      <c r="L1058" s="1">
        <v>0</v>
      </c>
      <c r="M1058" s="1">
        <v>1000000</v>
      </c>
      <c r="N1058" s="1">
        <v>2171389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1387000</v>
      </c>
      <c r="U1058" s="1">
        <v>0</v>
      </c>
      <c r="V1058" s="1">
        <v>3196977</v>
      </c>
      <c r="W1058" s="1">
        <v>1900000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1550992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3997967</v>
      </c>
      <c r="AM1058" s="1">
        <v>0</v>
      </c>
      <c r="AN1058" s="1">
        <v>0</v>
      </c>
      <c r="AO1058" s="1">
        <v>44953752</v>
      </c>
      <c r="AP1058" s="1">
        <v>11596196</v>
      </c>
      <c r="AQ1058" s="1">
        <v>33357556</v>
      </c>
      <c r="AR1058" s="1">
        <v>8990750</v>
      </c>
      <c r="AS1058" s="1">
        <v>1348613</v>
      </c>
      <c r="AT1058" s="1">
        <f t="shared" si="112"/>
        <v>55293115</v>
      </c>
    </row>
    <row r="1059" spans="1:46" x14ac:dyDescent="0.2">
      <c r="A1059" s="1" t="str">
        <f>"01355"</f>
        <v>01355</v>
      </c>
      <c r="B1059" s="1" t="str">
        <f>"حسن"</f>
        <v>حسن</v>
      </c>
      <c r="C1059" s="1" t="str">
        <f>"مشتاقي"</f>
        <v>مشتاقي</v>
      </c>
      <c r="D1059" s="1" t="str">
        <f t="shared" si="113"/>
        <v>قراردادي بهره بردار</v>
      </c>
      <c r="E1059" s="1" t="str">
        <f t="shared" si="115"/>
        <v>پروژه بهره برداري نيروگاه بوشهر</v>
      </c>
      <c r="F1059" s="1">
        <v>10959905</v>
      </c>
      <c r="G1059" s="1">
        <v>0</v>
      </c>
      <c r="H1059" s="1">
        <v>0</v>
      </c>
      <c r="I1059" s="1">
        <v>6762829</v>
      </c>
      <c r="J1059" s="1">
        <v>0</v>
      </c>
      <c r="K1059" s="1">
        <v>3465000</v>
      </c>
      <c r="L1059" s="1">
        <v>0</v>
      </c>
      <c r="M1059" s="1">
        <v>1000000</v>
      </c>
      <c r="N1059" s="1">
        <v>1669945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1387000</v>
      </c>
      <c r="U1059" s="1">
        <v>0</v>
      </c>
      <c r="V1059" s="1">
        <v>2681947</v>
      </c>
      <c r="W1059" s="1">
        <v>1900000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1192818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6233980</v>
      </c>
      <c r="AM1059" s="1">
        <v>0</v>
      </c>
      <c r="AN1059" s="1">
        <v>0</v>
      </c>
      <c r="AO1059" s="1">
        <v>37253424</v>
      </c>
      <c r="AP1059" s="1">
        <v>3409698</v>
      </c>
      <c r="AQ1059" s="1">
        <v>33843726</v>
      </c>
      <c r="AR1059" s="1">
        <v>7450685</v>
      </c>
      <c r="AS1059" s="1">
        <v>1117603</v>
      </c>
      <c r="AT1059" s="1">
        <f t="shared" si="112"/>
        <v>45821712</v>
      </c>
    </row>
    <row r="1060" spans="1:46" x14ac:dyDescent="0.2">
      <c r="A1060" s="1" t="str">
        <f>"01356"</f>
        <v>01356</v>
      </c>
      <c r="B1060" s="1" t="str">
        <f>"يداله"</f>
        <v>يداله</v>
      </c>
      <c r="C1060" s="1" t="str">
        <f>"ابوعلي نژاد"</f>
        <v>ابوعلي نژاد</v>
      </c>
      <c r="D1060" s="1" t="str">
        <f t="shared" si="113"/>
        <v>قراردادي بهره بردار</v>
      </c>
      <c r="E1060" s="1" t="str">
        <f t="shared" si="115"/>
        <v>پروژه بهره برداري نيروگاه بوشهر</v>
      </c>
      <c r="F1060" s="1">
        <v>11216213</v>
      </c>
      <c r="G1060" s="1">
        <v>4912764</v>
      </c>
      <c r="H1060" s="1">
        <v>0</v>
      </c>
      <c r="I1060" s="1">
        <v>7364177</v>
      </c>
      <c r="J1060" s="1">
        <v>0</v>
      </c>
      <c r="K1060" s="1">
        <v>3465000</v>
      </c>
      <c r="L1060" s="1">
        <v>0</v>
      </c>
      <c r="M1060" s="1">
        <v>1000000</v>
      </c>
      <c r="N1060" s="1">
        <v>1759653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1387000</v>
      </c>
      <c r="U1060" s="1">
        <v>0</v>
      </c>
      <c r="V1060" s="1">
        <v>2876896</v>
      </c>
      <c r="W1060" s="1">
        <v>1900000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1256895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7172024</v>
      </c>
      <c r="AM1060" s="1">
        <v>0</v>
      </c>
      <c r="AN1060" s="1">
        <v>0</v>
      </c>
      <c r="AO1060" s="1">
        <v>44310622</v>
      </c>
      <c r="AP1060" s="1">
        <v>10884462</v>
      </c>
      <c r="AQ1060" s="1">
        <v>33426160</v>
      </c>
      <c r="AR1060" s="1">
        <v>8862124</v>
      </c>
      <c r="AS1060" s="1">
        <v>1329319</v>
      </c>
      <c r="AT1060" s="1">
        <f t="shared" si="112"/>
        <v>54502065</v>
      </c>
    </row>
    <row r="1061" spans="1:46" x14ac:dyDescent="0.2">
      <c r="A1061" s="1" t="str">
        <f>"01357"</f>
        <v>01357</v>
      </c>
      <c r="B1061" s="1" t="str">
        <f>"پيمان"</f>
        <v>پيمان</v>
      </c>
      <c r="C1061" s="1" t="str">
        <f>"سلحشوري"</f>
        <v>سلحشوري</v>
      </c>
      <c r="D1061" s="1" t="str">
        <f t="shared" si="113"/>
        <v>قراردادي بهره بردار</v>
      </c>
      <c r="E1061" s="1" t="str">
        <f t="shared" si="115"/>
        <v>پروژه بهره برداري نيروگاه بوشهر</v>
      </c>
      <c r="F1061" s="1">
        <v>15047689</v>
      </c>
      <c r="G1061" s="1">
        <v>1646193</v>
      </c>
      <c r="H1061" s="1">
        <v>0</v>
      </c>
      <c r="I1061" s="1">
        <v>7574375</v>
      </c>
      <c r="J1061" s="1">
        <v>0</v>
      </c>
      <c r="K1061" s="1">
        <v>4620000</v>
      </c>
      <c r="L1061" s="1">
        <v>0</v>
      </c>
      <c r="M1061" s="1">
        <v>1000000</v>
      </c>
      <c r="N1061" s="1">
        <v>2264930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1387000</v>
      </c>
      <c r="U1061" s="1">
        <v>0</v>
      </c>
      <c r="V1061" s="1">
        <v>3029728</v>
      </c>
      <c r="W1061" s="1">
        <v>1900000</v>
      </c>
      <c r="X1061" s="1">
        <v>0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1617807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3792482</v>
      </c>
      <c r="AM1061" s="1">
        <v>0</v>
      </c>
      <c r="AN1061" s="1">
        <v>0</v>
      </c>
      <c r="AO1061" s="1">
        <v>43880204</v>
      </c>
      <c r="AP1061" s="1">
        <v>18346214</v>
      </c>
      <c r="AQ1061" s="1">
        <v>25533990</v>
      </c>
      <c r="AR1061" s="1">
        <v>8776041</v>
      </c>
      <c r="AS1061" s="1">
        <v>1316406</v>
      </c>
      <c r="AT1061" s="1">
        <f t="shared" si="112"/>
        <v>53972651</v>
      </c>
    </row>
    <row r="1062" spans="1:46" x14ac:dyDescent="0.2">
      <c r="A1062" s="1" t="str">
        <f>"01358"</f>
        <v>01358</v>
      </c>
      <c r="B1062" s="1" t="str">
        <f>"محمود"</f>
        <v>محمود</v>
      </c>
      <c r="C1062" s="1" t="str">
        <f>"دشتي"</f>
        <v>دشتي</v>
      </c>
      <c r="D1062" s="1" t="str">
        <f t="shared" si="113"/>
        <v>قراردادي بهره بردار</v>
      </c>
      <c r="E1062" s="1" t="str">
        <f t="shared" si="115"/>
        <v>پروژه بهره برداري نيروگاه بوشهر</v>
      </c>
      <c r="F1062" s="1">
        <v>10909520</v>
      </c>
      <c r="G1062" s="1">
        <v>0</v>
      </c>
      <c r="H1062" s="1">
        <v>0</v>
      </c>
      <c r="I1062" s="1">
        <v>6730975</v>
      </c>
      <c r="J1062" s="1">
        <v>0</v>
      </c>
      <c r="K1062" s="1">
        <v>4620000</v>
      </c>
      <c r="L1062" s="1">
        <v>0</v>
      </c>
      <c r="M1062" s="1">
        <v>1000000</v>
      </c>
      <c r="N1062" s="1">
        <v>1652310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1387000</v>
      </c>
      <c r="U1062" s="1">
        <v>0</v>
      </c>
      <c r="V1062" s="1">
        <v>2669836</v>
      </c>
      <c r="W1062" s="1">
        <v>1900000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1180222</v>
      </c>
      <c r="AF1062" s="1">
        <v>1516881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6225327</v>
      </c>
      <c r="AM1062" s="1">
        <v>0</v>
      </c>
      <c r="AN1062" s="1">
        <v>0</v>
      </c>
      <c r="AO1062" s="1">
        <v>39792071</v>
      </c>
      <c r="AP1062" s="1">
        <v>14876666</v>
      </c>
      <c r="AQ1062" s="1">
        <v>24915405</v>
      </c>
      <c r="AR1062" s="1">
        <v>7655038</v>
      </c>
      <c r="AS1062" s="1">
        <v>1148256</v>
      </c>
      <c r="AT1062" s="1">
        <f t="shared" si="112"/>
        <v>48595365</v>
      </c>
    </row>
    <row r="1063" spans="1:46" x14ac:dyDescent="0.2">
      <c r="A1063" s="1" t="str">
        <f>"01359"</f>
        <v>01359</v>
      </c>
      <c r="B1063" s="1" t="str">
        <f>"مسعود"</f>
        <v>مسعود</v>
      </c>
      <c r="C1063" s="1" t="str">
        <f>"محسني بناري"</f>
        <v>محسني بناري</v>
      </c>
      <c r="D1063" s="1" t="str">
        <f t="shared" si="113"/>
        <v>قراردادي بهره بردار</v>
      </c>
      <c r="E1063" s="1" t="str">
        <f t="shared" si="115"/>
        <v>پروژه بهره برداري نيروگاه بوشهر</v>
      </c>
      <c r="F1063" s="1">
        <v>10804368</v>
      </c>
      <c r="G1063" s="1">
        <v>0</v>
      </c>
      <c r="H1063" s="1">
        <v>0</v>
      </c>
      <c r="I1063" s="1">
        <v>6373504</v>
      </c>
      <c r="J1063" s="1">
        <v>0</v>
      </c>
      <c r="K1063" s="1">
        <v>3465000</v>
      </c>
      <c r="L1063" s="1">
        <v>0</v>
      </c>
      <c r="M1063" s="1">
        <v>1000000</v>
      </c>
      <c r="N1063" s="1">
        <v>1615507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1387000</v>
      </c>
      <c r="U1063" s="1">
        <v>0</v>
      </c>
      <c r="V1063" s="1">
        <v>2562284</v>
      </c>
      <c r="W1063" s="1">
        <v>1900000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1153934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5675536</v>
      </c>
      <c r="AM1063" s="1">
        <v>0</v>
      </c>
      <c r="AN1063" s="1">
        <v>0</v>
      </c>
      <c r="AO1063" s="1">
        <v>35937133</v>
      </c>
      <c r="AP1063" s="1">
        <v>2535052</v>
      </c>
      <c r="AQ1063" s="1">
        <v>33402081</v>
      </c>
      <c r="AR1063" s="1">
        <v>7187427</v>
      </c>
      <c r="AS1063" s="1">
        <v>1078114</v>
      </c>
      <c r="AT1063" s="1">
        <f t="shared" si="112"/>
        <v>44202674</v>
      </c>
    </row>
    <row r="1064" spans="1:46" x14ac:dyDescent="0.2">
      <c r="A1064" s="1" t="str">
        <f>"01361"</f>
        <v>01361</v>
      </c>
      <c r="B1064" s="1" t="str">
        <f>"عباس"</f>
        <v>عباس</v>
      </c>
      <c r="C1064" s="1" t="str">
        <f>"فولادي"</f>
        <v>فولادي</v>
      </c>
      <c r="D1064" s="1" t="str">
        <f t="shared" si="113"/>
        <v>قراردادي بهره بردار</v>
      </c>
      <c r="E1064" s="1" t="str">
        <f t="shared" si="115"/>
        <v>پروژه بهره برداري نيروگاه بوشهر</v>
      </c>
      <c r="F1064" s="1">
        <v>12499944</v>
      </c>
      <c r="G1064" s="1">
        <v>2869871</v>
      </c>
      <c r="H1064" s="1">
        <v>0</v>
      </c>
      <c r="I1064" s="1">
        <v>8141284</v>
      </c>
      <c r="J1064" s="1">
        <v>0</v>
      </c>
      <c r="K1064" s="1">
        <v>4620000</v>
      </c>
      <c r="L1064" s="1">
        <v>0</v>
      </c>
      <c r="M1064" s="1">
        <v>1000000</v>
      </c>
      <c r="N1064" s="1">
        <v>2093949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1387000</v>
      </c>
      <c r="U1064" s="1">
        <v>0</v>
      </c>
      <c r="V1064" s="1">
        <v>3081075</v>
      </c>
      <c r="W1064" s="1">
        <v>1900000</v>
      </c>
      <c r="X1064" s="1">
        <v>0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1495678</v>
      </c>
      <c r="AF1064" s="1">
        <v>1516881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6579886</v>
      </c>
      <c r="AM1064" s="1">
        <v>0</v>
      </c>
      <c r="AN1064" s="1">
        <v>0</v>
      </c>
      <c r="AO1064" s="1">
        <v>47185568</v>
      </c>
      <c r="AP1064" s="1">
        <v>4272984</v>
      </c>
      <c r="AQ1064" s="1">
        <v>42912584</v>
      </c>
      <c r="AR1064" s="1">
        <v>9133737</v>
      </c>
      <c r="AS1064" s="1">
        <v>1370061</v>
      </c>
      <c r="AT1064" s="1">
        <f t="shared" si="112"/>
        <v>57689366</v>
      </c>
    </row>
    <row r="1065" spans="1:46" x14ac:dyDescent="0.2">
      <c r="A1065" s="1" t="str">
        <f>"01362"</f>
        <v>01362</v>
      </c>
      <c r="B1065" s="1" t="str">
        <f>"حسين"</f>
        <v>حسين</v>
      </c>
      <c r="C1065" s="1" t="str">
        <f>"زارعي"</f>
        <v>زارعي</v>
      </c>
      <c r="D1065" s="1" t="str">
        <f t="shared" si="113"/>
        <v>قراردادي بهره بردار</v>
      </c>
      <c r="E1065" s="1" t="str">
        <f t="shared" si="115"/>
        <v>پروژه بهره برداري نيروگاه بوشهر</v>
      </c>
      <c r="F1065" s="1">
        <v>11001528</v>
      </c>
      <c r="G1065" s="1">
        <v>1654144</v>
      </c>
      <c r="H1065" s="1">
        <v>0</v>
      </c>
      <c r="I1065" s="1">
        <v>6746032</v>
      </c>
      <c r="J1065" s="1">
        <v>0</v>
      </c>
      <c r="K1065" s="1">
        <v>3465000</v>
      </c>
      <c r="L1065" s="1">
        <v>0</v>
      </c>
      <c r="M1065" s="1">
        <v>1000000</v>
      </c>
      <c r="N1065" s="1">
        <v>1684513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1387000</v>
      </c>
      <c r="U1065" s="1">
        <v>0</v>
      </c>
      <c r="V1065" s="1">
        <v>2663817</v>
      </c>
      <c r="W1065" s="1">
        <v>1900000</v>
      </c>
      <c r="X1065" s="1">
        <v>0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1203224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6002865</v>
      </c>
      <c r="AM1065" s="1">
        <v>0</v>
      </c>
      <c r="AN1065" s="1">
        <v>0</v>
      </c>
      <c r="AO1065" s="1">
        <v>38708123</v>
      </c>
      <c r="AP1065" s="1">
        <v>10015070</v>
      </c>
      <c r="AQ1065" s="1">
        <v>28693053</v>
      </c>
      <c r="AR1065" s="1">
        <v>7741625</v>
      </c>
      <c r="AS1065" s="1">
        <v>1161244</v>
      </c>
      <c r="AT1065" s="1">
        <f t="shared" si="112"/>
        <v>47610992</v>
      </c>
    </row>
    <row r="1066" spans="1:46" x14ac:dyDescent="0.2">
      <c r="A1066" s="1" t="str">
        <f>"01363"</f>
        <v>01363</v>
      </c>
      <c r="B1066" s="1" t="str">
        <f>"مازيار"</f>
        <v>مازيار</v>
      </c>
      <c r="C1066" s="1" t="str">
        <f>"پرواز"</f>
        <v>پرواز</v>
      </c>
      <c r="D1066" s="1" t="str">
        <f t="shared" si="113"/>
        <v>قراردادي بهره بردار</v>
      </c>
      <c r="E1066" s="1" t="str">
        <f t="shared" si="115"/>
        <v>پروژه بهره برداري نيروگاه بوشهر</v>
      </c>
      <c r="F1066" s="1">
        <v>11143921</v>
      </c>
      <c r="G1066" s="1">
        <v>1679396</v>
      </c>
      <c r="H1066" s="1">
        <v>0</v>
      </c>
      <c r="I1066" s="1">
        <v>7002058</v>
      </c>
      <c r="J1066" s="1">
        <v>0</v>
      </c>
      <c r="K1066" s="1">
        <v>4620000</v>
      </c>
      <c r="L1066" s="1">
        <v>0</v>
      </c>
      <c r="M1066" s="1">
        <v>1000000</v>
      </c>
      <c r="N1066" s="1">
        <v>1734351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1606000</v>
      </c>
      <c r="U1066" s="1">
        <v>0</v>
      </c>
      <c r="V1066" s="1">
        <v>2704481</v>
      </c>
      <c r="W1066" s="1">
        <v>1900000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1238822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5925666</v>
      </c>
      <c r="AM1066" s="1">
        <v>0</v>
      </c>
      <c r="AN1066" s="1">
        <v>0</v>
      </c>
      <c r="AO1066" s="1">
        <v>40554695</v>
      </c>
      <c r="AP1066" s="1">
        <v>3929900</v>
      </c>
      <c r="AQ1066" s="1">
        <v>36624795</v>
      </c>
      <c r="AR1066" s="1">
        <v>8110939</v>
      </c>
      <c r="AS1066" s="1">
        <v>1216641</v>
      </c>
      <c r="AT1066" s="1">
        <f t="shared" si="112"/>
        <v>49882275</v>
      </c>
    </row>
    <row r="1067" spans="1:46" x14ac:dyDescent="0.2">
      <c r="A1067" s="1" t="str">
        <f>"01364"</f>
        <v>01364</v>
      </c>
      <c r="B1067" s="1" t="str">
        <f>"ميثم"</f>
        <v>ميثم</v>
      </c>
      <c r="C1067" s="1" t="str">
        <f>"باغباني"</f>
        <v>باغباني</v>
      </c>
      <c r="D1067" s="1" t="str">
        <f t="shared" si="113"/>
        <v>قراردادي بهره بردار</v>
      </c>
      <c r="E1067" s="1" t="str">
        <f t="shared" si="115"/>
        <v>پروژه بهره برداري نيروگاه بوشهر</v>
      </c>
      <c r="F1067" s="1">
        <v>11715685</v>
      </c>
      <c r="G1067" s="1">
        <v>2259677</v>
      </c>
      <c r="H1067" s="1">
        <v>0</v>
      </c>
      <c r="I1067" s="1">
        <v>7533736</v>
      </c>
      <c r="J1067" s="1">
        <v>0</v>
      </c>
      <c r="K1067" s="1">
        <v>4620000</v>
      </c>
      <c r="L1067" s="1">
        <v>0</v>
      </c>
      <c r="M1067" s="1">
        <v>1000000</v>
      </c>
      <c r="N1067" s="1">
        <v>1819458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1387000</v>
      </c>
      <c r="U1067" s="1">
        <v>0</v>
      </c>
      <c r="V1067" s="1">
        <v>3234632</v>
      </c>
      <c r="W1067" s="1">
        <v>1900000</v>
      </c>
      <c r="X1067" s="1">
        <v>1700664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1299613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9977827</v>
      </c>
      <c r="AM1067" s="1">
        <v>0</v>
      </c>
      <c r="AN1067" s="1">
        <v>0</v>
      </c>
      <c r="AO1067" s="1">
        <v>48448292</v>
      </c>
      <c r="AP1067" s="1">
        <v>11631938</v>
      </c>
      <c r="AQ1067" s="1">
        <v>36816354</v>
      </c>
      <c r="AR1067" s="1">
        <v>9689658</v>
      </c>
      <c r="AS1067" s="1">
        <v>1453449</v>
      </c>
      <c r="AT1067" s="1">
        <f t="shared" si="112"/>
        <v>59591399</v>
      </c>
    </row>
    <row r="1068" spans="1:46" x14ac:dyDescent="0.2">
      <c r="A1068" s="1" t="str">
        <f>"01365"</f>
        <v>01365</v>
      </c>
      <c r="B1068" s="1" t="str">
        <f>"سيد حسين"</f>
        <v>سيد حسين</v>
      </c>
      <c r="C1068" s="1" t="str">
        <f>"حسيني"</f>
        <v>حسيني</v>
      </c>
      <c r="D1068" s="1" t="str">
        <f t="shared" si="113"/>
        <v>قراردادي بهره بردار</v>
      </c>
      <c r="E1068" s="1" t="str">
        <f t="shared" si="115"/>
        <v>پروژه بهره برداري نيروگاه بوشهر</v>
      </c>
      <c r="F1068" s="1">
        <v>11636821</v>
      </c>
      <c r="G1068" s="1">
        <v>1742262</v>
      </c>
      <c r="H1068" s="1">
        <v>0</v>
      </c>
      <c r="I1068" s="1">
        <v>7391398</v>
      </c>
      <c r="J1068" s="1">
        <v>0</v>
      </c>
      <c r="K1068" s="1">
        <v>4620000</v>
      </c>
      <c r="L1068" s="1">
        <v>0</v>
      </c>
      <c r="M1068" s="1">
        <v>1000000</v>
      </c>
      <c r="N1068" s="1">
        <v>1791856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1387000</v>
      </c>
      <c r="U1068" s="1">
        <v>0</v>
      </c>
      <c r="V1068" s="1">
        <v>3206539</v>
      </c>
      <c r="W1068" s="1">
        <v>1900000</v>
      </c>
      <c r="X1068" s="1">
        <v>1689216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1279897</v>
      </c>
      <c r="AF1068" s="1">
        <v>1516881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9965411</v>
      </c>
      <c r="AM1068" s="1">
        <v>0</v>
      </c>
      <c r="AN1068" s="1">
        <v>0</v>
      </c>
      <c r="AO1068" s="1">
        <v>49127281</v>
      </c>
      <c r="AP1068" s="1">
        <v>4589483</v>
      </c>
      <c r="AQ1068" s="1">
        <v>44537798</v>
      </c>
      <c r="AR1068" s="1">
        <v>9522080</v>
      </c>
      <c r="AS1068" s="1">
        <v>1428312</v>
      </c>
      <c r="AT1068" s="1">
        <f t="shared" si="112"/>
        <v>60077673</v>
      </c>
    </row>
    <row r="1069" spans="1:46" x14ac:dyDescent="0.2">
      <c r="A1069" s="1" t="str">
        <f>"01366"</f>
        <v>01366</v>
      </c>
      <c r="B1069" s="1" t="str">
        <f>"محسن"</f>
        <v>محسن</v>
      </c>
      <c r="C1069" s="1" t="str">
        <f>"حسيني"</f>
        <v>حسيني</v>
      </c>
      <c r="D1069" s="1" t="str">
        <f t="shared" si="113"/>
        <v>قراردادي بهره بردار</v>
      </c>
      <c r="E1069" s="1" t="str">
        <f t="shared" si="115"/>
        <v>پروژه بهره برداري نيروگاه بوشهر</v>
      </c>
      <c r="F1069" s="1">
        <v>12331263</v>
      </c>
      <c r="G1069" s="1">
        <v>1881977</v>
      </c>
      <c r="H1069" s="1">
        <v>0</v>
      </c>
      <c r="I1069" s="1">
        <v>8279047</v>
      </c>
      <c r="J1069" s="1">
        <v>0</v>
      </c>
      <c r="K1069" s="1">
        <v>4620000</v>
      </c>
      <c r="L1069" s="1">
        <v>0</v>
      </c>
      <c r="M1069" s="1">
        <v>1000000</v>
      </c>
      <c r="N1069" s="1">
        <v>2034910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1387000</v>
      </c>
      <c r="U1069" s="1">
        <v>0</v>
      </c>
      <c r="V1069" s="1">
        <v>3463675</v>
      </c>
      <c r="W1069" s="1">
        <v>1900000</v>
      </c>
      <c r="X1069" s="1">
        <v>1344269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1453507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10538026</v>
      </c>
      <c r="AM1069" s="1">
        <v>0</v>
      </c>
      <c r="AN1069" s="1">
        <v>0</v>
      </c>
      <c r="AO1069" s="1">
        <v>50233674</v>
      </c>
      <c r="AP1069" s="1">
        <v>5365389</v>
      </c>
      <c r="AQ1069" s="1">
        <v>44868285</v>
      </c>
      <c r="AR1069" s="1">
        <v>10046735</v>
      </c>
      <c r="AS1069" s="1">
        <v>1507010</v>
      </c>
      <c r="AT1069" s="1">
        <f t="shared" si="112"/>
        <v>61787419</v>
      </c>
    </row>
    <row r="1070" spans="1:46" x14ac:dyDescent="0.2">
      <c r="A1070" s="1" t="str">
        <f>"01367"</f>
        <v>01367</v>
      </c>
      <c r="B1070" s="1" t="str">
        <f>"محمد مهدي"</f>
        <v>محمد مهدي</v>
      </c>
      <c r="C1070" s="1" t="str">
        <f>"ملک نصب اردکاني"</f>
        <v>ملک نصب اردکاني</v>
      </c>
      <c r="D1070" s="1" t="str">
        <f t="shared" si="113"/>
        <v>قراردادي بهره بردار</v>
      </c>
      <c r="E1070" s="1" t="str">
        <f t="shared" si="115"/>
        <v>پروژه بهره برداري نيروگاه بوشهر</v>
      </c>
      <c r="F1070" s="1">
        <v>10813131</v>
      </c>
      <c r="G1070" s="1">
        <v>1704890</v>
      </c>
      <c r="H1070" s="1">
        <v>0</v>
      </c>
      <c r="I1070" s="1">
        <v>6894613</v>
      </c>
      <c r="J1070" s="1">
        <v>0</v>
      </c>
      <c r="K1070" s="1">
        <v>3465000</v>
      </c>
      <c r="L1070" s="1">
        <v>0</v>
      </c>
      <c r="M1070" s="1">
        <v>1000000</v>
      </c>
      <c r="N1070" s="1">
        <v>1618574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1387000</v>
      </c>
      <c r="U1070" s="1">
        <v>0</v>
      </c>
      <c r="V1070" s="1">
        <v>2745538</v>
      </c>
      <c r="W1070" s="1">
        <v>1900000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1156124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6972935</v>
      </c>
      <c r="AM1070" s="1">
        <v>0</v>
      </c>
      <c r="AN1070" s="1">
        <v>0</v>
      </c>
      <c r="AO1070" s="1">
        <v>39657805</v>
      </c>
      <c r="AP1070" s="1">
        <v>3498270</v>
      </c>
      <c r="AQ1070" s="1">
        <v>36159535</v>
      </c>
      <c r="AR1070" s="1">
        <v>7931561</v>
      </c>
      <c r="AS1070" s="1">
        <v>1189734</v>
      </c>
      <c r="AT1070" s="1">
        <f t="shared" si="112"/>
        <v>48779100</v>
      </c>
    </row>
    <row r="1071" spans="1:46" x14ac:dyDescent="0.2">
      <c r="A1071" s="1" t="str">
        <f>"01368"</f>
        <v>01368</v>
      </c>
      <c r="B1071" s="1" t="str">
        <f>"سامان"</f>
        <v>سامان</v>
      </c>
      <c r="C1071" s="1" t="str">
        <f>"حيدري"</f>
        <v>حيدري</v>
      </c>
      <c r="D1071" s="1" t="str">
        <f t="shared" si="113"/>
        <v>قراردادي بهره بردار</v>
      </c>
      <c r="E1071" s="1" t="str">
        <f t="shared" si="115"/>
        <v>پروژه بهره برداري نيروگاه بوشهر</v>
      </c>
      <c r="F1071" s="1">
        <v>10808749</v>
      </c>
      <c r="G1071" s="1">
        <v>0</v>
      </c>
      <c r="H1071" s="1">
        <v>0</v>
      </c>
      <c r="I1071" s="1">
        <v>6633815</v>
      </c>
      <c r="J1071" s="1">
        <v>0</v>
      </c>
      <c r="K1071" s="1">
        <v>4620000</v>
      </c>
      <c r="L1071" s="1">
        <v>0</v>
      </c>
      <c r="M1071" s="1">
        <v>1000000</v>
      </c>
      <c r="N1071" s="1">
        <v>1617041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1387000</v>
      </c>
      <c r="U1071" s="1">
        <v>0</v>
      </c>
      <c r="V1071" s="1">
        <v>2653935</v>
      </c>
      <c r="W1071" s="1">
        <v>1900000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1155029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6324717</v>
      </c>
      <c r="AM1071" s="1">
        <v>0</v>
      </c>
      <c r="AN1071" s="1">
        <v>0</v>
      </c>
      <c r="AO1071" s="1">
        <v>38100286</v>
      </c>
      <c r="AP1071" s="1">
        <v>10812954</v>
      </c>
      <c r="AQ1071" s="1">
        <v>27287332</v>
      </c>
      <c r="AR1071" s="1">
        <v>7620057</v>
      </c>
      <c r="AS1071" s="1">
        <v>1143009</v>
      </c>
      <c r="AT1071" s="1">
        <f t="shared" si="112"/>
        <v>46863352</v>
      </c>
    </row>
    <row r="1072" spans="1:46" x14ac:dyDescent="0.2">
      <c r="A1072" s="1" t="str">
        <f>"01370"</f>
        <v>01370</v>
      </c>
      <c r="B1072" s="1" t="str">
        <f>"علي"</f>
        <v>علي</v>
      </c>
      <c r="C1072" s="1" t="str">
        <f>"عباس زاده"</f>
        <v>عباس زاده</v>
      </c>
      <c r="D1072" s="1" t="str">
        <f t="shared" si="113"/>
        <v>قراردادي بهره بردار</v>
      </c>
      <c r="E1072" s="1" t="str">
        <f t="shared" si="115"/>
        <v>پروژه بهره برداري نيروگاه بوشهر</v>
      </c>
      <c r="F1072" s="1">
        <v>10414429</v>
      </c>
      <c r="G1072" s="1">
        <v>1639516</v>
      </c>
      <c r="H1072" s="1">
        <v>0</v>
      </c>
      <c r="I1072" s="1">
        <v>5746973</v>
      </c>
      <c r="J1072" s="1">
        <v>0</v>
      </c>
      <c r="K1072" s="1">
        <v>3465000</v>
      </c>
      <c r="L1072" s="1">
        <v>0</v>
      </c>
      <c r="M1072" s="1">
        <v>1000000</v>
      </c>
      <c r="N1072" s="1">
        <v>1479029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1387000</v>
      </c>
      <c r="U1072" s="1">
        <v>0</v>
      </c>
      <c r="V1072" s="1">
        <v>2346897</v>
      </c>
      <c r="W1072" s="1">
        <v>1900000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1056449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4772094</v>
      </c>
      <c r="AM1072" s="1">
        <v>0</v>
      </c>
      <c r="AN1072" s="1">
        <v>0</v>
      </c>
      <c r="AO1072" s="1">
        <v>35207387</v>
      </c>
      <c r="AP1072" s="1">
        <v>7304003</v>
      </c>
      <c r="AQ1072" s="1">
        <v>27903384</v>
      </c>
      <c r="AR1072" s="1">
        <v>7041477</v>
      </c>
      <c r="AS1072" s="1">
        <v>1056222</v>
      </c>
      <c r="AT1072" s="1">
        <f t="shared" si="112"/>
        <v>43305086</v>
      </c>
    </row>
    <row r="1073" spans="1:46" x14ac:dyDescent="0.2">
      <c r="A1073" s="1" t="str">
        <f>"01371"</f>
        <v>01371</v>
      </c>
      <c r="B1073" s="1" t="str">
        <f>"محمد"</f>
        <v>محمد</v>
      </c>
      <c r="C1073" s="1" t="str">
        <f>"روشني روز"</f>
        <v>روشني روز</v>
      </c>
      <c r="D1073" s="1" t="str">
        <f t="shared" si="113"/>
        <v>قراردادي بهره بردار</v>
      </c>
      <c r="E1073" s="1" t="str">
        <f t="shared" si="115"/>
        <v>پروژه بهره برداري نيروگاه بوشهر</v>
      </c>
      <c r="F1073" s="1">
        <v>11224976</v>
      </c>
      <c r="G1073" s="1">
        <v>8972497</v>
      </c>
      <c r="H1073" s="1">
        <v>0</v>
      </c>
      <c r="I1073" s="1">
        <v>7572259</v>
      </c>
      <c r="J1073" s="1">
        <v>0</v>
      </c>
      <c r="K1073" s="1">
        <v>4620000</v>
      </c>
      <c r="L1073" s="1">
        <v>0</v>
      </c>
      <c r="M1073" s="1">
        <v>1000000</v>
      </c>
      <c r="N1073" s="1">
        <v>1762720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1387000</v>
      </c>
      <c r="U1073" s="1">
        <v>0</v>
      </c>
      <c r="V1073" s="1">
        <v>3210937</v>
      </c>
      <c r="W1073" s="1">
        <v>1900000</v>
      </c>
      <c r="X1073" s="1">
        <v>1629432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1259086</v>
      </c>
      <c r="AF1073" s="1">
        <v>1516881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10290328</v>
      </c>
      <c r="AM1073" s="1">
        <v>0</v>
      </c>
      <c r="AN1073" s="1">
        <v>0</v>
      </c>
      <c r="AO1073" s="1">
        <v>56346116</v>
      </c>
      <c r="AP1073" s="1">
        <v>19245028</v>
      </c>
      <c r="AQ1073" s="1">
        <v>37101088</v>
      </c>
      <c r="AR1073" s="1">
        <v>10965847</v>
      </c>
      <c r="AS1073" s="1">
        <v>1644877</v>
      </c>
      <c r="AT1073" s="1">
        <f t="shared" si="112"/>
        <v>68956840</v>
      </c>
    </row>
    <row r="1074" spans="1:46" x14ac:dyDescent="0.2">
      <c r="A1074" s="1" t="str">
        <f>"01372"</f>
        <v>01372</v>
      </c>
      <c r="B1074" s="1" t="str">
        <f>"رضا"</f>
        <v>رضا</v>
      </c>
      <c r="C1074" s="1" t="str">
        <f>"محمدي"</f>
        <v>محمدي</v>
      </c>
      <c r="D1074" s="1" t="str">
        <f t="shared" si="113"/>
        <v>قراردادي بهره بردار</v>
      </c>
      <c r="E1074" s="1" t="str">
        <f t="shared" si="115"/>
        <v>پروژه بهره برداري نيروگاه بوشهر</v>
      </c>
      <c r="F1074" s="1">
        <v>10986193</v>
      </c>
      <c r="G1074" s="1">
        <v>2118205</v>
      </c>
      <c r="H1074" s="1">
        <v>0</v>
      </c>
      <c r="I1074" s="1">
        <v>6847182</v>
      </c>
      <c r="J1074" s="1">
        <v>0</v>
      </c>
      <c r="K1074" s="1">
        <v>3465000</v>
      </c>
      <c r="L1074" s="1">
        <v>0</v>
      </c>
      <c r="M1074" s="1">
        <v>1000000</v>
      </c>
      <c r="N1074" s="1">
        <v>1679146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1387000</v>
      </c>
      <c r="U1074" s="1">
        <v>0</v>
      </c>
      <c r="V1074" s="1">
        <v>3032120</v>
      </c>
      <c r="W1074" s="1">
        <v>1900000</v>
      </c>
      <c r="X1074" s="1">
        <v>1594770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1199390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9609293</v>
      </c>
      <c r="AM1074" s="1">
        <v>0</v>
      </c>
      <c r="AN1074" s="1">
        <v>0</v>
      </c>
      <c r="AO1074" s="1">
        <v>44818299</v>
      </c>
      <c r="AP1074" s="1">
        <v>14656987</v>
      </c>
      <c r="AQ1074" s="1">
        <v>30161312</v>
      </c>
      <c r="AR1074" s="1">
        <v>8963660</v>
      </c>
      <c r="AS1074" s="1">
        <v>1344549</v>
      </c>
      <c r="AT1074" s="1">
        <f t="shared" si="112"/>
        <v>55126508</v>
      </c>
    </row>
    <row r="1075" spans="1:46" x14ac:dyDescent="0.2">
      <c r="A1075" s="1" t="str">
        <f>"01373"</f>
        <v>01373</v>
      </c>
      <c r="B1075" s="1" t="str">
        <f>"محسن"</f>
        <v>محسن</v>
      </c>
      <c r="C1075" s="1" t="str">
        <f>"موحدنيا"</f>
        <v>موحدنيا</v>
      </c>
      <c r="D1075" s="1" t="str">
        <f t="shared" si="113"/>
        <v>قراردادي بهره بردار</v>
      </c>
      <c r="E1075" s="1" t="str">
        <f t="shared" si="115"/>
        <v>پروژه بهره برداري نيروگاه بوشهر</v>
      </c>
      <c r="F1075" s="1">
        <v>14981969</v>
      </c>
      <c r="G1075" s="1">
        <v>1645768</v>
      </c>
      <c r="H1075" s="1">
        <v>0</v>
      </c>
      <c r="I1075" s="1">
        <v>7485491</v>
      </c>
      <c r="J1075" s="1">
        <v>0</v>
      </c>
      <c r="K1075" s="1">
        <v>4125000</v>
      </c>
      <c r="L1075" s="1">
        <v>0</v>
      </c>
      <c r="M1075" s="1">
        <v>1000000</v>
      </c>
      <c r="N1075" s="1">
        <v>2241928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1387000</v>
      </c>
      <c r="U1075" s="1">
        <v>0</v>
      </c>
      <c r="V1075" s="1">
        <v>3028946</v>
      </c>
      <c r="W1075" s="1">
        <v>1900000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1601377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3978689</v>
      </c>
      <c r="AM1075" s="1">
        <v>0</v>
      </c>
      <c r="AN1075" s="1">
        <v>0</v>
      </c>
      <c r="AO1075" s="1">
        <v>43376168</v>
      </c>
      <c r="AP1075" s="1">
        <v>18390879</v>
      </c>
      <c r="AQ1075" s="1">
        <v>24985289</v>
      </c>
      <c r="AR1075" s="1">
        <v>8675234</v>
      </c>
      <c r="AS1075" s="1">
        <v>1301285</v>
      </c>
      <c r="AT1075" s="1">
        <f t="shared" si="112"/>
        <v>53352687</v>
      </c>
    </row>
    <row r="1076" spans="1:46" x14ac:dyDescent="0.2">
      <c r="A1076" s="1" t="str">
        <f>"01374"</f>
        <v>01374</v>
      </c>
      <c r="B1076" s="1" t="str">
        <f>"علي"</f>
        <v>علي</v>
      </c>
      <c r="C1076" s="1" t="str">
        <f>"اسماعيلي نسب"</f>
        <v>اسماعيلي نسب</v>
      </c>
      <c r="D1076" s="1" t="str">
        <f t="shared" si="113"/>
        <v>قراردادي بهره بردار</v>
      </c>
      <c r="E1076" s="1" t="str">
        <f t="shared" si="115"/>
        <v>پروژه بهره برداري نيروگاه بوشهر</v>
      </c>
      <c r="F1076" s="1">
        <v>14589840</v>
      </c>
      <c r="G1076" s="1">
        <v>1583585</v>
      </c>
      <c r="H1076" s="1">
        <v>0</v>
      </c>
      <c r="I1076" s="1">
        <v>7092668</v>
      </c>
      <c r="J1076" s="1">
        <v>0</v>
      </c>
      <c r="K1076" s="1">
        <v>5500000</v>
      </c>
      <c r="L1076" s="1">
        <v>0</v>
      </c>
      <c r="M1076" s="1">
        <v>1000000</v>
      </c>
      <c r="N1076" s="1">
        <v>2104683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1387000</v>
      </c>
      <c r="U1076" s="1">
        <v>0</v>
      </c>
      <c r="V1076" s="1">
        <v>2914501</v>
      </c>
      <c r="W1076" s="1">
        <v>1900000</v>
      </c>
      <c r="X1076" s="1">
        <v>0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1503345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3854478</v>
      </c>
      <c r="AM1076" s="1">
        <v>0</v>
      </c>
      <c r="AN1076" s="1">
        <v>0</v>
      </c>
      <c r="AO1076" s="1">
        <v>43430100</v>
      </c>
      <c r="AP1076" s="1">
        <v>26219719</v>
      </c>
      <c r="AQ1076" s="1">
        <v>17210381</v>
      </c>
      <c r="AR1076" s="1">
        <v>8686020</v>
      </c>
      <c r="AS1076" s="1">
        <v>1302903</v>
      </c>
      <c r="AT1076" s="1">
        <f t="shared" si="112"/>
        <v>53419023</v>
      </c>
    </row>
    <row r="1077" spans="1:46" x14ac:dyDescent="0.2">
      <c r="A1077" s="1" t="str">
        <f>"01375"</f>
        <v>01375</v>
      </c>
      <c r="B1077" s="1" t="str">
        <f>"نصراله"</f>
        <v>نصراله</v>
      </c>
      <c r="C1077" s="1" t="str">
        <f>"کرم پور"</f>
        <v>کرم پور</v>
      </c>
      <c r="D1077" s="1" t="str">
        <f t="shared" si="113"/>
        <v>قراردادي بهره بردار</v>
      </c>
      <c r="E1077" s="1" t="str">
        <f t="shared" si="115"/>
        <v>پروژه بهره برداري نيروگاه بوشهر</v>
      </c>
      <c r="F1077" s="1">
        <v>15560305</v>
      </c>
      <c r="G1077" s="1">
        <v>0</v>
      </c>
      <c r="H1077" s="1">
        <v>0</v>
      </c>
      <c r="I1077" s="1">
        <v>10241987</v>
      </c>
      <c r="J1077" s="1">
        <v>0</v>
      </c>
      <c r="K1077" s="1">
        <v>4125000</v>
      </c>
      <c r="L1077" s="1">
        <v>0</v>
      </c>
      <c r="M1077" s="1">
        <v>1000000</v>
      </c>
      <c r="N1077" s="1">
        <v>2283332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1387000</v>
      </c>
      <c r="U1077" s="1">
        <v>0</v>
      </c>
      <c r="V1077" s="1">
        <v>3587629</v>
      </c>
      <c r="W1077" s="1">
        <v>1900000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1630951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6159717</v>
      </c>
      <c r="AM1077" s="1">
        <v>0</v>
      </c>
      <c r="AN1077" s="1">
        <v>0</v>
      </c>
      <c r="AO1077" s="1">
        <v>47875921</v>
      </c>
      <c r="AP1077" s="1">
        <v>12073078</v>
      </c>
      <c r="AQ1077" s="1">
        <v>35802843</v>
      </c>
      <c r="AR1077" s="1">
        <v>9575184</v>
      </c>
      <c r="AS1077" s="1">
        <v>1436278</v>
      </c>
      <c r="AT1077" s="1">
        <f t="shared" si="112"/>
        <v>58887383</v>
      </c>
    </row>
    <row r="1078" spans="1:46" x14ac:dyDescent="0.2">
      <c r="A1078" s="1" t="str">
        <f>"01376"</f>
        <v>01376</v>
      </c>
      <c r="B1078" s="1" t="str">
        <f>"مهدي"</f>
        <v>مهدي</v>
      </c>
      <c r="C1078" s="1" t="str">
        <f>"افشين"</f>
        <v>افشين</v>
      </c>
      <c r="D1078" s="1" t="str">
        <f t="shared" si="113"/>
        <v>قراردادي بهره بردار</v>
      </c>
      <c r="E1078" s="1" t="str">
        <f t="shared" si="115"/>
        <v>پروژه بهره برداري نيروگاه بوشهر</v>
      </c>
      <c r="F1078" s="1">
        <v>15669839</v>
      </c>
      <c r="G1078" s="1">
        <v>0</v>
      </c>
      <c r="H1078" s="1">
        <v>0</v>
      </c>
      <c r="I1078" s="1">
        <v>9889720</v>
      </c>
      <c r="J1078" s="1">
        <v>0</v>
      </c>
      <c r="K1078" s="1">
        <v>4125000</v>
      </c>
      <c r="L1078" s="1">
        <v>0</v>
      </c>
      <c r="M1078" s="1">
        <v>1000000</v>
      </c>
      <c r="N1078" s="1">
        <v>2321669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1387000</v>
      </c>
      <c r="U1078" s="1">
        <v>0</v>
      </c>
      <c r="V1078" s="1">
        <v>3461262</v>
      </c>
      <c r="W1078" s="1">
        <v>1900000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1658335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5073058</v>
      </c>
      <c r="AM1078" s="1">
        <v>0</v>
      </c>
      <c r="AN1078" s="1">
        <v>0</v>
      </c>
      <c r="AO1078" s="1">
        <v>46485883</v>
      </c>
      <c r="AP1078" s="1">
        <v>10550501</v>
      </c>
      <c r="AQ1078" s="1">
        <v>35935382</v>
      </c>
      <c r="AR1078" s="1">
        <v>9297177</v>
      </c>
      <c r="AS1078" s="1">
        <v>1394576</v>
      </c>
      <c r="AT1078" s="1">
        <f t="shared" si="112"/>
        <v>57177636</v>
      </c>
    </row>
    <row r="1079" spans="1:46" x14ac:dyDescent="0.2">
      <c r="A1079" s="1" t="str">
        <f>"01377"</f>
        <v>01377</v>
      </c>
      <c r="B1079" s="1" t="str">
        <f>"عليرضا"</f>
        <v>عليرضا</v>
      </c>
      <c r="C1079" s="1" t="str">
        <f>"گچ کاران"</f>
        <v>گچ کاران</v>
      </c>
      <c r="D1079" s="1" t="str">
        <f t="shared" si="113"/>
        <v>قراردادي بهره بردار</v>
      </c>
      <c r="E1079" s="1" t="str">
        <f t="shared" si="115"/>
        <v>پروژه بهره برداري نيروگاه بوشهر</v>
      </c>
      <c r="F1079" s="1">
        <v>10747411</v>
      </c>
      <c r="G1079" s="1">
        <v>1580710</v>
      </c>
      <c r="H1079" s="1">
        <v>0</v>
      </c>
      <c r="I1079" s="1">
        <v>6317178</v>
      </c>
      <c r="J1079" s="1">
        <v>0</v>
      </c>
      <c r="K1079" s="1">
        <v>3465000</v>
      </c>
      <c r="L1079" s="1">
        <v>0</v>
      </c>
      <c r="M1079" s="1">
        <v>1000000</v>
      </c>
      <c r="N1079" s="1">
        <v>1595572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1387000</v>
      </c>
      <c r="U1079" s="1">
        <v>0</v>
      </c>
      <c r="V1079" s="1">
        <v>2545559</v>
      </c>
      <c r="W1079" s="1">
        <v>1900000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1139694</v>
      </c>
      <c r="AF1079" s="1">
        <v>0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5655732</v>
      </c>
      <c r="AM1079" s="1">
        <v>0</v>
      </c>
      <c r="AN1079" s="1">
        <v>0</v>
      </c>
      <c r="AO1079" s="1">
        <v>37333856</v>
      </c>
      <c r="AP1079" s="1">
        <v>9526650</v>
      </c>
      <c r="AQ1079" s="1">
        <v>27807206</v>
      </c>
      <c r="AR1079" s="1">
        <v>7466771</v>
      </c>
      <c r="AS1079" s="1">
        <v>1120016</v>
      </c>
      <c r="AT1079" s="1">
        <f t="shared" si="112"/>
        <v>45920643</v>
      </c>
    </row>
    <row r="1080" spans="1:46" x14ac:dyDescent="0.2">
      <c r="A1080" s="1" t="str">
        <f>"01379"</f>
        <v>01379</v>
      </c>
      <c r="B1080" s="1" t="str">
        <f>"احمد"</f>
        <v>احمد</v>
      </c>
      <c r="C1080" s="1" t="str">
        <f>"ناطوري"</f>
        <v>ناطوري</v>
      </c>
      <c r="D1080" s="1" t="str">
        <f t="shared" si="113"/>
        <v>قراردادي بهره بردار</v>
      </c>
      <c r="E1080" s="1" t="str">
        <f t="shared" si="115"/>
        <v>پروژه بهره برداري نيروگاه بوشهر</v>
      </c>
      <c r="F1080" s="1">
        <v>13757387</v>
      </c>
      <c r="G1080" s="1">
        <v>1484074</v>
      </c>
      <c r="H1080" s="1">
        <v>0</v>
      </c>
      <c r="I1080" s="1">
        <v>6531811</v>
      </c>
      <c r="J1080" s="1">
        <v>0</v>
      </c>
      <c r="K1080" s="1">
        <v>4125000</v>
      </c>
      <c r="L1080" s="1">
        <v>0</v>
      </c>
      <c r="M1080" s="1">
        <v>1000000</v>
      </c>
      <c r="N1080" s="1">
        <v>1813324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1387000</v>
      </c>
      <c r="U1080" s="1">
        <v>0</v>
      </c>
      <c r="V1080" s="1">
        <v>2731357</v>
      </c>
      <c r="W1080" s="1">
        <v>1900000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1295232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3915817</v>
      </c>
      <c r="AM1080" s="1">
        <v>0</v>
      </c>
      <c r="AN1080" s="1">
        <v>0</v>
      </c>
      <c r="AO1080" s="1">
        <v>39941002</v>
      </c>
      <c r="AP1080" s="1">
        <v>10779686</v>
      </c>
      <c r="AQ1080" s="1">
        <v>29161316</v>
      </c>
      <c r="AR1080" s="1">
        <v>7988200</v>
      </c>
      <c r="AS1080" s="1">
        <v>1198230</v>
      </c>
      <c r="AT1080" s="1">
        <f t="shared" si="112"/>
        <v>49127432</v>
      </c>
    </row>
    <row r="1081" spans="1:46" x14ac:dyDescent="0.2">
      <c r="A1081" s="1" t="str">
        <f>"01380"</f>
        <v>01380</v>
      </c>
      <c r="B1081" s="1" t="str">
        <f>"ابوطالب"</f>
        <v>ابوطالب</v>
      </c>
      <c r="C1081" s="1" t="str">
        <f>"نوروزي"</f>
        <v>نوروزي</v>
      </c>
      <c r="D1081" s="1" t="str">
        <f t="shared" si="113"/>
        <v>قراردادي بهره بردار</v>
      </c>
      <c r="E1081" s="1" t="str">
        <f t="shared" si="115"/>
        <v>پروژه بهره برداري نيروگاه بوشهر</v>
      </c>
      <c r="F1081" s="1">
        <v>13799009</v>
      </c>
      <c r="G1081" s="1">
        <v>1489061</v>
      </c>
      <c r="H1081" s="1">
        <v>0</v>
      </c>
      <c r="I1081" s="1">
        <v>6559853</v>
      </c>
      <c r="J1081" s="1">
        <v>0</v>
      </c>
      <c r="K1081" s="1">
        <v>5500000</v>
      </c>
      <c r="L1081" s="1">
        <v>0</v>
      </c>
      <c r="M1081" s="1">
        <v>1000000</v>
      </c>
      <c r="N1081" s="1">
        <v>1827892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1387000</v>
      </c>
      <c r="U1081" s="1">
        <v>0</v>
      </c>
      <c r="V1081" s="1">
        <v>2740536</v>
      </c>
      <c r="W1081" s="1">
        <v>1900000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1305637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3912969</v>
      </c>
      <c r="AM1081" s="1">
        <v>0</v>
      </c>
      <c r="AN1081" s="1">
        <v>0</v>
      </c>
      <c r="AO1081" s="1">
        <v>41421957</v>
      </c>
      <c r="AP1081" s="1">
        <v>11344081</v>
      </c>
      <c r="AQ1081" s="1">
        <v>30077876</v>
      </c>
      <c r="AR1081" s="1">
        <v>8284391</v>
      </c>
      <c r="AS1081" s="1">
        <v>1242659</v>
      </c>
      <c r="AT1081" s="1">
        <f t="shared" si="112"/>
        <v>50949007</v>
      </c>
    </row>
    <row r="1082" spans="1:46" x14ac:dyDescent="0.2">
      <c r="A1082" s="1" t="str">
        <f>"01381"</f>
        <v>01381</v>
      </c>
      <c r="B1082" s="1" t="str">
        <f>"احسان"</f>
        <v>احسان</v>
      </c>
      <c r="C1082" s="1" t="str">
        <f>"شاهي غفاربي"</f>
        <v>شاهي غفاربي</v>
      </c>
      <c r="D1082" s="1" t="str">
        <f t="shared" si="113"/>
        <v>قراردادي بهره بردار</v>
      </c>
      <c r="E1082" s="1" t="str">
        <f t="shared" si="115"/>
        <v>پروژه بهره برداري نيروگاه بوشهر</v>
      </c>
      <c r="F1082" s="1">
        <v>15523064</v>
      </c>
      <c r="G1082" s="1">
        <v>4717304</v>
      </c>
      <c r="H1082" s="1">
        <v>0</v>
      </c>
      <c r="I1082" s="1">
        <v>10196787</v>
      </c>
      <c r="J1082" s="1">
        <v>0</v>
      </c>
      <c r="K1082" s="1">
        <v>4125000</v>
      </c>
      <c r="L1082" s="1">
        <v>0</v>
      </c>
      <c r="M1082" s="1">
        <v>1000000</v>
      </c>
      <c r="N1082" s="1">
        <v>2270297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1387000</v>
      </c>
      <c r="U1082" s="1">
        <v>0</v>
      </c>
      <c r="V1082" s="1">
        <v>3574916</v>
      </c>
      <c r="W1082" s="1">
        <v>1900000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1621641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6137372</v>
      </c>
      <c r="AM1082" s="1">
        <v>0</v>
      </c>
      <c r="AN1082" s="1">
        <v>0</v>
      </c>
      <c r="AO1082" s="1">
        <v>52453381</v>
      </c>
      <c r="AP1082" s="1">
        <v>11556746</v>
      </c>
      <c r="AQ1082" s="1">
        <v>40896635</v>
      </c>
      <c r="AR1082" s="1">
        <v>10490676</v>
      </c>
      <c r="AS1082" s="1">
        <v>1573601</v>
      </c>
      <c r="AT1082" s="1">
        <f t="shared" si="112"/>
        <v>64517658</v>
      </c>
    </row>
    <row r="1083" spans="1:46" x14ac:dyDescent="0.2">
      <c r="A1083" s="1" t="str">
        <f>"01382"</f>
        <v>01382</v>
      </c>
      <c r="B1083" s="1" t="str">
        <f>"امين"</f>
        <v>امين</v>
      </c>
      <c r="C1083" s="1" t="str">
        <f>"پرهيزکار"</f>
        <v>پرهيزکار</v>
      </c>
      <c r="D1083" s="1" t="str">
        <f t="shared" si="113"/>
        <v>قراردادي بهره بردار</v>
      </c>
      <c r="E1083" s="1" t="str">
        <f t="shared" si="115"/>
        <v>پروژه بهره برداري نيروگاه بوشهر</v>
      </c>
      <c r="F1083" s="1">
        <v>14852720</v>
      </c>
      <c r="G1083" s="1">
        <v>1620173</v>
      </c>
      <c r="H1083" s="1">
        <v>0</v>
      </c>
      <c r="I1083" s="1">
        <v>7380487</v>
      </c>
      <c r="J1083" s="1">
        <v>0</v>
      </c>
      <c r="K1083" s="1">
        <v>5500000</v>
      </c>
      <c r="L1083" s="1">
        <v>0</v>
      </c>
      <c r="M1083" s="1">
        <v>1000000</v>
      </c>
      <c r="N1083" s="1">
        <v>2196691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1387000</v>
      </c>
      <c r="U1083" s="1">
        <v>0</v>
      </c>
      <c r="V1083" s="1">
        <v>2981839</v>
      </c>
      <c r="W1083" s="1">
        <v>1900000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1569065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3819427</v>
      </c>
      <c r="AM1083" s="1">
        <v>0</v>
      </c>
      <c r="AN1083" s="1">
        <v>0</v>
      </c>
      <c r="AO1083" s="1">
        <v>44207402</v>
      </c>
      <c r="AP1083" s="1">
        <v>26207773</v>
      </c>
      <c r="AQ1083" s="1">
        <v>17999629</v>
      </c>
      <c r="AR1083" s="1">
        <v>8841480</v>
      </c>
      <c r="AS1083" s="1">
        <v>1326222</v>
      </c>
      <c r="AT1083" s="1">
        <f t="shared" si="112"/>
        <v>54375104</v>
      </c>
    </row>
    <row r="1084" spans="1:46" x14ac:dyDescent="0.2">
      <c r="A1084" s="1" t="str">
        <f>"01383"</f>
        <v>01383</v>
      </c>
      <c r="B1084" s="1" t="str">
        <f>"صادق"</f>
        <v>صادق</v>
      </c>
      <c r="C1084" s="1" t="str">
        <f>"مختاري"</f>
        <v>مختاري</v>
      </c>
      <c r="D1084" s="1" t="str">
        <f t="shared" si="113"/>
        <v>قراردادي بهره بردار</v>
      </c>
      <c r="E1084" s="1" t="str">
        <f t="shared" si="115"/>
        <v>پروژه بهره برداري نيروگاه بوشهر</v>
      </c>
      <c r="F1084" s="1">
        <v>11154875</v>
      </c>
      <c r="G1084" s="1">
        <v>4292375</v>
      </c>
      <c r="H1084" s="1">
        <v>0</v>
      </c>
      <c r="I1084" s="1">
        <v>7395184</v>
      </c>
      <c r="J1084" s="1">
        <v>0</v>
      </c>
      <c r="K1084" s="1">
        <v>3465000</v>
      </c>
      <c r="L1084" s="1">
        <v>0</v>
      </c>
      <c r="M1084" s="1">
        <v>1000000</v>
      </c>
      <c r="N1084" s="1">
        <v>1738184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1387000</v>
      </c>
      <c r="U1084" s="1">
        <v>0</v>
      </c>
      <c r="V1084" s="1">
        <v>3252892</v>
      </c>
      <c r="W1084" s="1">
        <v>1900000</v>
      </c>
      <c r="X1084" s="1">
        <v>1514956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1241560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10999118</v>
      </c>
      <c r="AM1084" s="1">
        <v>0</v>
      </c>
      <c r="AN1084" s="1">
        <v>0</v>
      </c>
      <c r="AO1084" s="1">
        <v>49341144</v>
      </c>
      <c r="AP1084" s="1">
        <v>9213058</v>
      </c>
      <c r="AQ1084" s="1">
        <v>40128086</v>
      </c>
      <c r="AR1084" s="1">
        <v>9868229</v>
      </c>
      <c r="AS1084" s="1">
        <v>1480234</v>
      </c>
      <c r="AT1084" s="1">
        <f t="shared" si="112"/>
        <v>60689607</v>
      </c>
    </row>
    <row r="1085" spans="1:46" x14ac:dyDescent="0.2">
      <c r="A1085" s="1" t="str">
        <f>"01386"</f>
        <v>01386</v>
      </c>
      <c r="B1085" s="1" t="str">
        <f>"محمد"</f>
        <v>محمد</v>
      </c>
      <c r="C1085" s="1" t="str">
        <f>"شاهسوني"</f>
        <v>شاهسوني</v>
      </c>
      <c r="D1085" s="1" t="str">
        <f t="shared" si="113"/>
        <v>قراردادي بهره بردار</v>
      </c>
      <c r="E1085" s="1" t="str">
        <f t="shared" si="115"/>
        <v>پروژه بهره برداري نيروگاه بوشهر</v>
      </c>
      <c r="F1085" s="1">
        <v>16375233</v>
      </c>
      <c r="G1085" s="1">
        <v>0</v>
      </c>
      <c r="H1085" s="1">
        <v>0</v>
      </c>
      <c r="I1085" s="1">
        <v>8118599</v>
      </c>
      <c r="J1085" s="1">
        <v>0</v>
      </c>
      <c r="K1085" s="1">
        <v>0</v>
      </c>
      <c r="L1085" s="1">
        <v>0</v>
      </c>
      <c r="M1085" s="1">
        <v>1000000</v>
      </c>
      <c r="N1085" s="1">
        <v>2545555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3271541</v>
      </c>
      <c r="W1085" s="1">
        <v>1900000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1818253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3857764</v>
      </c>
      <c r="AM1085" s="1">
        <v>0</v>
      </c>
      <c r="AN1085" s="1">
        <v>0</v>
      </c>
      <c r="AO1085" s="1">
        <v>38886945</v>
      </c>
      <c r="AP1085" s="1">
        <v>38886945</v>
      </c>
      <c r="AQ1085" s="1">
        <v>0</v>
      </c>
      <c r="AR1085" s="1">
        <v>7777389</v>
      </c>
      <c r="AS1085" s="1">
        <v>1166608</v>
      </c>
      <c r="AT1085" s="1">
        <f t="shared" si="112"/>
        <v>47830942</v>
      </c>
    </row>
    <row r="1086" spans="1:46" x14ac:dyDescent="0.2">
      <c r="A1086" s="1" t="str">
        <f>"01387"</f>
        <v>01387</v>
      </c>
      <c r="B1086" s="1" t="str">
        <f>"علي"</f>
        <v>علي</v>
      </c>
      <c r="C1086" s="1" t="str">
        <f>"صفي ياري خفري"</f>
        <v>صفي ياري خفري</v>
      </c>
      <c r="D1086" s="1" t="str">
        <f t="shared" si="113"/>
        <v>قراردادي بهره بردار</v>
      </c>
      <c r="E1086" s="1" t="str">
        <f t="shared" si="115"/>
        <v>پروژه بهره برداري نيروگاه بوشهر</v>
      </c>
      <c r="F1086" s="1">
        <v>15021401</v>
      </c>
      <c r="G1086" s="1">
        <v>0</v>
      </c>
      <c r="H1086" s="1">
        <v>0</v>
      </c>
      <c r="I1086" s="1">
        <v>7375098</v>
      </c>
      <c r="J1086" s="1">
        <v>0</v>
      </c>
      <c r="K1086" s="1">
        <v>4125000</v>
      </c>
      <c r="L1086" s="1">
        <v>0</v>
      </c>
      <c r="M1086" s="1">
        <v>1000000</v>
      </c>
      <c r="N1086" s="1">
        <v>2255729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1387000</v>
      </c>
      <c r="U1086" s="1">
        <v>0</v>
      </c>
      <c r="V1086" s="1">
        <v>3026932</v>
      </c>
      <c r="W1086" s="1">
        <v>1900000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1611235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4005853</v>
      </c>
      <c r="AM1086" s="1">
        <v>0</v>
      </c>
      <c r="AN1086" s="1">
        <v>0</v>
      </c>
      <c r="AO1086" s="1">
        <v>41708248</v>
      </c>
      <c r="AP1086" s="1">
        <v>18803688</v>
      </c>
      <c r="AQ1086" s="1">
        <v>22904560</v>
      </c>
      <c r="AR1086" s="1">
        <v>8341650</v>
      </c>
      <c r="AS1086" s="1">
        <v>1251247</v>
      </c>
      <c r="AT1086" s="1">
        <f t="shared" si="112"/>
        <v>51301145</v>
      </c>
    </row>
    <row r="1087" spans="1:46" x14ac:dyDescent="0.2">
      <c r="A1087" s="1" t="str">
        <f>"01388"</f>
        <v>01388</v>
      </c>
      <c r="B1087" s="1" t="str">
        <f>"پوريا"</f>
        <v>پوريا</v>
      </c>
      <c r="C1087" s="1" t="str">
        <f>"ميرسنجري"</f>
        <v>ميرسنجري</v>
      </c>
      <c r="D1087" s="1" t="str">
        <f>"قراردادي کارگري"</f>
        <v>قراردادي کارگري</v>
      </c>
      <c r="E1087" s="1" t="str">
        <f>"پروژه تعميرات نيروگاه بوشهر"</f>
        <v>پروژه تعميرات نيروگاه بوشهر</v>
      </c>
      <c r="F1087" s="1">
        <v>5852154</v>
      </c>
      <c r="G1087" s="1">
        <v>0</v>
      </c>
      <c r="H1087" s="1">
        <v>0</v>
      </c>
      <c r="I1087" s="1">
        <v>3511293</v>
      </c>
      <c r="J1087" s="1">
        <v>0</v>
      </c>
      <c r="K1087" s="1">
        <v>0</v>
      </c>
      <c r="L1087" s="1">
        <v>7462913</v>
      </c>
      <c r="M1087" s="1">
        <v>1000000</v>
      </c>
      <c r="N1087" s="1">
        <v>3121148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2294417</v>
      </c>
      <c r="W1087" s="1">
        <v>1900000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0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0</v>
      </c>
      <c r="AM1087" s="1">
        <v>0</v>
      </c>
      <c r="AN1087" s="1">
        <v>0</v>
      </c>
      <c r="AO1087" s="1">
        <v>25141925</v>
      </c>
      <c r="AP1087" s="1">
        <v>1765935</v>
      </c>
      <c r="AQ1087" s="1">
        <v>23375990</v>
      </c>
      <c r="AR1087" s="1">
        <v>5028385</v>
      </c>
      <c r="AS1087" s="1">
        <v>754258</v>
      </c>
      <c r="AT1087" s="1">
        <f t="shared" si="112"/>
        <v>30924568</v>
      </c>
    </row>
    <row r="1088" spans="1:46" x14ac:dyDescent="0.2">
      <c r="A1088" s="1" t="str">
        <f>"01389"</f>
        <v>01389</v>
      </c>
      <c r="B1088" s="1" t="str">
        <f>"عيسي"</f>
        <v>عيسي</v>
      </c>
      <c r="C1088" s="1" t="str">
        <f>"زنده بودي"</f>
        <v>زنده بودي</v>
      </c>
      <c r="D1088" s="1" t="str">
        <f>"قراردادي کارگري"</f>
        <v>قراردادي کارگري</v>
      </c>
      <c r="E1088" s="1" t="str">
        <f>"پروژه تعميرات نيروگاه بوشهر"</f>
        <v>پروژه تعميرات نيروگاه بوشهر</v>
      </c>
      <c r="F1088" s="1">
        <v>8738565</v>
      </c>
      <c r="G1088" s="1">
        <v>0</v>
      </c>
      <c r="H1088" s="1">
        <v>0</v>
      </c>
      <c r="I1088" s="1">
        <v>5243140</v>
      </c>
      <c r="J1088" s="1">
        <v>0</v>
      </c>
      <c r="K1088" s="1">
        <v>0</v>
      </c>
      <c r="L1088" s="1">
        <v>7462913</v>
      </c>
      <c r="M1088" s="1">
        <v>1000000</v>
      </c>
      <c r="N1088" s="1">
        <v>4660568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5529352</v>
      </c>
      <c r="W1088" s="1">
        <v>1900000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0</v>
      </c>
      <c r="AF1088" s="1">
        <v>3033762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0</v>
      </c>
      <c r="AM1088" s="1">
        <v>0</v>
      </c>
      <c r="AN1088" s="1">
        <v>0</v>
      </c>
      <c r="AO1088" s="1">
        <v>37568300</v>
      </c>
      <c r="AP1088" s="1">
        <v>2748506</v>
      </c>
      <c r="AQ1088" s="1">
        <v>34819794</v>
      </c>
      <c r="AR1088" s="1">
        <v>6906908</v>
      </c>
      <c r="AS1088" s="1">
        <v>1036036</v>
      </c>
      <c r="AT1088" s="1">
        <f t="shared" si="112"/>
        <v>45511244</v>
      </c>
    </row>
    <row r="1089" spans="1:46" x14ac:dyDescent="0.2">
      <c r="A1089" s="1" t="str">
        <f>"01390"</f>
        <v>01390</v>
      </c>
      <c r="B1089" s="1" t="str">
        <f>"محمد"</f>
        <v>محمد</v>
      </c>
      <c r="C1089" s="1" t="str">
        <f>"صبوريان"</f>
        <v>صبوريان</v>
      </c>
      <c r="D1089" s="1" t="str">
        <f>"قراردادي کارگري"</f>
        <v>قراردادي کارگري</v>
      </c>
      <c r="E1089" s="1" t="str">
        <f>"پروژه تعميرات نيروگاه بوشهر"</f>
        <v>پروژه تعميرات نيروگاه بوشهر</v>
      </c>
      <c r="F1089" s="1">
        <v>5479910</v>
      </c>
      <c r="G1089" s="1">
        <v>4031475</v>
      </c>
      <c r="H1089" s="1">
        <v>0</v>
      </c>
      <c r="I1089" s="1">
        <v>3287946</v>
      </c>
      <c r="J1089" s="1">
        <v>0</v>
      </c>
      <c r="K1089" s="1">
        <v>0</v>
      </c>
      <c r="L1089" s="1">
        <v>7462913</v>
      </c>
      <c r="M1089" s="1">
        <v>1000000</v>
      </c>
      <c r="N1089" s="1">
        <v>2922618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4651512</v>
      </c>
      <c r="W1089" s="1">
        <v>1900000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2873008</v>
      </c>
      <c r="AE1089" s="1">
        <v>0</v>
      </c>
      <c r="AF1089" s="1">
        <v>0</v>
      </c>
      <c r="AG1089" s="1">
        <v>0</v>
      </c>
      <c r="AH1089" s="1">
        <v>0</v>
      </c>
      <c r="AI1089" s="1">
        <v>0</v>
      </c>
      <c r="AJ1089" s="1">
        <v>2150120</v>
      </c>
      <c r="AK1089" s="1">
        <v>0</v>
      </c>
      <c r="AL1089" s="1">
        <v>0</v>
      </c>
      <c r="AM1089" s="1">
        <v>0</v>
      </c>
      <c r="AN1089" s="1">
        <v>0</v>
      </c>
      <c r="AO1089" s="1">
        <v>35759502</v>
      </c>
      <c r="AP1089" s="1">
        <v>4485029</v>
      </c>
      <c r="AQ1089" s="1">
        <v>31274473</v>
      </c>
      <c r="AR1089" s="1">
        <v>7151900</v>
      </c>
      <c r="AS1089" s="1">
        <v>1072785</v>
      </c>
      <c r="AT1089" s="1">
        <f t="shared" si="112"/>
        <v>43984187</v>
      </c>
    </row>
    <row r="1090" spans="1:46" x14ac:dyDescent="0.2">
      <c r="A1090" s="1" t="str">
        <f>"01391"</f>
        <v>01391</v>
      </c>
      <c r="B1090" s="1" t="str">
        <f>"اميد"</f>
        <v>اميد</v>
      </c>
      <c r="C1090" s="1" t="str">
        <f>"محمدپور"</f>
        <v>محمدپور</v>
      </c>
      <c r="D1090" s="1" t="str">
        <f>"قراردادي کارگري"</f>
        <v>قراردادي کارگري</v>
      </c>
      <c r="E1090" s="1" t="str">
        <f>"پروژه تعميرات نيروگاه بوشهر"</f>
        <v>پروژه تعميرات نيروگاه بوشهر</v>
      </c>
      <c r="F1090" s="1">
        <v>8280888</v>
      </c>
      <c r="G1090" s="1">
        <v>0</v>
      </c>
      <c r="H1090" s="1">
        <v>0</v>
      </c>
      <c r="I1090" s="1">
        <v>4968533</v>
      </c>
      <c r="J1090" s="1">
        <v>0</v>
      </c>
      <c r="K1090" s="1">
        <v>0</v>
      </c>
      <c r="L1090" s="1">
        <v>7462913</v>
      </c>
      <c r="M1090" s="1">
        <v>1000000</v>
      </c>
      <c r="N1090" s="1">
        <v>4416473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5343841</v>
      </c>
      <c r="W1090" s="1">
        <v>1900000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0</v>
      </c>
      <c r="AF1090" s="1">
        <v>1516881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0</v>
      </c>
      <c r="AM1090" s="1">
        <v>0</v>
      </c>
      <c r="AN1090" s="1">
        <v>0</v>
      </c>
      <c r="AO1090" s="1">
        <v>34889529</v>
      </c>
      <c r="AP1090" s="1">
        <v>2407429</v>
      </c>
      <c r="AQ1090" s="1">
        <v>32482100</v>
      </c>
      <c r="AR1090" s="1">
        <v>6674530</v>
      </c>
      <c r="AS1090" s="1">
        <v>1001179</v>
      </c>
      <c r="AT1090" s="1">
        <f t="shared" si="112"/>
        <v>42565238</v>
      </c>
    </row>
    <row r="1091" spans="1:46" x14ac:dyDescent="0.2">
      <c r="A1091" s="1" t="str">
        <f>"01392"</f>
        <v>01392</v>
      </c>
      <c r="B1091" s="1" t="str">
        <f>"سيد محمد"</f>
        <v>سيد محمد</v>
      </c>
      <c r="C1091" s="1" t="str">
        <f>"مير سليماني"</f>
        <v>مير سليماني</v>
      </c>
      <c r="D1091" s="1" t="str">
        <f t="shared" ref="D1091:D1121" si="116">"قراردادي بهره بردار"</f>
        <v>قراردادي بهره بردار</v>
      </c>
      <c r="E1091" s="1" t="str">
        <f t="shared" ref="E1091:E1121" si="117">"پروژه بهره برداري نيروگاه بوشهر"</f>
        <v>پروژه بهره برداري نيروگاه بوشهر</v>
      </c>
      <c r="F1091" s="1">
        <v>9032119</v>
      </c>
      <c r="G1091" s="1">
        <v>0</v>
      </c>
      <c r="H1091" s="1">
        <v>0</v>
      </c>
      <c r="I1091" s="1">
        <v>4949220</v>
      </c>
      <c r="J1091" s="1">
        <v>0</v>
      </c>
      <c r="K1091" s="1">
        <v>3465000</v>
      </c>
      <c r="L1091" s="1">
        <v>0</v>
      </c>
      <c r="M1091" s="1">
        <v>1000000</v>
      </c>
      <c r="N1091" s="1">
        <v>1252076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1387000</v>
      </c>
      <c r="U1091" s="1">
        <v>0</v>
      </c>
      <c r="V1091" s="1">
        <v>2052267</v>
      </c>
      <c r="W1091" s="1">
        <v>1900000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894340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4394915</v>
      </c>
      <c r="AM1091" s="1">
        <v>0</v>
      </c>
      <c r="AN1091" s="1">
        <v>0</v>
      </c>
      <c r="AO1091" s="1">
        <v>30326937</v>
      </c>
      <c r="AP1091" s="1">
        <v>7141210</v>
      </c>
      <c r="AQ1091" s="1">
        <v>23185727</v>
      </c>
      <c r="AR1091" s="1">
        <v>6065387</v>
      </c>
      <c r="AS1091" s="1">
        <v>909808</v>
      </c>
      <c r="AT1091" s="1">
        <f t="shared" ref="AT1091:AT1146" si="118">AO1091+AR1091+AS1091</f>
        <v>37302132</v>
      </c>
    </row>
    <row r="1092" spans="1:46" x14ac:dyDescent="0.2">
      <c r="A1092" s="1" t="str">
        <f>"01393"</f>
        <v>01393</v>
      </c>
      <c r="B1092" s="1" t="str">
        <f>"پيمان"</f>
        <v>پيمان</v>
      </c>
      <c r="C1092" s="1" t="str">
        <f>"نجفي"</f>
        <v>نجفي</v>
      </c>
      <c r="D1092" s="1" t="str">
        <f t="shared" si="116"/>
        <v>قراردادي بهره بردار</v>
      </c>
      <c r="E1092" s="1" t="str">
        <f t="shared" si="117"/>
        <v>پروژه بهره برداري نيروگاه بوشهر</v>
      </c>
      <c r="F1092" s="1">
        <v>9174512</v>
      </c>
      <c r="G1092" s="1">
        <v>1423400</v>
      </c>
      <c r="H1092" s="1">
        <v>0</v>
      </c>
      <c r="I1092" s="1">
        <v>4479667</v>
      </c>
      <c r="J1092" s="1">
        <v>0</v>
      </c>
      <c r="K1092" s="1">
        <v>3465000</v>
      </c>
      <c r="L1092" s="1">
        <v>0</v>
      </c>
      <c r="M1092" s="1">
        <v>1000000</v>
      </c>
      <c r="N1092" s="1">
        <v>1301913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1387000</v>
      </c>
      <c r="U1092" s="1">
        <v>0</v>
      </c>
      <c r="V1092" s="1">
        <v>2037536</v>
      </c>
      <c r="W1092" s="1">
        <v>1900000</v>
      </c>
      <c r="X1092" s="1">
        <v>1331784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929938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4489333</v>
      </c>
      <c r="AM1092" s="1">
        <v>0</v>
      </c>
      <c r="AN1092" s="1">
        <v>0</v>
      </c>
      <c r="AO1092" s="1">
        <v>32920083</v>
      </c>
      <c r="AP1092" s="1">
        <v>8941832</v>
      </c>
      <c r="AQ1092" s="1">
        <v>23978251</v>
      </c>
      <c r="AR1092" s="1">
        <v>6584017</v>
      </c>
      <c r="AS1092" s="1">
        <v>987602</v>
      </c>
      <c r="AT1092" s="1">
        <f t="shared" si="118"/>
        <v>40491702</v>
      </c>
    </row>
    <row r="1093" spans="1:46" x14ac:dyDescent="0.2">
      <c r="A1093" s="1" t="str">
        <f>"01394"</f>
        <v>01394</v>
      </c>
      <c r="B1093" s="1" t="str">
        <f>"محمدرضا"</f>
        <v>محمدرضا</v>
      </c>
      <c r="C1093" s="1" t="str">
        <f>"احمدپري"</f>
        <v>احمدپري</v>
      </c>
      <c r="D1093" s="1" t="str">
        <f t="shared" si="116"/>
        <v>قراردادي بهره بردار</v>
      </c>
      <c r="E1093" s="1" t="str">
        <f t="shared" si="117"/>
        <v>پروژه بهره برداري نيروگاه بوشهر</v>
      </c>
      <c r="F1093" s="1">
        <v>14263431</v>
      </c>
      <c r="G1093" s="1">
        <v>1533704</v>
      </c>
      <c r="H1093" s="1">
        <v>0</v>
      </c>
      <c r="I1093" s="1">
        <v>6832051</v>
      </c>
      <c r="J1093" s="1">
        <v>0</v>
      </c>
      <c r="K1093" s="1">
        <v>5500000</v>
      </c>
      <c r="L1093" s="1">
        <v>0</v>
      </c>
      <c r="M1093" s="1">
        <v>1000000</v>
      </c>
      <c r="N1093" s="1">
        <v>1990440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1387000</v>
      </c>
      <c r="U1093" s="1">
        <v>0</v>
      </c>
      <c r="V1093" s="1">
        <v>2822698</v>
      </c>
      <c r="W1093" s="1">
        <v>1900000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1421743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3719314</v>
      </c>
      <c r="AM1093" s="1">
        <v>0</v>
      </c>
      <c r="AN1093" s="1">
        <v>0</v>
      </c>
      <c r="AO1093" s="1">
        <v>42370381</v>
      </c>
      <c r="AP1093" s="1">
        <v>3583672</v>
      </c>
      <c r="AQ1093" s="1">
        <v>38786709</v>
      </c>
      <c r="AR1093" s="1">
        <v>8474076</v>
      </c>
      <c r="AS1093" s="1">
        <v>1271111</v>
      </c>
      <c r="AT1093" s="1">
        <f t="shared" si="118"/>
        <v>52115568</v>
      </c>
    </row>
    <row r="1094" spans="1:46" x14ac:dyDescent="0.2">
      <c r="A1094" s="1" t="str">
        <f>"01395"</f>
        <v>01395</v>
      </c>
      <c r="B1094" s="1" t="str">
        <f>"وحيد"</f>
        <v>وحيد</v>
      </c>
      <c r="C1094" s="1" t="str">
        <f>"زندي"</f>
        <v>زندي</v>
      </c>
      <c r="D1094" s="1" t="str">
        <f t="shared" si="116"/>
        <v>قراردادي بهره بردار</v>
      </c>
      <c r="E1094" s="1" t="str">
        <f t="shared" si="117"/>
        <v>پروژه بهره برداري نيروگاه بوشهر</v>
      </c>
      <c r="F1094" s="1">
        <v>9763801</v>
      </c>
      <c r="G1094" s="1">
        <v>0</v>
      </c>
      <c r="H1094" s="1">
        <v>0</v>
      </c>
      <c r="I1094" s="1">
        <v>4884730</v>
      </c>
      <c r="J1094" s="1">
        <v>0</v>
      </c>
      <c r="K1094" s="1">
        <v>3465000</v>
      </c>
      <c r="L1094" s="1">
        <v>0</v>
      </c>
      <c r="M1094" s="1">
        <v>1000000</v>
      </c>
      <c r="N1094" s="1">
        <v>1508164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1387000</v>
      </c>
      <c r="U1094" s="1">
        <v>0</v>
      </c>
      <c r="V1094" s="1">
        <v>2192297</v>
      </c>
      <c r="W1094" s="1">
        <v>1900000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1077260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4689012</v>
      </c>
      <c r="AM1094" s="1">
        <v>0</v>
      </c>
      <c r="AN1094" s="1">
        <v>0</v>
      </c>
      <c r="AO1094" s="1">
        <v>31867264</v>
      </c>
      <c r="AP1094" s="1">
        <v>2236708</v>
      </c>
      <c r="AQ1094" s="1">
        <v>29630556</v>
      </c>
      <c r="AR1094" s="1">
        <v>6373453</v>
      </c>
      <c r="AS1094" s="1">
        <v>956018</v>
      </c>
      <c r="AT1094" s="1">
        <f t="shared" si="118"/>
        <v>39196735</v>
      </c>
    </row>
    <row r="1095" spans="1:46" x14ac:dyDescent="0.2">
      <c r="A1095" s="1" t="str">
        <f>"01396"</f>
        <v>01396</v>
      </c>
      <c r="B1095" s="1" t="str">
        <f>"مهدي"</f>
        <v>مهدي</v>
      </c>
      <c r="C1095" s="1" t="str">
        <f>"ترحمي سيل آباد"</f>
        <v>ترحمي سيل آباد</v>
      </c>
      <c r="D1095" s="1" t="str">
        <f t="shared" si="116"/>
        <v>قراردادي بهره بردار</v>
      </c>
      <c r="E1095" s="1" t="str">
        <f t="shared" si="117"/>
        <v>پروژه بهره برداري نيروگاه بوشهر</v>
      </c>
      <c r="F1095" s="1">
        <v>18966079</v>
      </c>
      <c r="G1095" s="1">
        <v>401500</v>
      </c>
      <c r="H1095" s="1">
        <v>0</v>
      </c>
      <c r="I1095" s="1">
        <v>0</v>
      </c>
      <c r="J1095" s="1">
        <v>0</v>
      </c>
      <c r="K1095" s="1">
        <v>3465000</v>
      </c>
      <c r="L1095" s="1">
        <v>0</v>
      </c>
      <c r="M1095" s="1">
        <v>1000000</v>
      </c>
      <c r="N1095" s="1">
        <v>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1387000</v>
      </c>
      <c r="U1095" s="1">
        <v>0</v>
      </c>
      <c r="V1095" s="1">
        <v>0</v>
      </c>
      <c r="W1095" s="1">
        <v>4000000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0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0</v>
      </c>
      <c r="AM1095" s="1">
        <v>0</v>
      </c>
      <c r="AN1095" s="1">
        <v>0</v>
      </c>
      <c r="AO1095" s="1">
        <v>29219579</v>
      </c>
      <c r="AP1095" s="1">
        <v>8481332</v>
      </c>
      <c r="AQ1095" s="1">
        <v>20738247</v>
      </c>
      <c r="AR1095" s="1">
        <v>5843916</v>
      </c>
      <c r="AS1095" s="1">
        <v>876587</v>
      </c>
      <c r="AT1095" s="1">
        <f t="shared" si="118"/>
        <v>35940082</v>
      </c>
    </row>
    <row r="1096" spans="1:46" x14ac:dyDescent="0.2">
      <c r="A1096" s="1" t="str">
        <f>"01397"</f>
        <v>01397</v>
      </c>
      <c r="B1096" s="1" t="str">
        <f>"محمد"</f>
        <v>محمد</v>
      </c>
      <c r="C1096" s="1" t="str">
        <f>"پديسار"</f>
        <v>پديسار</v>
      </c>
      <c r="D1096" s="1" t="str">
        <f t="shared" si="116"/>
        <v>قراردادي بهره بردار</v>
      </c>
      <c r="E1096" s="1" t="str">
        <f t="shared" si="117"/>
        <v>پروژه بهره برداري نيروگاه بوشهر</v>
      </c>
      <c r="F1096" s="1">
        <v>12620431</v>
      </c>
      <c r="G1096" s="1">
        <v>399958</v>
      </c>
      <c r="H1096" s="1">
        <v>0</v>
      </c>
      <c r="I1096" s="1">
        <v>7398302</v>
      </c>
      <c r="J1096" s="1">
        <v>0</v>
      </c>
      <c r="K1096" s="1">
        <v>5500000</v>
      </c>
      <c r="L1096" s="1">
        <v>0</v>
      </c>
      <c r="M1096" s="1">
        <v>1000000</v>
      </c>
      <c r="N1096" s="1">
        <v>1415390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1606000</v>
      </c>
      <c r="U1096" s="1">
        <v>0</v>
      </c>
      <c r="V1096" s="1">
        <v>2576354</v>
      </c>
      <c r="W1096" s="1">
        <v>1900000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1010993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3318422</v>
      </c>
      <c r="AM1096" s="1">
        <v>0</v>
      </c>
      <c r="AN1096" s="1">
        <v>0</v>
      </c>
      <c r="AO1096" s="1">
        <v>38745850</v>
      </c>
      <c r="AP1096" s="1">
        <v>12842305</v>
      </c>
      <c r="AQ1096" s="1">
        <v>25903545</v>
      </c>
      <c r="AR1096" s="1">
        <v>7749170</v>
      </c>
      <c r="AS1096" s="1">
        <v>1162376</v>
      </c>
      <c r="AT1096" s="1">
        <f t="shared" si="118"/>
        <v>47657396</v>
      </c>
    </row>
    <row r="1097" spans="1:46" x14ac:dyDescent="0.2">
      <c r="A1097" s="1" t="str">
        <f>"01398"</f>
        <v>01398</v>
      </c>
      <c r="B1097" s="1" t="str">
        <f>"پژمان"</f>
        <v>پژمان</v>
      </c>
      <c r="C1097" s="1" t="str">
        <f>"سروري"</f>
        <v>سروري</v>
      </c>
      <c r="D1097" s="1" t="str">
        <f t="shared" si="116"/>
        <v>قراردادي بهره بردار</v>
      </c>
      <c r="E1097" s="1" t="str">
        <f t="shared" si="117"/>
        <v>پروژه بهره برداري نيروگاه بوشهر</v>
      </c>
      <c r="F1097" s="1">
        <v>9632361</v>
      </c>
      <c r="G1097" s="1">
        <v>1507297</v>
      </c>
      <c r="H1097" s="1">
        <v>0</v>
      </c>
      <c r="I1097" s="1">
        <v>4794381</v>
      </c>
      <c r="J1097" s="1">
        <v>0</v>
      </c>
      <c r="K1097" s="1">
        <v>3465000</v>
      </c>
      <c r="L1097" s="1">
        <v>0</v>
      </c>
      <c r="M1097" s="1">
        <v>1000000</v>
      </c>
      <c r="N1097" s="1">
        <v>1462160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1387000</v>
      </c>
      <c r="U1097" s="1">
        <v>0</v>
      </c>
      <c r="V1097" s="1">
        <v>2157631</v>
      </c>
      <c r="W1097" s="1">
        <v>1900000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1044400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4643008</v>
      </c>
      <c r="AM1097" s="1">
        <v>0</v>
      </c>
      <c r="AN1097" s="1">
        <v>0</v>
      </c>
      <c r="AO1097" s="1">
        <v>32993238</v>
      </c>
      <c r="AP1097" s="1">
        <v>14813959</v>
      </c>
      <c r="AQ1097" s="1">
        <v>18179279</v>
      </c>
      <c r="AR1097" s="1">
        <v>6598648</v>
      </c>
      <c r="AS1097" s="1">
        <v>989797</v>
      </c>
      <c r="AT1097" s="1">
        <f t="shared" si="118"/>
        <v>40581683</v>
      </c>
    </row>
    <row r="1098" spans="1:46" x14ac:dyDescent="0.2">
      <c r="A1098" s="1" t="str">
        <f>"01400"</f>
        <v>01400</v>
      </c>
      <c r="B1098" s="1" t="str">
        <f>"اسماعيل"</f>
        <v>اسماعيل</v>
      </c>
      <c r="C1098" s="1" t="str">
        <f>"احمد حسيني"</f>
        <v>احمد حسيني</v>
      </c>
      <c r="D1098" s="1" t="str">
        <f t="shared" si="116"/>
        <v>قراردادي بهره بردار</v>
      </c>
      <c r="E1098" s="1" t="str">
        <f t="shared" si="117"/>
        <v>پروژه بهره برداري نيروگاه بوشهر</v>
      </c>
      <c r="F1098" s="1">
        <v>7969645</v>
      </c>
      <c r="G1098" s="1">
        <v>8145348</v>
      </c>
      <c r="H1098" s="1">
        <v>0</v>
      </c>
      <c r="I1098" s="1">
        <v>4460660</v>
      </c>
      <c r="J1098" s="1">
        <v>0</v>
      </c>
      <c r="K1098" s="1">
        <v>3465000</v>
      </c>
      <c r="L1098" s="1">
        <v>0</v>
      </c>
      <c r="M1098" s="1">
        <v>1000000</v>
      </c>
      <c r="N1098" s="1">
        <v>880210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1387000</v>
      </c>
      <c r="U1098" s="1">
        <v>0</v>
      </c>
      <c r="V1098" s="1">
        <v>3316990</v>
      </c>
      <c r="W1098" s="1">
        <v>1900000</v>
      </c>
      <c r="X1098" s="1">
        <v>1156884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628721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6791943</v>
      </c>
      <c r="AM1098" s="1">
        <v>0</v>
      </c>
      <c r="AN1098" s="1">
        <v>0</v>
      </c>
      <c r="AO1098" s="1">
        <v>41102401</v>
      </c>
      <c r="AP1098" s="1">
        <v>3376991</v>
      </c>
      <c r="AQ1098" s="1">
        <v>37725410</v>
      </c>
      <c r="AR1098" s="1">
        <v>8220480</v>
      </c>
      <c r="AS1098" s="1">
        <v>1233072</v>
      </c>
      <c r="AT1098" s="1">
        <f t="shared" si="118"/>
        <v>50555953</v>
      </c>
    </row>
    <row r="1099" spans="1:46" x14ac:dyDescent="0.2">
      <c r="A1099" s="1" t="str">
        <f>"01401"</f>
        <v>01401</v>
      </c>
      <c r="B1099" s="1" t="str">
        <f>"علي"</f>
        <v>علي</v>
      </c>
      <c r="C1099" s="1" t="str">
        <f>"دشتي زاده"</f>
        <v>دشتي زاده</v>
      </c>
      <c r="D1099" s="1" t="str">
        <f t="shared" si="116"/>
        <v>قراردادي بهره بردار</v>
      </c>
      <c r="E1099" s="1" t="str">
        <f t="shared" si="117"/>
        <v>پروژه بهره برداري نيروگاه بوشهر</v>
      </c>
      <c r="F1099" s="1">
        <v>9619217</v>
      </c>
      <c r="G1099" s="1">
        <v>501727</v>
      </c>
      <c r="H1099" s="1">
        <v>0</v>
      </c>
      <c r="I1099" s="1">
        <v>4785347</v>
      </c>
      <c r="J1099" s="1">
        <v>0</v>
      </c>
      <c r="K1099" s="1">
        <v>3465000</v>
      </c>
      <c r="L1099" s="1">
        <v>0</v>
      </c>
      <c r="M1099" s="1">
        <v>1000000</v>
      </c>
      <c r="N1099" s="1">
        <v>1457560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1387000</v>
      </c>
      <c r="U1099" s="1">
        <v>0</v>
      </c>
      <c r="V1099" s="1">
        <v>2154603</v>
      </c>
      <c r="W1099" s="1">
        <v>1900000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1041114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4642789</v>
      </c>
      <c r="AM1099" s="1">
        <v>0</v>
      </c>
      <c r="AN1099" s="1">
        <v>0</v>
      </c>
      <c r="AO1099" s="1">
        <v>31954357</v>
      </c>
      <c r="AP1099" s="1">
        <v>2242805</v>
      </c>
      <c r="AQ1099" s="1">
        <v>29711552</v>
      </c>
      <c r="AR1099" s="1">
        <v>6390871</v>
      </c>
      <c r="AS1099" s="1">
        <v>958631</v>
      </c>
      <c r="AT1099" s="1">
        <f t="shared" si="118"/>
        <v>39303859</v>
      </c>
    </row>
    <row r="1100" spans="1:46" x14ac:dyDescent="0.2">
      <c r="A1100" s="1" t="str">
        <f>"01402"</f>
        <v>01402</v>
      </c>
      <c r="B1100" s="1" t="str">
        <f>"روح اله"</f>
        <v>روح اله</v>
      </c>
      <c r="C1100" s="1" t="str">
        <f>"دهقاني"</f>
        <v>دهقاني</v>
      </c>
      <c r="D1100" s="1" t="str">
        <f t="shared" si="116"/>
        <v>قراردادي بهره بردار</v>
      </c>
      <c r="E1100" s="1" t="str">
        <f t="shared" si="117"/>
        <v>پروژه بهره برداري نيروگاه بوشهر</v>
      </c>
      <c r="F1100" s="1">
        <v>13360876</v>
      </c>
      <c r="G1100" s="1">
        <v>1426609</v>
      </c>
      <c r="H1100" s="1">
        <v>0</v>
      </c>
      <c r="I1100" s="1">
        <v>6227565</v>
      </c>
      <c r="J1100" s="1">
        <v>0</v>
      </c>
      <c r="K1100" s="1">
        <v>0</v>
      </c>
      <c r="L1100" s="1">
        <v>0</v>
      </c>
      <c r="M1100" s="1">
        <v>1000000</v>
      </c>
      <c r="N1100" s="1">
        <v>1674546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4818000</v>
      </c>
      <c r="U1100" s="1">
        <v>0</v>
      </c>
      <c r="V1100" s="1">
        <v>2625596</v>
      </c>
      <c r="W1100" s="1">
        <v>1900000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1196104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3796863</v>
      </c>
      <c r="AM1100" s="1">
        <v>0</v>
      </c>
      <c r="AN1100" s="1">
        <v>0</v>
      </c>
      <c r="AO1100" s="1">
        <v>38026159</v>
      </c>
      <c r="AP1100" s="1">
        <v>7559814</v>
      </c>
      <c r="AQ1100" s="1">
        <v>30466345</v>
      </c>
      <c r="AR1100" s="1">
        <v>7605232</v>
      </c>
      <c r="AS1100" s="1">
        <v>1140785</v>
      </c>
      <c r="AT1100" s="1">
        <f t="shared" si="118"/>
        <v>46772176</v>
      </c>
    </row>
    <row r="1101" spans="1:46" x14ac:dyDescent="0.2">
      <c r="A1101" s="1" t="str">
        <f>"01403"</f>
        <v>01403</v>
      </c>
      <c r="B1101" s="1" t="str">
        <f>"محمد مجتبي"</f>
        <v>محمد مجتبي</v>
      </c>
      <c r="C1101" s="1" t="str">
        <f>"کشت کار"</f>
        <v>کشت کار</v>
      </c>
      <c r="D1101" s="1" t="str">
        <f t="shared" si="116"/>
        <v>قراردادي بهره بردار</v>
      </c>
      <c r="E1101" s="1" t="str">
        <f t="shared" si="117"/>
        <v>پروژه بهره برداري نيروگاه بوشهر</v>
      </c>
      <c r="F1101" s="1">
        <v>9189847</v>
      </c>
      <c r="G1101" s="1">
        <v>0</v>
      </c>
      <c r="H1101" s="1">
        <v>0</v>
      </c>
      <c r="I1101" s="1">
        <v>4490208</v>
      </c>
      <c r="J1101" s="1">
        <v>0</v>
      </c>
      <c r="K1101" s="1">
        <v>3465000</v>
      </c>
      <c r="L1101" s="1">
        <v>0</v>
      </c>
      <c r="M1101" s="1">
        <v>1000000</v>
      </c>
      <c r="N1101" s="1">
        <v>1307280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1387000</v>
      </c>
      <c r="U1101" s="1">
        <v>0</v>
      </c>
      <c r="V1101" s="1">
        <v>2041142</v>
      </c>
      <c r="W1101" s="1">
        <v>1900000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933772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4490319</v>
      </c>
      <c r="AM1101" s="1">
        <v>0</v>
      </c>
      <c r="AN1101" s="1">
        <v>0</v>
      </c>
      <c r="AO1101" s="1">
        <v>30204568</v>
      </c>
      <c r="AP1101" s="1">
        <v>16358615</v>
      </c>
      <c r="AQ1101" s="1">
        <v>13845953</v>
      </c>
      <c r="AR1101" s="1">
        <v>6040914</v>
      </c>
      <c r="AS1101" s="1">
        <v>906137</v>
      </c>
      <c r="AT1101" s="1">
        <f t="shared" si="118"/>
        <v>37151619</v>
      </c>
    </row>
    <row r="1102" spans="1:46" x14ac:dyDescent="0.2">
      <c r="A1102" s="1" t="str">
        <f>"01404"</f>
        <v>01404</v>
      </c>
      <c r="B1102" s="1" t="str">
        <f>"مصطفي"</f>
        <v>مصطفي</v>
      </c>
      <c r="C1102" s="1" t="str">
        <f>"آذرخش"</f>
        <v>آذرخش</v>
      </c>
      <c r="D1102" s="1" t="str">
        <f t="shared" si="116"/>
        <v>قراردادي بهره بردار</v>
      </c>
      <c r="E1102" s="1" t="str">
        <f t="shared" si="117"/>
        <v>پروژه بهره برداري نيروگاه بوشهر</v>
      </c>
      <c r="F1102" s="1">
        <v>9879907</v>
      </c>
      <c r="G1102" s="1">
        <v>0</v>
      </c>
      <c r="H1102" s="1">
        <v>0</v>
      </c>
      <c r="I1102" s="1">
        <v>5046224</v>
      </c>
      <c r="J1102" s="1">
        <v>0</v>
      </c>
      <c r="K1102" s="1">
        <v>4620000</v>
      </c>
      <c r="L1102" s="1">
        <v>0</v>
      </c>
      <c r="M1102" s="1">
        <v>1000000</v>
      </c>
      <c r="N1102" s="1">
        <v>1548801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1387000</v>
      </c>
      <c r="U1102" s="1">
        <v>0</v>
      </c>
      <c r="V1102" s="1">
        <v>2223857</v>
      </c>
      <c r="W1102" s="1">
        <v>1900000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1106287</v>
      </c>
      <c r="AF1102" s="1">
        <v>0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4657357</v>
      </c>
      <c r="AM1102" s="1">
        <v>0</v>
      </c>
      <c r="AN1102" s="1">
        <v>0</v>
      </c>
      <c r="AO1102" s="1">
        <v>33369433</v>
      </c>
      <c r="AP1102" s="1">
        <v>10917850</v>
      </c>
      <c r="AQ1102" s="1">
        <v>22451583</v>
      </c>
      <c r="AR1102" s="1">
        <v>6673887</v>
      </c>
      <c r="AS1102" s="1">
        <v>1001083</v>
      </c>
      <c r="AT1102" s="1">
        <f t="shared" si="118"/>
        <v>41044403</v>
      </c>
    </row>
    <row r="1103" spans="1:46" x14ac:dyDescent="0.2">
      <c r="A1103" s="1" t="str">
        <f>"01405"</f>
        <v>01405</v>
      </c>
      <c r="B1103" s="1" t="str">
        <f>"يوسف"</f>
        <v>يوسف</v>
      </c>
      <c r="C1103" s="1" t="str">
        <f>"زنده بودي"</f>
        <v>زنده بودي</v>
      </c>
      <c r="D1103" s="1" t="str">
        <f t="shared" si="116"/>
        <v>قراردادي بهره بردار</v>
      </c>
      <c r="E1103" s="1" t="str">
        <f t="shared" si="117"/>
        <v>پروژه بهره برداري نيروگاه بوشهر</v>
      </c>
      <c r="F1103" s="1">
        <v>9636743</v>
      </c>
      <c r="G1103" s="1">
        <v>0</v>
      </c>
      <c r="H1103" s="1">
        <v>0</v>
      </c>
      <c r="I1103" s="1">
        <v>4797394</v>
      </c>
      <c r="J1103" s="1">
        <v>0</v>
      </c>
      <c r="K1103" s="1">
        <v>3465000</v>
      </c>
      <c r="L1103" s="1">
        <v>0</v>
      </c>
      <c r="M1103" s="1">
        <v>1000000</v>
      </c>
      <c r="N1103" s="1">
        <v>1463694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1387000</v>
      </c>
      <c r="U1103" s="1">
        <v>0</v>
      </c>
      <c r="V1103" s="1">
        <v>2158567</v>
      </c>
      <c r="W1103" s="1">
        <v>1900000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1045496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4642351</v>
      </c>
      <c r="AM1103" s="1">
        <v>0</v>
      </c>
      <c r="AN1103" s="1">
        <v>0</v>
      </c>
      <c r="AO1103" s="1">
        <v>31496245</v>
      </c>
      <c r="AP1103" s="1">
        <v>14351266</v>
      </c>
      <c r="AQ1103" s="1">
        <v>17144979</v>
      </c>
      <c r="AR1103" s="1">
        <v>6299249</v>
      </c>
      <c r="AS1103" s="1">
        <v>944887</v>
      </c>
      <c r="AT1103" s="1">
        <f t="shared" si="118"/>
        <v>38740381</v>
      </c>
    </row>
    <row r="1104" spans="1:46" x14ac:dyDescent="0.2">
      <c r="A1104" s="1" t="str">
        <f>"01406"</f>
        <v>01406</v>
      </c>
      <c r="B1104" s="1" t="str">
        <f>"مصطفي"</f>
        <v>مصطفي</v>
      </c>
      <c r="C1104" s="1" t="str">
        <f>"محمدي گلوردي"</f>
        <v>محمدي گلوردي</v>
      </c>
      <c r="D1104" s="1" t="str">
        <f t="shared" si="116"/>
        <v>قراردادي بهره بردار</v>
      </c>
      <c r="E1104" s="1" t="str">
        <f t="shared" si="117"/>
        <v>پروژه بهره برداري نيروگاه بوشهر</v>
      </c>
      <c r="F1104" s="1">
        <v>11016863</v>
      </c>
      <c r="G1104" s="1">
        <v>0</v>
      </c>
      <c r="H1104" s="1">
        <v>0</v>
      </c>
      <c r="I1104" s="1">
        <v>5636013</v>
      </c>
      <c r="J1104" s="1">
        <v>0</v>
      </c>
      <c r="K1104" s="1">
        <v>4620000</v>
      </c>
      <c r="L1104" s="1">
        <v>0</v>
      </c>
      <c r="M1104" s="1">
        <v>1000000</v>
      </c>
      <c r="N1104" s="1">
        <v>1831726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1387000</v>
      </c>
      <c r="U1104" s="1">
        <v>0</v>
      </c>
      <c r="V1104" s="1">
        <v>2410673</v>
      </c>
      <c r="W1104" s="1">
        <v>1900000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1308376</v>
      </c>
      <c r="AF1104" s="1">
        <v>1516881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4313751</v>
      </c>
      <c r="AM1104" s="1">
        <v>0</v>
      </c>
      <c r="AN1104" s="1">
        <v>0</v>
      </c>
      <c r="AO1104" s="1">
        <v>36941283</v>
      </c>
      <c r="AP1104" s="1">
        <v>20614622</v>
      </c>
      <c r="AQ1104" s="1">
        <v>16326661</v>
      </c>
      <c r="AR1104" s="1">
        <v>7084880</v>
      </c>
      <c r="AS1104" s="1">
        <v>1062732</v>
      </c>
      <c r="AT1104" s="1">
        <f t="shared" si="118"/>
        <v>45088895</v>
      </c>
    </row>
    <row r="1105" spans="1:46" x14ac:dyDescent="0.2">
      <c r="A1105" s="1" t="str">
        <f>"01407"</f>
        <v>01407</v>
      </c>
      <c r="B1105" s="1" t="str">
        <f>"سجاد"</f>
        <v>سجاد</v>
      </c>
      <c r="C1105" s="1" t="str">
        <f>"رستمي"</f>
        <v>رستمي</v>
      </c>
      <c r="D1105" s="1" t="str">
        <f t="shared" si="116"/>
        <v>قراردادي بهره بردار</v>
      </c>
      <c r="E1105" s="1" t="str">
        <f t="shared" si="117"/>
        <v>پروژه بهره برداري نيروگاه بوشهر</v>
      </c>
      <c r="F1105" s="1">
        <v>9590739</v>
      </c>
      <c r="G1105" s="1">
        <v>2646849</v>
      </c>
      <c r="H1105" s="1">
        <v>0</v>
      </c>
      <c r="I1105" s="1">
        <v>4765772</v>
      </c>
      <c r="J1105" s="1">
        <v>0</v>
      </c>
      <c r="K1105" s="1">
        <v>3465000</v>
      </c>
      <c r="L1105" s="1">
        <v>0</v>
      </c>
      <c r="M1105" s="1">
        <v>1000000</v>
      </c>
      <c r="N1105" s="1">
        <v>1447593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1387000</v>
      </c>
      <c r="U1105" s="1">
        <v>0</v>
      </c>
      <c r="V1105" s="1">
        <v>2435691</v>
      </c>
      <c r="W1105" s="1">
        <v>1900000</v>
      </c>
      <c r="X1105" s="1">
        <v>1392204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1033995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7518806</v>
      </c>
      <c r="AM1105" s="1">
        <v>0</v>
      </c>
      <c r="AN1105" s="1">
        <v>0</v>
      </c>
      <c r="AO1105" s="1">
        <v>38583649</v>
      </c>
      <c r="AP1105" s="1">
        <v>11771831</v>
      </c>
      <c r="AQ1105" s="1">
        <v>26811818</v>
      </c>
      <c r="AR1105" s="1">
        <v>7716730</v>
      </c>
      <c r="AS1105" s="1">
        <v>1157509</v>
      </c>
      <c r="AT1105" s="1">
        <f t="shared" si="118"/>
        <v>47457888</v>
      </c>
    </row>
    <row r="1106" spans="1:46" x14ac:dyDescent="0.2">
      <c r="A1106" s="1" t="str">
        <f>"01408"</f>
        <v>01408</v>
      </c>
      <c r="B1106" s="1" t="str">
        <f>"مصطفي"</f>
        <v>مصطفي</v>
      </c>
      <c r="C1106" s="1" t="str">
        <f>"محمدي"</f>
        <v>محمدي</v>
      </c>
      <c r="D1106" s="1" t="str">
        <f t="shared" si="116"/>
        <v>قراردادي بهره بردار</v>
      </c>
      <c r="E1106" s="1" t="str">
        <f t="shared" si="117"/>
        <v>پروژه بهره برداري نيروگاه بوشهر</v>
      </c>
      <c r="F1106" s="1">
        <v>9371672</v>
      </c>
      <c r="G1106" s="1">
        <v>1656593</v>
      </c>
      <c r="H1106" s="1">
        <v>0</v>
      </c>
      <c r="I1106" s="1">
        <v>4615190</v>
      </c>
      <c r="J1106" s="1">
        <v>0</v>
      </c>
      <c r="K1106" s="1">
        <v>3465000</v>
      </c>
      <c r="L1106" s="1">
        <v>0</v>
      </c>
      <c r="M1106" s="1">
        <v>1000000</v>
      </c>
      <c r="N1106" s="1">
        <v>1370919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1387000</v>
      </c>
      <c r="U1106" s="1">
        <v>0</v>
      </c>
      <c r="V1106" s="1">
        <v>2371342</v>
      </c>
      <c r="W1106" s="1">
        <v>1900000</v>
      </c>
      <c r="X1106" s="1">
        <v>1360404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979228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7376413</v>
      </c>
      <c r="AM1106" s="1">
        <v>0</v>
      </c>
      <c r="AN1106" s="1">
        <v>0</v>
      </c>
      <c r="AO1106" s="1">
        <v>36853761</v>
      </c>
      <c r="AP1106" s="1">
        <v>14612411</v>
      </c>
      <c r="AQ1106" s="1">
        <v>22241350</v>
      </c>
      <c r="AR1106" s="1">
        <v>7370752</v>
      </c>
      <c r="AS1106" s="1">
        <v>1105613</v>
      </c>
      <c r="AT1106" s="1">
        <f t="shared" si="118"/>
        <v>45330126</v>
      </c>
    </row>
    <row r="1107" spans="1:46" x14ac:dyDescent="0.2">
      <c r="A1107" s="1" t="str">
        <f>"01409"</f>
        <v>01409</v>
      </c>
      <c r="B1107" s="1" t="str">
        <f>"عبدالرحيم"</f>
        <v>عبدالرحيم</v>
      </c>
      <c r="C1107" s="1" t="str">
        <f>"نيکنام"</f>
        <v>نيکنام</v>
      </c>
      <c r="D1107" s="1" t="str">
        <f t="shared" si="116"/>
        <v>قراردادي بهره بردار</v>
      </c>
      <c r="E1107" s="1" t="str">
        <f t="shared" si="117"/>
        <v>پروژه بهره برداري نيروگاه بوشهر</v>
      </c>
      <c r="F1107" s="1">
        <v>10098973</v>
      </c>
      <c r="G1107" s="1">
        <v>561789</v>
      </c>
      <c r="H1107" s="1">
        <v>0</v>
      </c>
      <c r="I1107" s="1">
        <v>6149785</v>
      </c>
      <c r="J1107" s="1">
        <v>0</v>
      </c>
      <c r="K1107" s="1">
        <v>3465000</v>
      </c>
      <c r="L1107" s="1">
        <v>0</v>
      </c>
      <c r="M1107" s="1">
        <v>1000000</v>
      </c>
      <c r="N1107" s="1">
        <v>1510465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1606000</v>
      </c>
      <c r="U1107" s="1">
        <v>0</v>
      </c>
      <c r="V1107" s="1">
        <v>2412530</v>
      </c>
      <c r="W1107" s="1">
        <v>1900000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1078903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5287174</v>
      </c>
      <c r="AM1107" s="1">
        <v>0</v>
      </c>
      <c r="AN1107" s="1">
        <v>0</v>
      </c>
      <c r="AO1107" s="1">
        <v>35070619</v>
      </c>
      <c r="AP1107" s="1">
        <v>14382891</v>
      </c>
      <c r="AQ1107" s="1">
        <v>20687728</v>
      </c>
      <c r="AR1107" s="1">
        <v>7014124</v>
      </c>
      <c r="AS1107" s="1">
        <v>1052119</v>
      </c>
      <c r="AT1107" s="1">
        <f t="shared" si="118"/>
        <v>43136862</v>
      </c>
    </row>
    <row r="1108" spans="1:46" x14ac:dyDescent="0.2">
      <c r="A1108" s="1" t="str">
        <f>"01410"</f>
        <v>01410</v>
      </c>
      <c r="B1108" s="1" t="str">
        <f>"حسين"</f>
        <v>حسين</v>
      </c>
      <c r="C1108" s="1" t="str">
        <f>"اندرياي"</f>
        <v>اندرياي</v>
      </c>
      <c r="D1108" s="1" t="str">
        <f t="shared" si="116"/>
        <v>قراردادي بهره بردار</v>
      </c>
      <c r="E1108" s="1" t="str">
        <f t="shared" si="117"/>
        <v>پروژه بهره برداري نيروگاه بوشهر</v>
      </c>
      <c r="F1108" s="1">
        <v>9750657</v>
      </c>
      <c r="G1108" s="1">
        <v>1695931</v>
      </c>
      <c r="H1108" s="1">
        <v>0</v>
      </c>
      <c r="I1108" s="1">
        <v>4875696</v>
      </c>
      <c r="J1108" s="1">
        <v>0</v>
      </c>
      <c r="K1108" s="1">
        <v>3465000</v>
      </c>
      <c r="L1108" s="1">
        <v>0</v>
      </c>
      <c r="M1108" s="1">
        <v>1000000</v>
      </c>
      <c r="N1108" s="1">
        <v>1503564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1387000</v>
      </c>
      <c r="U1108" s="1">
        <v>0</v>
      </c>
      <c r="V1108" s="1">
        <v>2184887</v>
      </c>
      <c r="W1108" s="1">
        <v>1900000</v>
      </c>
      <c r="X1108" s="1">
        <v>1415418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1073974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4644980</v>
      </c>
      <c r="AM1108" s="1">
        <v>0</v>
      </c>
      <c r="AN1108" s="1">
        <v>0</v>
      </c>
      <c r="AO1108" s="1">
        <v>34897107</v>
      </c>
      <c r="AP1108" s="1">
        <v>14954271</v>
      </c>
      <c r="AQ1108" s="1">
        <v>19942836</v>
      </c>
      <c r="AR1108" s="1">
        <v>6979421</v>
      </c>
      <c r="AS1108" s="1">
        <v>1046913</v>
      </c>
      <c r="AT1108" s="1">
        <f t="shared" si="118"/>
        <v>42923441</v>
      </c>
    </row>
    <row r="1109" spans="1:46" x14ac:dyDescent="0.2">
      <c r="A1109" s="1" t="str">
        <f>"01411"</f>
        <v>01411</v>
      </c>
      <c r="B1109" s="1" t="str">
        <f>"هادي"</f>
        <v>هادي</v>
      </c>
      <c r="C1109" s="1" t="str">
        <f>"تجويدي"</f>
        <v>تجويدي</v>
      </c>
      <c r="D1109" s="1" t="str">
        <f t="shared" si="116"/>
        <v>قراردادي بهره بردار</v>
      </c>
      <c r="E1109" s="1" t="str">
        <f t="shared" si="117"/>
        <v>پروژه بهره برداري نيروگاه بوشهر</v>
      </c>
      <c r="F1109" s="1">
        <v>9018975</v>
      </c>
      <c r="G1109" s="1">
        <v>3519052</v>
      </c>
      <c r="H1109" s="1">
        <v>0</v>
      </c>
      <c r="I1109" s="1">
        <v>4424856</v>
      </c>
      <c r="J1109" s="1">
        <v>0</v>
      </c>
      <c r="K1109" s="1">
        <v>3465000</v>
      </c>
      <c r="L1109" s="1">
        <v>0</v>
      </c>
      <c r="M1109" s="1">
        <v>1000000</v>
      </c>
      <c r="N1109" s="1">
        <v>1247475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1387000</v>
      </c>
      <c r="U1109" s="1">
        <v>0</v>
      </c>
      <c r="V1109" s="1">
        <v>2266818</v>
      </c>
      <c r="W1109" s="1">
        <v>1900000</v>
      </c>
      <c r="X1109" s="1">
        <v>1309206</v>
      </c>
      <c r="Y1109" s="1">
        <v>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891054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7085821</v>
      </c>
      <c r="AM1109" s="1">
        <v>0</v>
      </c>
      <c r="AN1109" s="1">
        <v>0</v>
      </c>
      <c r="AO1109" s="1">
        <v>37515257</v>
      </c>
      <c r="AP1109" s="1">
        <v>7469057</v>
      </c>
      <c r="AQ1109" s="1">
        <v>30046200</v>
      </c>
      <c r="AR1109" s="1">
        <v>7503051</v>
      </c>
      <c r="AS1109" s="1">
        <v>1125458</v>
      </c>
      <c r="AT1109" s="1">
        <f t="shared" si="118"/>
        <v>46143766</v>
      </c>
    </row>
    <row r="1110" spans="1:46" x14ac:dyDescent="0.2">
      <c r="A1110" s="1" t="str">
        <f>"01412"</f>
        <v>01412</v>
      </c>
      <c r="B1110" s="1" t="str">
        <f>"مهرداد"</f>
        <v>مهرداد</v>
      </c>
      <c r="C1110" s="1" t="str">
        <f>"نظري"</f>
        <v>نظري</v>
      </c>
      <c r="D1110" s="1" t="str">
        <f t="shared" si="116"/>
        <v>قراردادي بهره بردار</v>
      </c>
      <c r="E1110" s="1" t="str">
        <f t="shared" si="117"/>
        <v>پروژه بهره برداري نيروگاه بوشهر</v>
      </c>
      <c r="F1110" s="1">
        <v>9619217</v>
      </c>
      <c r="G1110" s="1">
        <v>2340679</v>
      </c>
      <c r="H1110" s="1">
        <v>0</v>
      </c>
      <c r="I1110" s="1">
        <v>4785347</v>
      </c>
      <c r="J1110" s="1">
        <v>0</v>
      </c>
      <c r="K1110" s="1">
        <v>3465000</v>
      </c>
      <c r="L1110" s="1">
        <v>0</v>
      </c>
      <c r="M1110" s="1">
        <v>1000000</v>
      </c>
      <c r="N1110" s="1">
        <v>1457560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1387000</v>
      </c>
      <c r="U1110" s="1">
        <v>0</v>
      </c>
      <c r="V1110" s="1">
        <v>2153946</v>
      </c>
      <c r="W1110" s="1">
        <v>1900000</v>
      </c>
      <c r="X1110" s="1">
        <v>1396338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1041114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4636217</v>
      </c>
      <c r="AM1110" s="1">
        <v>0</v>
      </c>
      <c r="AN1110" s="1">
        <v>0</v>
      </c>
      <c r="AO1110" s="1">
        <v>35182418</v>
      </c>
      <c r="AP1110" s="1">
        <v>12415907</v>
      </c>
      <c r="AQ1110" s="1">
        <v>22766511</v>
      </c>
      <c r="AR1110" s="1">
        <v>7036484</v>
      </c>
      <c r="AS1110" s="1">
        <v>1055473</v>
      </c>
      <c r="AT1110" s="1">
        <f t="shared" si="118"/>
        <v>43274375</v>
      </c>
    </row>
    <row r="1111" spans="1:46" x14ac:dyDescent="0.2">
      <c r="A1111" s="1" t="str">
        <f>"01413"</f>
        <v>01413</v>
      </c>
      <c r="B1111" s="1" t="str">
        <f>"سجاد"</f>
        <v>سجاد</v>
      </c>
      <c r="C1111" s="1" t="str">
        <f>"مرادزاده"</f>
        <v>مرادزاده</v>
      </c>
      <c r="D1111" s="1" t="str">
        <f t="shared" si="116"/>
        <v>قراردادي بهره بردار</v>
      </c>
      <c r="E1111" s="1" t="str">
        <f t="shared" si="117"/>
        <v>پروژه بهره برداري نيروگاه بوشهر</v>
      </c>
      <c r="F1111" s="1">
        <v>9064979</v>
      </c>
      <c r="G1111" s="1">
        <v>0</v>
      </c>
      <c r="H1111" s="1">
        <v>0</v>
      </c>
      <c r="I1111" s="1">
        <v>4404377</v>
      </c>
      <c r="J1111" s="1">
        <v>0</v>
      </c>
      <c r="K1111" s="1">
        <v>3465000</v>
      </c>
      <c r="L1111" s="1">
        <v>0</v>
      </c>
      <c r="M1111" s="1">
        <v>1000000</v>
      </c>
      <c r="N1111" s="1">
        <v>1263577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1387000</v>
      </c>
      <c r="U1111" s="1">
        <v>0</v>
      </c>
      <c r="V1111" s="1">
        <v>2009305</v>
      </c>
      <c r="W1111" s="1">
        <v>1900000</v>
      </c>
      <c r="X1111" s="1">
        <v>0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902555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4457569</v>
      </c>
      <c r="AM1111" s="1">
        <v>0</v>
      </c>
      <c r="AN1111" s="1">
        <v>0</v>
      </c>
      <c r="AO1111" s="1">
        <v>29854362</v>
      </c>
      <c r="AP1111" s="1">
        <v>2095805</v>
      </c>
      <c r="AQ1111" s="1">
        <v>27758557</v>
      </c>
      <c r="AR1111" s="1">
        <v>5970872</v>
      </c>
      <c r="AS1111" s="1">
        <v>895631</v>
      </c>
      <c r="AT1111" s="1">
        <f t="shared" si="118"/>
        <v>36720865</v>
      </c>
    </row>
    <row r="1112" spans="1:46" x14ac:dyDescent="0.2">
      <c r="A1112" s="1" t="str">
        <f>"01414"</f>
        <v>01414</v>
      </c>
      <c r="B1112" s="1" t="str">
        <f>"حسين"</f>
        <v>حسين</v>
      </c>
      <c r="C1112" s="1" t="str">
        <f>"آدره"</f>
        <v>آدره</v>
      </c>
      <c r="D1112" s="1" t="str">
        <f t="shared" si="116"/>
        <v>قراردادي بهره بردار</v>
      </c>
      <c r="E1112" s="1" t="str">
        <f t="shared" si="117"/>
        <v>پروژه بهره برداري نيروگاه بوشهر</v>
      </c>
      <c r="F1112" s="1">
        <v>10561204</v>
      </c>
      <c r="G1112" s="1">
        <v>3707087</v>
      </c>
      <c r="H1112" s="1">
        <v>0</v>
      </c>
      <c r="I1112" s="1">
        <v>5917925</v>
      </c>
      <c r="J1112" s="1">
        <v>0</v>
      </c>
      <c r="K1112" s="1">
        <v>3465000</v>
      </c>
      <c r="L1112" s="1">
        <v>0</v>
      </c>
      <c r="M1112" s="1">
        <v>1000000</v>
      </c>
      <c r="N1112" s="1">
        <v>1530400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1387000</v>
      </c>
      <c r="U1112" s="1">
        <v>0</v>
      </c>
      <c r="V1112" s="1">
        <v>2387942</v>
      </c>
      <c r="W1112" s="1">
        <v>1900000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1093143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4776749</v>
      </c>
      <c r="AM1112" s="1">
        <v>0</v>
      </c>
      <c r="AN1112" s="1">
        <v>0</v>
      </c>
      <c r="AO1112" s="1">
        <v>37726450</v>
      </c>
      <c r="AP1112" s="1">
        <v>16716135</v>
      </c>
      <c r="AQ1112" s="1">
        <v>21010315</v>
      </c>
      <c r="AR1112" s="1">
        <v>7545290</v>
      </c>
      <c r="AS1112" s="1">
        <v>1131794</v>
      </c>
      <c r="AT1112" s="1">
        <f t="shared" si="118"/>
        <v>46403534</v>
      </c>
    </row>
    <row r="1113" spans="1:46" x14ac:dyDescent="0.2">
      <c r="A1113" s="1" t="str">
        <f>"01415"</f>
        <v>01415</v>
      </c>
      <c r="B1113" s="1" t="str">
        <f>"تورج"</f>
        <v>تورج</v>
      </c>
      <c r="C1113" s="1" t="str">
        <f>"نظري"</f>
        <v>نظري</v>
      </c>
      <c r="D1113" s="1" t="str">
        <f t="shared" si="116"/>
        <v>قراردادي بهره بردار</v>
      </c>
      <c r="E1113" s="1" t="str">
        <f t="shared" si="117"/>
        <v>پروژه بهره برداري نيروگاه بوشهر</v>
      </c>
      <c r="F1113" s="1">
        <v>16565821</v>
      </c>
      <c r="G1113" s="1">
        <v>1802194</v>
      </c>
      <c r="H1113" s="1">
        <v>0</v>
      </c>
      <c r="I1113" s="1">
        <v>8207280</v>
      </c>
      <c r="J1113" s="1">
        <v>0</v>
      </c>
      <c r="K1113" s="1">
        <v>5500000</v>
      </c>
      <c r="L1113" s="1">
        <v>0</v>
      </c>
      <c r="M1113" s="1">
        <v>1000000</v>
      </c>
      <c r="N1113" s="1">
        <v>2612260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1387000</v>
      </c>
      <c r="U1113" s="1">
        <v>0</v>
      </c>
      <c r="V1113" s="1">
        <v>3316839</v>
      </c>
      <c r="W1113" s="1">
        <v>1900000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1865900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3917131</v>
      </c>
      <c r="AM1113" s="1">
        <v>0</v>
      </c>
      <c r="AN1113" s="1">
        <v>0</v>
      </c>
      <c r="AO1113" s="1">
        <v>48074425</v>
      </c>
      <c r="AP1113" s="1">
        <v>4513432</v>
      </c>
      <c r="AQ1113" s="1">
        <v>43560993</v>
      </c>
      <c r="AR1113" s="1">
        <v>9614885</v>
      </c>
      <c r="AS1113" s="1">
        <v>1442233</v>
      </c>
      <c r="AT1113" s="1">
        <f t="shared" si="118"/>
        <v>59131543</v>
      </c>
    </row>
    <row r="1114" spans="1:46" x14ac:dyDescent="0.2">
      <c r="A1114" s="1" t="str">
        <f>"01416"</f>
        <v>01416</v>
      </c>
      <c r="B1114" s="1" t="str">
        <f>"حسين"</f>
        <v>حسين</v>
      </c>
      <c r="C1114" s="1" t="str">
        <f>"مظاهري بني"</f>
        <v>مظاهري بني</v>
      </c>
      <c r="D1114" s="1" t="str">
        <f t="shared" si="116"/>
        <v>قراردادي بهره بردار</v>
      </c>
      <c r="E1114" s="1" t="str">
        <f t="shared" si="117"/>
        <v>پروژه بهره برداري نيروگاه بوشهر</v>
      </c>
      <c r="F1114" s="1">
        <v>15334667</v>
      </c>
      <c r="G1114" s="1">
        <v>1431790</v>
      </c>
      <c r="H1114" s="1">
        <v>0</v>
      </c>
      <c r="I1114" s="1">
        <v>7549511</v>
      </c>
      <c r="J1114" s="1">
        <v>0</v>
      </c>
      <c r="K1114" s="1">
        <v>5500000</v>
      </c>
      <c r="L1114" s="1">
        <v>0</v>
      </c>
      <c r="M1114" s="1">
        <v>1000000</v>
      </c>
      <c r="N1114" s="1">
        <v>2365372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1387000</v>
      </c>
      <c r="U1114" s="1">
        <v>0</v>
      </c>
      <c r="V1114" s="1">
        <v>3074320</v>
      </c>
      <c r="W1114" s="1">
        <v>1900000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1689552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3804093</v>
      </c>
      <c r="AM1114" s="1">
        <v>0</v>
      </c>
      <c r="AN1114" s="1">
        <v>0</v>
      </c>
      <c r="AO1114" s="1">
        <v>45036305</v>
      </c>
      <c r="AP1114" s="1">
        <v>10519102</v>
      </c>
      <c r="AQ1114" s="1">
        <v>34517203</v>
      </c>
      <c r="AR1114" s="1">
        <v>9007261</v>
      </c>
      <c r="AS1114" s="1">
        <v>1351089</v>
      </c>
      <c r="AT1114" s="1">
        <f t="shared" si="118"/>
        <v>55394655</v>
      </c>
    </row>
    <row r="1115" spans="1:46" x14ac:dyDescent="0.2">
      <c r="A1115" s="1" t="str">
        <f>"01417"</f>
        <v>01417</v>
      </c>
      <c r="B1115" s="1" t="str">
        <f>"راضيه"</f>
        <v>راضيه</v>
      </c>
      <c r="C1115" s="1" t="str">
        <f>"هژبرنيا"</f>
        <v>هژبرنيا</v>
      </c>
      <c r="D1115" s="1" t="str">
        <f t="shared" si="116"/>
        <v>قراردادي بهره بردار</v>
      </c>
      <c r="E1115" s="1" t="str">
        <f t="shared" si="117"/>
        <v>پروژه بهره برداري نيروگاه بوشهر</v>
      </c>
      <c r="F1115" s="1">
        <v>13827488</v>
      </c>
      <c r="G1115" s="1">
        <v>0</v>
      </c>
      <c r="H1115" s="1">
        <v>0</v>
      </c>
      <c r="I1115" s="1">
        <v>8573627</v>
      </c>
      <c r="J1115" s="1">
        <v>0</v>
      </c>
      <c r="K1115" s="1">
        <v>4125000</v>
      </c>
      <c r="L1115" s="1">
        <v>0</v>
      </c>
      <c r="M1115" s="1">
        <v>1000000</v>
      </c>
      <c r="N1115" s="1">
        <v>1837860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1387000</v>
      </c>
      <c r="U1115" s="1">
        <v>0</v>
      </c>
      <c r="V1115" s="1">
        <v>2939170</v>
      </c>
      <c r="W1115" s="1">
        <v>1900000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1312757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3839965</v>
      </c>
      <c r="AM1115" s="1">
        <v>0</v>
      </c>
      <c r="AN1115" s="1">
        <v>0</v>
      </c>
      <c r="AO1115" s="1">
        <v>40742867</v>
      </c>
      <c r="AP1115" s="1">
        <v>10910391</v>
      </c>
      <c r="AQ1115" s="1">
        <v>29832476</v>
      </c>
      <c r="AR1115" s="1">
        <v>8148573</v>
      </c>
      <c r="AS1115" s="1">
        <v>1222286</v>
      </c>
      <c r="AT1115" s="1">
        <f t="shared" si="118"/>
        <v>50113726</v>
      </c>
    </row>
    <row r="1116" spans="1:46" x14ac:dyDescent="0.2">
      <c r="A1116" s="1" t="str">
        <f>"01419"</f>
        <v>01419</v>
      </c>
      <c r="B1116" s="1" t="str">
        <f>"سيد عادل"</f>
        <v>سيد عادل</v>
      </c>
      <c r="C1116" s="1" t="str">
        <f>"هاشمي تنگستاني"</f>
        <v>هاشمي تنگستاني</v>
      </c>
      <c r="D1116" s="1" t="str">
        <f t="shared" si="116"/>
        <v>قراردادي بهره بردار</v>
      </c>
      <c r="E1116" s="1" t="str">
        <f t="shared" si="117"/>
        <v>پروژه بهره برداري نيروگاه بوشهر</v>
      </c>
      <c r="F1116" s="1">
        <v>10955524</v>
      </c>
      <c r="G1116" s="1">
        <v>2730625</v>
      </c>
      <c r="H1116" s="1">
        <v>0</v>
      </c>
      <c r="I1116" s="1">
        <v>5593851</v>
      </c>
      <c r="J1116" s="1">
        <v>0</v>
      </c>
      <c r="K1116" s="1">
        <v>4620000</v>
      </c>
      <c r="L1116" s="1">
        <v>0</v>
      </c>
      <c r="M1116" s="1">
        <v>1000000</v>
      </c>
      <c r="N1116" s="1">
        <v>1810257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1387000</v>
      </c>
      <c r="U1116" s="1">
        <v>0</v>
      </c>
      <c r="V1116" s="1">
        <v>2706074</v>
      </c>
      <c r="W1116" s="1">
        <v>1900000</v>
      </c>
      <c r="X1116" s="1">
        <v>1050240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1293041</v>
      </c>
      <c r="AF1116" s="1">
        <v>1516881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7408068</v>
      </c>
      <c r="AM1116" s="1">
        <v>0</v>
      </c>
      <c r="AN1116" s="1">
        <v>0</v>
      </c>
      <c r="AO1116" s="1">
        <v>43971561</v>
      </c>
      <c r="AP1116" s="1">
        <v>4749101</v>
      </c>
      <c r="AQ1116" s="1">
        <v>39222460</v>
      </c>
      <c r="AR1116" s="1">
        <v>8490936</v>
      </c>
      <c r="AS1116" s="1">
        <v>1273640</v>
      </c>
      <c r="AT1116" s="1">
        <f t="shared" si="118"/>
        <v>53736137</v>
      </c>
    </row>
    <row r="1117" spans="1:46" x14ac:dyDescent="0.2">
      <c r="A1117" s="1" t="str">
        <f>"01420"</f>
        <v>01420</v>
      </c>
      <c r="B1117" s="1" t="str">
        <f>"اميد"</f>
        <v>اميد</v>
      </c>
      <c r="C1117" s="1" t="str">
        <f>"زارع گلستاني"</f>
        <v>زارع گلستاني</v>
      </c>
      <c r="D1117" s="1" t="str">
        <f t="shared" si="116"/>
        <v>قراردادي بهره بردار</v>
      </c>
      <c r="E1117" s="1" t="str">
        <f t="shared" si="117"/>
        <v>پروژه بهره برداري نيروگاه بوشهر</v>
      </c>
      <c r="F1117" s="1">
        <v>9755039</v>
      </c>
      <c r="G1117" s="1">
        <v>2890497</v>
      </c>
      <c r="H1117" s="1">
        <v>0</v>
      </c>
      <c r="I1117" s="1">
        <v>4929917</v>
      </c>
      <c r="J1117" s="1">
        <v>0</v>
      </c>
      <c r="K1117" s="1">
        <v>3465000</v>
      </c>
      <c r="L1117" s="1">
        <v>0</v>
      </c>
      <c r="M1117" s="1">
        <v>1000000</v>
      </c>
      <c r="N1117" s="1">
        <v>1505098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1387000</v>
      </c>
      <c r="U1117" s="1">
        <v>0</v>
      </c>
      <c r="V1117" s="1">
        <v>2190507</v>
      </c>
      <c r="W1117" s="1">
        <v>1900000</v>
      </c>
      <c r="X1117" s="1">
        <v>1416054</v>
      </c>
      <c r="Y1117" s="1">
        <v>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1075070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4639942</v>
      </c>
      <c r="AM1117" s="1">
        <v>0</v>
      </c>
      <c r="AN1117" s="1">
        <v>0</v>
      </c>
      <c r="AO1117" s="1">
        <v>36154124</v>
      </c>
      <c r="AP1117" s="1">
        <v>14498371</v>
      </c>
      <c r="AQ1117" s="1">
        <v>21655753</v>
      </c>
      <c r="AR1117" s="1">
        <v>7230825</v>
      </c>
      <c r="AS1117" s="1">
        <v>1084624</v>
      </c>
      <c r="AT1117" s="1">
        <f t="shared" si="118"/>
        <v>44469573</v>
      </c>
    </row>
    <row r="1118" spans="1:46" x14ac:dyDescent="0.2">
      <c r="A1118" s="1" t="str">
        <f>"01421"</f>
        <v>01421</v>
      </c>
      <c r="B1118" s="1" t="str">
        <f>"ساسان"</f>
        <v>ساسان</v>
      </c>
      <c r="C1118" s="1" t="str">
        <f>"رحيمي"</f>
        <v>رحيمي</v>
      </c>
      <c r="D1118" s="1" t="str">
        <f t="shared" si="116"/>
        <v>قراردادي بهره بردار</v>
      </c>
      <c r="E1118" s="1" t="str">
        <f t="shared" si="117"/>
        <v>پروژه بهره برداري نيروگاه بوشهر</v>
      </c>
      <c r="F1118" s="1">
        <v>15065215</v>
      </c>
      <c r="G1118" s="1">
        <v>1616258</v>
      </c>
      <c r="H1118" s="1">
        <v>0</v>
      </c>
      <c r="I1118" s="1">
        <v>7288062</v>
      </c>
      <c r="J1118" s="1">
        <v>0</v>
      </c>
      <c r="K1118" s="1">
        <v>4125000</v>
      </c>
      <c r="L1118" s="1">
        <v>0</v>
      </c>
      <c r="M1118" s="1">
        <v>1000000</v>
      </c>
      <c r="N1118" s="1">
        <v>2087048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1387000</v>
      </c>
      <c r="U1118" s="1">
        <v>0</v>
      </c>
      <c r="V1118" s="1">
        <v>2974634</v>
      </c>
      <c r="W1118" s="1">
        <v>1900000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1490749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3815265</v>
      </c>
      <c r="AM1118" s="1">
        <v>0</v>
      </c>
      <c r="AN1118" s="1">
        <v>0</v>
      </c>
      <c r="AO1118" s="1">
        <v>42749231</v>
      </c>
      <c r="AP1118" s="1">
        <v>13597390</v>
      </c>
      <c r="AQ1118" s="1">
        <v>29151841</v>
      </c>
      <c r="AR1118" s="1">
        <v>8549846</v>
      </c>
      <c r="AS1118" s="1">
        <v>1282477</v>
      </c>
      <c r="AT1118" s="1">
        <f t="shared" si="118"/>
        <v>52581554</v>
      </c>
    </row>
    <row r="1119" spans="1:46" x14ac:dyDescent="0.2">
      <c r="A1119" s="1" t="str">
        <f>"01423"</f>
        <v>01423</v>
      </c>
      <c r="B1119" s="1" t="str">
        <f>"عليرضا"</f>
        <v>عليرضا</v>
      </c>
      <c r="C1119" s="1" t="str">
        <f>"حاجياني"</f>
        <v>حاجياني</v>
      </c>
      <c r="D1119" s="1" t="str">
        <f t="shared" si="116"/>
        <v>قراردادي بهره بردار</v>
      </c>
      <c r="E1119" s="1" t="str">
        <f t="shared" si="117"/>
        <v>پروژه بهره برداري نيروگاه بوشهر</v>
      </c>
      <c r="F1119" s="1">
        <v>9189847</v>
      </c>
      <c r="G1119" s="1">
        <v>0</v>
      </c>
      <c r="H1119" s="1">
        <v>0</v>
      </c>
      <c r="I1119" s="1">
        <v>4490208</v>
      </c>
      <c r="J1119" s="1">
        <v>0</v>
      </c>
      <c r="K1119" s="1">
        <v>3465000</v>
      </c>
      <c r="L1119" s="1">
        <v>0</v>
      </c>
      <c r="M1119" s="1">
        <v>1000000</v>
      </c>
      <c r="N1119" s="1">
        <v>1307280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1387000</v>
      </c>
      <c r="U1119" s="1">
        <v>0</v>
      </c>
      <c r="V1119" s="1">
        <v>2041142</v>
      </c>
      <c r="W1119" s="1">
        <v>1900000</v>
      </c>
      <c r="X1119" s="1">
        <v>0</v>
      </c>
      <c r="Y1119" s="1">
        <v>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933772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4490319</v>
      </c>
      <c r="AM1119" s="1">
        <v>0</v>
      </c>
      <c r="AN1119" s="1">
        <v>0</v>
      </c>
      <c r="AO1119" s="1">
        <v>30204568</v>
      </c>
      <c r="AP1119" s="1">
        <v>2120320</v>
      </c>
      <c r="AQ1119" s="1">
        <v>28084248</v>
      </c>
      <c r="AR1119" s="1">
        <v>6040914</v>
      </c>
      <c r="AS1119" s="1">
        <v>906137</v>
      </c>
      <c r="AT1119" s="1">
        <f t="shared" si="118"/>
        <v>37151619</v>
      </c>
    </row>
    <row r="1120" spans="1:46" x14ac:dyDescent="0.2">
      <c r="A1120" s="1" t="str">
        <f>"01424"</f>
        <v>01424</v>
      </c>
      <c r="B1120" s="1" t="str">
        <f>"سيد سجاد"</f>
        <v>سيد سجاد</v>
      </c>
      <c r="C1120" s="1" t="str">
        <f>"نعمت اللهي"</f>
        <v>نعمت اللهي</v>
      </c>
      <c r="D1120" s="1" t="str">
        <f t="shared" si="116"/>
        <v>قراردادي بهره بردار</v>
      </c>
      <c r="E1120" s="1" t="str">
        <f t="shared" si="117"/>
        <v>پروژه بهره برداري نيروگاه بوشهر</v>
      </c>
      <c r="F1120" s="1">
        <v>10215079</v>
      </c>
      <c r="G1120" s="1">
        <v>0</v>
      </c>
      <c r="H1120" s="1">
        <v>0</v>
      </c>
      <c r="I1120" s="1">
        <v>5194927</v>
      </c>
      <c r="J1120" s="1">
        <v>0</v>
      </c>
      <c r="K1120" s="1">
        <v>3465000</v>
      </c>
      <c r="L1120" s="1">
        <v>0</v>
      </c>
      <c r="M1120" s="1">
        <v>1000000</v>
      </c>
      <c r="N1120" s="1">
        <v>1666112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1387000</v>
      </c>
      <c r="U1120" s="1">
        <v>0</v>
      </c>
      <c r="V1120" s="1">
        <v>2254139</v>
      </c>
      <c r="W1120" s="1">
        <v>1900000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1190080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4275196</v>
      </c>
      <c r="AM1120" s="1">
        <v>0</v>
      </c>
      <c r="AN1120" s="1">
        <v>0</v>
      </c>
      <c r="AO1120" s="1">
        <v>32547533</v>
      </c>
      <c r="AP1120" s="1">
        <v>13436814</v>
      </c>
      <c r="AQ1120" s="1">
        <v>19110719</v>
      </c>
      <c r="AR1120" s="1">
        <v>6509507</v>
      </c>
      <c r="AS1120" s="1">
        <v>976426</v>
      </c>
      <c r="AT1120" s="1">
        <f t="shared" si="118"/>
        <v>40033466</v>
      </c>
    </row>
    <row r="1121" spans="1:46" x14ac:dyDescent="0.2">
      <c r="A1121" s="1" t="str">
        <f>"01425"</f>
        <v>01425</v>
      </c>
      <c r="B1121" s="1" t="str">
        <f>"اشکان"</f>
        <v>اشکان</v>
      </c>
      <c r="C1121" s="1" t="str">
        <f>"احمدي دوقزلو"</f>
        <v>احمدي دوقزلو</v>
      </c>
      <c r="D1121" s="1" t="str">
        <f t="shared" si="116"/>
        <v>قراردادي بهره بردار</v>
      </c>
      <c r="E1121" s="1" t="str">
        <f t="shared" si="117"/>
        <v>پروژه بهره برداري نيروگاه بوشهر</v>
      </c>
      <c r="F1121" s="1">
        <v>9312524</v>
      </c>
      <c r="G1121" s="1">
        <v>2374441</v>
      </c>
      <c r="H1121" s="1">
        <v>0</v>
      </c>
      <c r="I1121" s="1">
        <v>4574534</v>
      </c>
      <c r="J1121" s="1">
        <v>0</v>
      </c>
      <c r="K1121" s="1">
        <v>4620000</v>
      </c>
      <c r="L1121" s="1">
        <v>0</v>
      </c>
      <c r="M1121" s="1">
        <v>1000000</v>
      </c>
      <c r="N1121" s="1">
        <v>1350217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1387000</v>
      </c>
      <c r="U1121" s="1">
        <v>0</v>
      </c>
      <c r="V1121" s="1">
        <v>2353092</v>
      </c>
      <c r="W1121" s="1">
        <v>1900000</v>
      </c>
      <c r="X1121" s="1">
        <v>1351818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964441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7329204</v>
      </c>
      <c r="AM1121" s="1">
        <v>0</v>
      </c>
      <c r="AN1121" s="1">
        <v>0</v>
      </c>
      <c r="AO1121" s="1">
        <v>38517271</v>
      </c>
      <c r="AP1121" s="1">
        <v>14883563</v>
      </c>
      <c r="AQ1121" s="1">
        <v>23633708</v>
      </c>
      <c r="AR1121" s="1">
        <v>7703454</v>
      </c>
      <c r="AS1121" s="1">
        <v>1155518</v>
      </c>
      <c r="AT1121" s="1">
        <f t="shared" si="118"/>
        <v>47376243</v>
      </c>
    </row>
    <row r="1122" spans="1:46" x14ac:dyDescent="0.2">
      <c r="A1122" s="1" t="str">
        <f>"01426"</f>
        <v>01426</v>
      </c>
      <c r="B1122" s="1" t="str">
        <f>"مصيب"</f>
        <v>مصيب</v>
      </c>
      <c r="C1122" s="1" t="str">
        <f>"اسدي"</f>
        <v>اسدي</v>
      </c>
      <c r="D1122" s="1" t="str">
        <f>"قراردادي کارگري"</f>
        <v>قراردادي کارگري</v>
      </c>
      <c r="E1122" s="1" t="str">
        <f>"پروژه تعميرات نيروگاه بوشهر"</f>
        <v>پروژه تعميرات نيروگاه بوشهر</v>
      </c>
      <c r="F1122" s="1">
        <v>8000181</v>
      </c>
      <c r="G1122" s="1">
        <v>0</v>
      </c>
      <c r="H1122" s="1">
        <v>0</v>
      </c>
      <c r="I1122" s="1">
        <v>4800108</v>
      </c>
      <c r="J1122" s="1">
        <v>0</v>
      </c>
      <c r="K1122" s="1">
        <v>0</v>
      </c>
      <c r="L1122" s="1">
        <v>7462913</v>
      </c>
      <c r="M1122" s="1">
        <v>1000000</v>
      </c>
      <c r="N1122" s="1">
        <v>4266764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5230061</v>
      </c>
      <c r="W1122" s="1">
        <v>1900000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1">
        <v>0</v>
      </c>
      <c r="AO1122" s="1">
        <v>32660027</v>
      </c>
      <c r="AP1122" s="1">
        <v>6692202</v>
      </c>
      <c r="AQ1122" s="1">
        <v>25967825</v>
      </c>
      <c r="AR1122" s="1">
        <v>6532005</v>
      </c>
      <c r="AS1122" s="1">
        <v>979801</v>
      </c>
      <c r="AT1122" s="1">
        <f t="shared" si="118"/>
        <v>40171833</v>
      </c>
    </row>
    <row r="1123" spans="1:46" x14ac:dyDescent="0.2">
      <c r="A1123" s="1" t="str">
        <f>"01427"</f>
        <v>01427</v>
      </c>
      <c r="B1123" s="1" t="str">
        <f>"ستار"</f>
        <v>ستار</v>
      </c>
      <c r="C1123" s="1" t="str">
        <f>"محمودي"</f>
        <v>محمودي</v>
      </c>
      <c r="D1123" s="1" t="str">
        <f>"قراردادي بهره بردار"</f>
        <v>قراردادي بهره بردار</v>
      </c>
      <c r="E1123" s="1" t="str">
        <f>"پروژه بهره برداري نيروگاه بوشهر"</f>
        <v>پروژه بهره برداري نيروگاه بوشهر</v>
      </c>
      <c r="F1123" s="1">
        <v>13376211</v>
      </c>
      <c r="G1123" s="1">
        <v>1396644</v>
      </c>
      <c r="H1123" s="1">
        <v>0</v>
      </c>
      <c r="I1123" s="1">
        <v>6207752</v>
      </c>
      <c r="J1123" s="1">
        <v>0</v>
      </c>
      <c r="K1123" s="1">
        <v>4125000</v>
      </c>
      <c r="L1123" s="1">
        <v>0</v>
      </c>
      <c r="M1123" s="1">
        <v>1000000</v>
      </c>
      <c r="N1123" s="1">
        <v>1679913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1387000</v>
      </c>
      <c r="U1123" s="1">
        <v>0</v>
      </c>
      <c r="V1123" s="1">
        <v>2570447</v>
      </c>
      <c r="W1123" s="1">
        <v>1900000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1199938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3240653</v>
      </c>
      <c r="AM1123" s="1">
        <v>0</v>
      </c>
      <c r="AN1123" s="1">
        <v>0</v>
      </c>
      <c r="AO1123" s="1">
        <v>38083558</v>
      </c>
      <c r="AP1123" s="1">
        <v>3304920</v>
      </c>
      <c r="AQ1123" s="1">
        <v>34778638</v>
      </c>
      <c r="AR1123" s="1">
        <v>7616712</v>
      </c>
      <c r="AS1123" s="1">
        <v>1142507</v>
      </c>
      <c r="AT1123" s="1">
        <f t="shared" si="118"/>
        <v>46842777</v>
      </c>
    </row>
    <row r="1124" spans="1:46" x14ac:dyDescent="0.2">
      <c r="A1124" s="1" t="str">
        <f>"01428"</f>
        <v>01428</v>
      </c>
      <c r="B1124" s="1" t="str">
        <f>"فاطمه"</f>
        <v>فاطمه</v>
      </c>
      <c r="C1124" s="1" t="str">
        <f>"صفري كشكولي"</f>
        <v>صفري كشكولي</v>
      </c>
      <c r="D1124" s="1" t="str">
        <f t="shared" ref="D1124:D1132" si="119">"قراردادي کارگري"</f>
        <v>قراردادي کارگري</v>
      </c>
      <c r="E1124" s="1" t="str">
        <f t="shared" ref="E1124:E1133" si="120">"پروژه تعميرات نيروگاه بوشهر"</f>
        <v>پروژه تعميرات نيروگاه بوشهر</v>
      </c>
      <c r="F1124" s="1">
        <v>10507782</v>
      </c>
      <c r="G1124" s="1">
        <v>5034033</v>
      </c>
      <c r="H1124" s="1">
        <v>0</v>
      </c>
      <c r="I1124" s="1">
        <v>8406226</v>
      </c>
      <c r="J1124" s="1">
        <v>0</v>
      </c>
      <c r="K1124" s="1">
        <v>0</v>
      </c>
      <c r="L1124" s="1">
        <v>6935913</v>
      </c>
      <c r="M1124" s="1">
        <v>1000000</v>
      </c>
      <c r="N1124" s="1">
        <v>6304670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3515125</v>
      </c>
      <c r="W1124" s="1">
        <v>1900000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0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0</v>
      </c>
      <c r="AM1124" s="1">
        <v>0</v>
      </c>
      <c r="AN1124" s="1">
        <v>0</v>
      </c>
      <c r="AO1124" s="1">
        <v>43603749</v>
      </c>
      <c r="AP1124" s="1">
        <v>3923411</v>
      </c>
      <c r="AQ1124" s="1">
        <v>39680338</v>
      </c>
      <c r="AR1124" s="1">
        <v>8720750</v>
      </c>
      <c r="AS1124" s="1">
        <v>1308112</v>
      </c>
      <c r="AT1124" s="1">
        <f t="shared" si="118"/>
        <v>53632611</v>
      </c>
    </row>
    <row r="1125" spans="1:46" x14ac:dyDescent="0.2">
      <c r="A1125" s="1" t="str">
        <f>"01429"</f>
        <v>01429</v>
      </c>
      <c r="B1125" s="1" t="str">
        <f>"پدرام"</f>
        <v>پدرام</v>
      </c>
      <c r="C1125" s="1" t="str">
        <f>"بناوي"</f>
        <v>بناوي</v>
      </c>
      <c r="D1125" s="1" t="str">
        <f t="shared" si="119"/>
        <v>قراردادي کارگري</v>
      </c>
      <c r="E1125" s="1" t="str">
        <f t="shared" si="120"/>
        <v>پروژه تعميرات نيروگاه بوشهر</v>
      </c>
      <c r="F1125" s="1">
        <v>18966079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1000000</v>
      </c>
      <c r="N1125" s="1">
        <v>0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0</v>
      </c>
      <c r="W1125" s="1">
        <v>4000000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0</v>
      </c>
      <c r="AM1125" s="1">
        <v>0</v>
      </c>
      <c r="AN1125" s="1">
        <v>0</v>
      </c>
      <c r="AO1125" s="1">
        <v>23966079</v>
      </c>
      <c r="AP1125" s="1">
        <v>1683626</v>
      </c>
      <c r="AQ1125" s="1">
        <v>22282453</v>
      </c>
      <c r="AR1125" s="1">
        <v>4793216</v>
      </c>
      <c r="AS1125" s="1">
        <v>718982</v>
      </c>
      <c r="AT1125" s="1">
        <f t="shared" si="118"/>
        <v>29478277</v>
      </c>
    </row>
    <row r="1126" spans="1:46" x14ac:dyDescent="0.2">
      <c r="A1126" s="1" t="str">
        <f>"01430"</f>
        <v>01430</v>
      </c>
      <c r="B1126" s="1" t="str">
        <f>"وحيد"</f>
        <v>وحيد</v>
      </c>
      <c r="C1126" s="1" t="str">
        <f>"تقي پور"</f>
        <v>تقي پور</v>
      </c>
      <c r="D1126" s="1" t="str">
        <f t="shared" si="119"/>
        <v>قراردادي کارگري</v>
      </c>
      <c r="E1126" s="1" t="str">
        <f t="shared" si="120"/>
        <v>پروژه تعميرات نيروگاه بوشهر</v>
      </c>
      <c r="F1126" s="1">
        <v>5797233</v>
      </c>
      <c r="G1126" s="1">
        <v>0</v>
      </c>
      <c r="H1126" s="1">
        <v>0</v>
      </c>
      <c r="I1126" s="1">
        <v>3478340</v>
      </c>
      <c r="J1126" s="1">
        <v>0</v>
      </c>
      <c r="K1126" s="1">
        <v>0</v>
      </c>
      <c r="L1126" s="1">
        <v>6016887</v>
      </c>
      <c r="M1126" s="1">
        <v>1000000</v>
      </c>
      <c r="N1126" s="1">
        <v>3091858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2138098</v>
      </c>
      <c r="W1126" s="1">
        <v>1900000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0</v>
      </c>
      <c r="AF1126" s="1">
        <v>1516881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0</v>
      </c>
      <c r="AM1126" s="1">
        <v>0</v>
      </c>
      <c r="AN1126" s="1">
        <v>0</v>
      </c>
      <c r="AO1126" s="1">
        <v>24939297</v>
      </c>
      <c r="AP1126" s="1">
        <v>1645569</v>
      </c>
      <c r="AQ1126" s="1">
        <v>23293728</v>
      </c>
      <c r="AR1126" s="1">
        <v>4684483</v>
      </c>
      <c r="AS1126" s="1">
        <v>702672</v>
      </c>
      <c r="AT1126" s="1">
        <f t="shared" si="118"/>
        <v>30326452</v>
      </c>
    </row>
    <row r="1127" spans="1:46" x14ac:dyDescent="0.2">
      <c r="A1127" s="1" t="str">
        <f>"01431"</f>
        <v>01431</v>
      </c>
      <c r="B1127" s="1" t="str">
        <f>"حسين"</f>
        <v>حسين</v>
      </c>
      <c r="C1127" s="1" t="str">
        <f>"رئيسي پور"</f>
        <v>رئيسي پور</v>
      </c>
      <c r="D1127" s="1" t="str">
        <f t="shared" si="119"/>
        <v>قراردادي کارگري</v>
      </c>
      <c r="E1127" s="1" t="str">
        <f t="shared" si="120"/>
        <v>پروژه تعميرات نيروگاه بوشهر</v>
      </c>
      <c r="F1127" s="1">
        <v>5418887</v>
      </c>
      <c r="G1127" s="1">
        <v>0</v>
      </c>
      <c r="H1127" s="1">
        <v>0</v>
      </c>
      <c r="I1127" s="1">
        <v>3251332</v>
      </c>
      <c r="J1127" s="1">
        <v>0</v>
      </c>
      <c r="K1127" s="1">
        <v>0</v>
      </c>
      <c r="L1127" s="1">
        <v>6016887</v>
      </c>
      <c r="M1127" s="1">
        <v>1000000</v>
      </c>
      <c r="N1127" s="1">
        <v>2890073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2057384</v>
      </c>
      <c r="W1127" s="1">
        <v>1900000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1516881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0</v>
      </c>
      <c r="AO1127" s="1">
        <v>24051444</v>
      </c>
      <c r="AP1127" s="1">
        <v>1583419</v>
      </c>
      <c r="AQ1127" s="1">
        <v>22468025</v>
      </c>
      <c r="AR1127" s="1">
        <v>4506913</v>
      </c>
      <c r="AS1127" s="1">
        <v>676037</v>
      </c>
      <c r="AT1127" s="1">
        <f t="shared" si="118"/>
        <v>29234394</v>
      </c>
    </row>
    <row r="1128" spans="1:46" x14ac:dyDescent="0.2">
      <c r="A1128" s="1" t="str">
        <f>"01432"</f>
        <v>01432</v>
      </c>
      <c r="B1128" s="1" t="str">
        <f>"يوسف"</f>
        <v>يوسف</v>
      </c>
      <c r="C1128" s="1" t="str">
        <f>"زنگنه"</f>
        <v>زنگنه</v>
      </c>
      <c r="D1128" s="1" t="str">
        <f t="shared" si="119"/>
        <v>قراردادي کارگري</v>
      </c>
      <c r="E1128" s="1" t="str">
        <f t="shared" si="120"/>
        <v>پروژه تعميرات نيروگاه بوشهر</v>
      </c>
      <c r="F1128" s="1">
        <v>6358649</v>
      </c>
      <c r="G1128" s="1">
        <v>0</v>
      </c>
      <c r="H1128" s="1">
        <v>0</v>
      </c>
      <c r="I1128" s="1">
        <v>3815190</v>
      </c>
      <c r="J1128" s="1">
        <v>0</v>
      </c>
      <c r="K1128" s="1">
        <v>0</v>
      </c>
      <c r="L1128" s="1">
        <v>6016887</v>
      </c>
      <c r="M1128" s="1">
        <v>1000000</v>
      </c>
      <c r="N1128" s="1">
        <v>3391278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2257867</v>
      </c>
      <c r="W1128" s="1">
        <v>1900000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1516881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0</v>
      </c>
      <c r="AO1128" s="1">
        <v>26256752</v>
      </c>
      <c r="AP1128" s="1">
        <v>1737791</v>
      </c>
      <c r="AQ1128" s="1">
        <v>24518961</v>
      </c>
      <c r="AR1128" s="1">
        <v>4947974</v>
      </c>
      <c r="AS1128" s="1">
        <v>742196</v>
      </c>
      <c r="AT1128" s="1">
        <f t="shared" si="118"/>
        <v>31946922</v>
      </c>
    </row>
    <row r="1129" spans="1:46" x14ac:dyDescent="0.2">
      <c r="A1129" s="1" t="str">
        <f>"01433"</f>
        <v>01433</v>
      </c>
      <c r="B1129" s="1" t="str">
        <f>"امير رضا"</f>
        <v>امير رضا</v>
      </c>
      <c r="C1129" s="1" t="str">
        <f>"عطايي"</f>
        <v>عطايي</v>
      </c>
      <c r="D1129" s="1" t="str">
        <f t="shared" si="119"/>
        <v>قراردادي کارگري</v>
      </c>
      <c r="E1129" s="1" t="str">
        <f t="shared" si="120"/>
        <v>پروژه تعميرات نيروگاه بوشهر</v>
      </c>
      <c r="F1129" s="1">
        <v>18966079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  <c r="M1129" s="1">
        <v>1000000</v>
      </c>
      <c r="N1129" s="1">
        <v>0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>
        <v>0</v>
      </c>
      <c r="W1129" s="1">
        <v>4000000</v>
      </c>
      <c r="X1129" s="1">
        <v>0</v>
      </c>
      <c r="Y1129" s="1">
        <v>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0</v>
      </c>
      <c r="AF1129" s="1">
        <v>0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0</v>
      </c>
      <c r="AM1129" s="1">
        <v>0</v>
      </c>
      <c r="AN1129" s="1">
        <v>0</v>
      </c>
      <c r="AO1129" s="1">
        <v>23966079</v>
      </c>
      <c r="AP1129" s="1">
        <v>1683626</v>
      </c>
      <c r="AQ1129" s="1">
        <v>22282453</v>
      </c>
      <c r="AR1129" s="1">
        <v>4793216</v>
      </c>
      <c r="AS1129" s="1">
        <v>718982</v>
      </c>
      <c r="AT1129" s="1">
        <f t="shared" si="118"/>
        <v>29478277</v>
      </c>
    </row>
    <row r="1130" spans="1:46" x14ac:dyDescent="0.2">
      <c r="A1130" s="1" t="str">
        <f>"01434"</f>
        <v>01434</v>
      </c>
      <c r="B1130" s="1" t="str">
        <f>"مجتبي"</f>
        <v>مجتبي</v>
      </c>
      <c r="C1130" s="1" t="str">
        <f>"محمدي نژاد"</f>
        <v>محمدي نژاد</v>
      </c>
      <c r="D1130" s="1" t="str">
        <f t="shared" si="119"/>
        <v>قراردادي کارگري</v>
      </c>
      <c r="E1130" s="1" t="str">
        <f t="shared" si="120"/>
        <v>پروژه تعميرات نيروگاه بوشهر</v>
      </c>
      <c r="F1130" s="1">
        <v>18966079</v>
      </c>
      <c r="G1130" s="1">
        <v>4407277</v>
      </c>
      <c r="H1130" s="1">
        <v>0</v>
      </c>
      <c r="I1130" s="1">
        <v>0</v>
      </c>
      <c r="J1130" s="1">
        <v>0</v>
      </c>
      <c r="K1130" s="1">
        <v>0</v>
      </c>
      <c r="L1130" s="1">
        <v>6016887</v>
      </c>
      <c r="M1130" s="1">
        <v>1000000</v>
      </c>
      <c r="N1130" s="1">
        <v>0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0</v>
      </c>
      <c r="W1130" s="1">
        <v>4000000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0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0</v>
      </c>
      <c r="AO1130" s="1">
        <v>34390243</v>
      </c>
      <c r="AP1130" s="1">
        <v>2413317</v>
      </c>
      <c r="AQ1130" s="1">
        <v>31976926</v>
      </c>
      <c r="AR1130" s="1">
        <v>6878049</v>
      </c>
      <c r="AS1130" s="1">
        <v>1031707</v>
      </c>
      <c r="AT1130" s="1">
        <f t="shared" si="118"/>
        <v>42299999</v>
      </c>
    </row>
    <row r="1131" spans="1:46" x14ac:dyDescent="0.2">
      <c r="A1131" s="1" t="str">
        <f>"01435"</f>
        <v>01435</v>
      </c>
      <c r="B1131" s="1" t="str">
        <f>"عادل"</f>
        <v>عادل</v>
      </c>
      <c r="C1131" s="1" t="str">
        <f>"بازدارنيا"</f>
        <v>بازدارنيا</v>
      </c>
      <c r="D1131" s="1" t="str">
        <f t="shared" si="119"/>
        <v>قراردادي کارگري</v>
      </c>
      <c r="E1131" s="1" t="str">
        <f t="shared" si="120"/>
        <v>پروژه تعميرات نيروگاه بوشهر</v>
      </c>
      <c r="F1131" s="1">
        <v>18966079</v>
      </c>
      <c r="G1131" s="1">
        <v>2275165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1000000</v>
      </c>
      <c r="N1131" s="1">
        <v>0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0</v>
      </c>
      <c r="W1131" s="1">
        <v>4000000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0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0</v>
      </c>
      <c r="AO1131" s="1">
        <v>26241244</v>
      </c>
      <c r="AP1131" s="1">
        <v>1842887</v>
      </c>
      <c r="AQ1131" s="1">
        <v>24398357</v>
      </c>
      <c r="AR1131" s="1">
        <v>5248249</v>
      </c>
      <c r="AS1131" s="1">
        <v>787237</v>
      </c>
      <c r="AT1131" s="1">
        <f t="shared" si="118"/>
        <v>32276730</v>
      </c>
    </row>
    <row r="1132" spans="1:46" x14ac:dyDescent="0.2">
      <c r="A1132" s="1" t="str">
        <f>"01436"</f>
        <v>01436</v>
      </c>
      <c r="B1132" s="1" t="str">
        <f>"محمدصادق"</f>
        <v>محمدصادق</v>
      </c>
      <c r="C1132" s="1" t="str">
        <f>"جعفري"</f>
        <v>جعفري</v>
      </c>
      <c r="D1132" s="1" t="str">
        <f t="shared" si="119"/>
        <v>قراردادي کارگري</v>
      </c>
      <c r="E1132" s="1" t="str">
        <f t="shared" si="120"/>
        <v>پروژه تعميرات نيروگاه بوشهر</v>
      </c>
      <c r="F1132" s="1">
        <v>18966079</v>
      </c>
      <c r="G1132" s="1">
        <v>1472165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1000000</v>
      </c>
      <c r="N1132" s="1">
        <v>0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0</v>
      </c>
      <c r="W1132" s="1">
        <v>4000000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0</v>
      </c>
      <c r="AO1132" s="1">
        <v>25438244</v>
      </c>
      <c r="AP1132" s="1">
        <v>1786677</v>
      </c>
      <c r="AQ1132" s="1">
        <v>23651567</v>
      </c>
      <c r="AR1132" s="1">
        <v>5087649</v>
      </c>
      <c r="AS1132" s="1">
        <v>763147</v>
      </c>
      <c r="AT1132" s="1">
        <f t="shared" si="118"/>
        <v>31289040</v>
      </c>
    </row>
    <row r="1133" spans="1:46" x14ac:dyDescent="0.2">
      <c r="A1133" s="1" t="str">
        <f>"01437"</f>
        <v>01437</v>
      </c>
      <c r="B1133" s="1" t="str">
        <f>"مصطفي"</f>
        <v>مصطفي</v>
      </c>
      <c r="C1133" s="1" t="str">
        <f>"نريماني"</f>
        <v>نريماني</v>
      </c>
      <c r="D1133" s="1" t="str">
        <f t="shared" ref="D1133:D1146" si="121">"قراردادي بهره بردار"</f>
        <v>قراردادي بهره بردار</v>
      </c>
      <c r="E1133" s="1" t="str">
        <f t="shared" si="120"/>
        <v>پروژه تعميرات نيروگاه بوشهر</v>
      </c>
      <c r="F1133" s="1">
        <v>13067327</v>
      </c>
      <c r="G1133" s="1">
        <v>827725</v>
      </c>
      <c r="H1133" s="1">
        <v>0</v>
      </c>
      <c r="I1133" s="1">
        <v>7847948</v>
      </c>
      <c r="J1133" s="1">
        <v>0</v>
      </c>
      <c r="K1133" s="1">
        <v>0</v>
      </c>
      <c r="L1133" s="1">
        <v>0</v>
      </c>
      <c r="M1133" s="1">
        <v>1000000</v>
      </c>
      <c r="N1133" s="1">
        <v>1571803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1387000</v>
      </c>
      <c r="U1133" s="1">
        <v>0</v>
      </c>
      <c r="V1133" s="1">
        <v>2665920</v>
      </c>
      <c r="W1133" s="1">
        <v>1900000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1122717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3049408</v>
      </c>
      <c r="AM1133" s="1">
        <v>0</v>
      </c>
      <c r="AN1133" s="1">
        <v>0</v>
      </c>
      <c r="AO1133" s="1">
        <v>34439848</v>
      </c>
      <c r="AP1133" s="1">
        <v>4928075</v>
      </c>
      <c r="AQ1133" s="1">
        <v>29511773</v>
      </c>
      <c r="AR1133" s="1">
        <v>6887970</v>
      </c>
      <c r="AS1133" s="1">
        <v>1033195</v>
      </c>
      <c r="AT1133" s="1">
        <f t="shared" si="118"/>
        <v>42361013</v>
      </c>
    </row>
    <row r="1134" spans="1:46" x14ac:dyDescent="0.2">
      <c r="A1134" s="1" t="str">
        <f>"01438"</f>
        <v>01438</v>
      </c>
      <c r="B1134" s="1" t="str">
        <f>"عادل"</f>
        <v>عادل</v>
      </c>
      <c r="C1134" s="1" t="str">
        <f>"شامي"</f>
        <v>شامي</v>
      </c>
      <c r="D1134" s="1" t="str">
        <f t="shared" si="121"/>
        <v>قراردادي بهره بردار</v>
      </c>
      <c r="E1134" s="1" t="str">
        <f>"پروژه دفتر مركزي"</f>
        <v>پروژه دفتر مركزي</v>
      </c>
      <c r="F1134" s="1">
        <v>27190555</v>
      </c>
      <c r="G1134" s="1">
        <v>8969340</v>
      </c>
      <c r="H1134" s="1">
        <v>0</v>
      </c>
      <c r="I1134" s="1">
        <v>21664703</v>
      </c>
      <c r="J1134" s="1">
        <v>0</v>
      </c>
      <c r="K1134" s="1">
        <v>0</v>
      </c>
      <c r="L1134" s="1">
        <v>0</v>
      </c>
      <c r="M1134" s="1">
        <v>1000000</v>
      </c>
      <c r="N1134" s="1">
        <v>0</v>
      </c>
      <c r="O1134" s="1">
        <v>0</v>
      </c>
      <c r="P1134" s="1">
        <v>1390000</v>
      </c>
      <c r="Q1134" s="1">
        <v>0</v>
      </c>
      <c r="R1134" s="1">
        <v>0</v>
      </c>
      <c r="S1134" s="1">
        <v>0</v>
      </c>
      <c r="T1134" s="1">
        <v>840000</v>
      </c>
      <c r="U1134" s="1">
        <v>0</v>
      </c>
      <c r="V1134" s="1">
        <v>5777653</v>
      </c>
      <c r="W1134" s="1">
        <v>1900000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3877480</v>
      </c>
      <c r="AD1134" s="1">
        <v>0</v>
      </c>
      <c r="AE1134" s="1">
        <v>0</v>
      </c>
      <c r="AF1134" s="1">
        <v>1516881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5043791</v>
      </c>
      <c r="AM1134" s="1">
        <v>0</v>
      </c>
      <c r="AN1134" s="1">
        <v>0</v>
      </c>
      <c r="AO1134" s="1">
        <v>79170403</v>
      </c>
      <c r="AP1134" s="1">
        <v>29276126</v>
      </c>
      <c r="AQ1134" s="1">
        <v>49894277</v>
      </c>
      <c r="AR1134" s="1">
        <v>15530704</v>
      </c>
      <c r="AS1134" s="1">
        <v>2329606</v>
      </c>
      <c r="AT1134" s="1">
        <f t="shared" si="118"/>
        <v>97030713</v>
      </c>
    </row>
    <row r="1135" spans="1:46" x14ac:dyDescent="0.2">
      <c r="A1135" s="1" t="str">
        <f>"01439"</f>
        <v>01439</v>
      </c>
      <c r="B1135" s="1" t="str">
        <f>"امين"</f>
        <v>امين</v>
      </c>
      <c r="C1135" s="1" t="str">
        <f>"کشاورزي"</f>
        <v>کشاورزي</v>
      </c>
      <c r="D1135" s="1" t="str">
        <f t="shared" si="121"/>
        <v>قراردادي بهره بردار</v>
      </c>
      <c r="E1135" s="1" t="str">
        <f t="shared" ref="E1135:E1146" si="122">"پروژه بهره برداري نيروگاه بوشهر"</f>
        <v>پروژه بهره برداري نيروگاه بوشهر</v>
      </c>
      <c r="F1135" s="1">
        <v>14605175</v>
      </c>
      <c r="G1135" s="1">
        <v>0</v>
      </c>
      <c r="H1135" s="1">
        <v>0</v>
      </c>
      <c r="I1135" s="1">
        <v>7517737</v>
      </c>
      <c r="J1135" s="1">
        <v>0</v>
      </c>
      <c r="K1135" s="1">
        <v>5500000</v>
      </c>
      <c r="L1135" s="1">
        <v>0</v>
      </c>
      <c r="M1135" s="1">
        <v>1000000</v>
      </c>
      <c r="N1135" s="1">
        <v>1926034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1387000</v>
      </c>
      <c r="U1135" s="1">
        <v>0</v>
      </c>
      <c r="V1135" s="1">
        <v>2721314</v>
      </c>
      <c r="W1135" s="1">
        <v>1900000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1375739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1788460</v>
      </c>
      <c r="AM1135" s="1">
        <v>0</v>
      </c>
      <c r="AN1135" s="1">
        <v>0</v>
      </c>
      <c r="AO1135" s="1">
        <v>39721459</v>
      </c>
      <c r="AP1135" s="1">
        <v>11103863</v>
      </c>
      <c r="AQ1135" s="1">
        <v>28617596</v>
      </c>
      <c r="AR1135" s="1">
        <v>7944292</v>
      </c>
      <c r="AS1135" s="1">
        <v>1191644</v>
      </c>
      <c r="AT1135" s="1">
        <f t="shared" si="118"/>
        <v>48857395</v>
      </c>
    </row>
    <row r="1136" spans="1:46" x14ac:dyDescent="0.2">
      <c r="A1136" s="1" t="str">
        <f>"01440"</f>
        <v>01440</v>
      </c>
      <c r="B1136" s="1" t="str">
        <f>"ميثم"</f>
        <v>ميثم</v>
      </c>
      <c r="C1136" s="1" t="str">
        <f>"مظفري زاده"</f>
        <v>مظفري زاده</v>
      </c>
      <c r="D1136" s="1" t="str">
        <f t="shared" si="121"/>
        <v>قراردادي بهره بردار</v>
      </c>
      <c r="E1136" s="1" t="str">
        <f t="shared" si="122"/>
        <v>پروژه بهره برداري نيروگاه بوشهر</v>
      </c>
      <c r="F1136" s="1">
        <v>13757387</v>
      </c>
      <c r="G1136" s="1">
        <v>3667425</v>
      </c>
      <c r="H1136" s="1">
        <v>0</v>
      </c>
      <c r="I1136" s="1">
        <v>6447077</v>
      </c>
      <c r="J1136" s="1">
        <v>0</v>
      </c>
      <c r="K1136" s="1">
        <v>5000000</v>
      </c>
      <c r="L1136" s="1">
        <v>0</v>
      </c>
      <c r="M1136" s="1">
        <v>1000000</v>
      </c>
      <c r="N1136" s="1">
        <v>1813324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1387000</v>
      </c>
      <c r="U1136" s="1">
        <v>0</v>
      </c>
      <c r="V1136" s="1">
        <v>2486730</v>
      </c>
      <c r="W1136" s="1">
        <v>1900000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1295232</v>
      </c>
      <c r="AF1136" s="1">
        <v>1516881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1554278</v>
      </c>
      <c r="AM1136" s="1">
        <v>0</v>
      </c>
      <c r="AN1136" s="1">
        <v>0</v>
      </c>
      <c r="AO1136" s="1">
        <v>41825334</v>
      </c>
      <c r="AP1136" s="1">
        <v>6999266</v>
      </c>
      <c r="AQ1136" s="1">
        <v>34826068</v>
      </c>
      <c r="AR1136" s="1">
        <v>8061691</v>
      </c>
      <c r="AS1136" s="1">
        <v>1209254</v>
      </c>
      <c r="AT1136" s="1">
        <f t="shared" si="118"/>
        <v>51096279</v>
      </c>
    </row>
    <row r="1137" spans="1:46" x14ac:dyDescent="0.2">
      <c r="A1137" s="1" t="str">
        <f>"01441"</f>
        <v>01441</v>
      </c>
      <c r="B1137" s="1" t="str">
        <f>"رضا"</f>
        <v>رضا</v>
      </c>
      <c r="C1137" s="1" t="str">
        <f>"اکبري"</f>
        <v>اکبري</v>
      </c>
      <c r="D1137" s="1" t="str">
        <f t="shared" si="121"/>
        <v>قراردادي بهره بردار</v>
      </c>
      <c r="E1137" s="1" t="str">
        <f t="shared" si="122"/>
        <v>پروژه بهره برداري نيروگاه بوشهر</v>
      </c>
      <c r="F1137" s="1">
        <v>13242580</v>
      </c>
      <c r="G1137" s="1">
        <v>1291255</v>
      </c>
      <c r="H1137" s="1">
        <v>0</v>
      </c>
      <c r="I1137" s="1">
        <v>6322757</v>
      </c>
      <c r="J1137" s="1">
        <v>0</v>
      </c>
      <c r="K1137" s="1">
        <v>5500000</v>
      </c>
      <c r="L1137" s="1">
        <v>0</v>
      </c>
      <c r="M1137" s="1">
        <v>1000000</v>
      </c>
      <c r="N1137" s="1">
        <v>1633142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1387000</v>
      </c>
      <c r="U1137" s="1">
        <v>0</v>
      </c>
      <c r="V1137" s="1">
        <v>2376485</v>
      </c>
      <c r="W1137" s="1">
        <v>1900000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1166530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1399836</v>
      </c>
      <c r="AM1137" s="1">
        <v>0</v>
      </c>
      <c r="AN1137" s="1">
        <v>0</v>
      </c>
      <c r="AO1137" s="1">
        <v>37219585</v>
      </c>
      <c r="AP1137" s="1">
        <v>2744092</v>
      </c>
      <c r="AQ1137" s="1">
        <v>34475493</v>
      </c>
      <c r="AR1137" s="1">
        <v>7443917</v>
      </c>
      <c r="AS1137" s="1">
        <v>1116588</v>
      </c>
      <c r="AT1137" s="1">
        <f t="shared" si="118"/>
        <v>45780090</v>
      </c>
    </row>
    <row r="1138" spans="1:46" x14ac:dyDescent="0.2">
      <c r="A1138" s="1" t="str">
        <f>"01442"</f>
        <v>01442</v>
      </c>
      <c r="B1138" s="1" t="str">
        <f>"سيد حسين"</f>
        <v>سيد حسين</v>
      </c>
      <c r="C1138" s="1" t="str">
        <f>"امامي بهبهاني"</f>
        <v>امامي بهبهاني</v>
      </c>
      <c r="D1138" s="1" t="str">
        <f t="shared" si="121"/>
        <v>قراردادي بهره بردار</v>
      </c>
      <c r="E1138" s="1" t="str">
        <f t="shared" si="122"/>
        <v>پروژه بهره برداري نيروگاه بوشهر</v>
      </c>
      <c r="F1138" s="1">
        <v>13376211</v>
      </c>
      <c r="G1138" s="1">
        <v>1310821</v>
      </c>
      <c r="H1138" s="1">
        <v>0</v>
      </c>
      <c r="I1138" s="1">
        <v>6428952</v>
      </c>
      <c r="J1138" s="1">
        <v>0</v>
      </c>
      <c r="K1138" s="1">
        <v>4125000</v>
      </c>
      <c r="L1138" s="1">
        <v>0</v>
      </c>
      <c r="M1138" s="1">
        <v>1000000</v>
      </c>
      <c r="N1138" s="1">
        <v>1679913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1387000</v>
      </c>
      <c r="U1138" s="1">
        <v>0</v>
      </c>
      <c r="V1138" s="1">
        <v>2412493</v>
      </c>
      <c r="W1138" s="1">
        <v>1900000</v>
      </c>
      <c r="X1138" s="1">
        <v>0</v>
      </c>
      <c r="Y1138" s="1">
        <v>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1199938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1439925</v>
      </c>
      <c r="AM1138" s="1">
        <v>0</v>
      </c>
      <c r="AN1138" s="1">
        <v>0</v>
      </c>
      <c r="AO1138" s="1">
        <v>36260253</v>
      </c>
      <c r="AP1138" s="1">
        <v>2587722</v>
      </c>
      <c r="AQ1138" s="1">
        <v>33672531</v>
      </c>
      <c r="AR1138" s="1">
        <v>7252051</v>
      </c>
      <c r="AS1138" s="1">
        <v>1087808</v>
      </c>
      <c r="AT1138" s="1">
        <f t="shared" si="118"/>
        <v>44600112</v>
      </c>
    </row>
    <row r="1139" spans="1:46" x14ac:dyDescent="0.2">
      <c r="A1139" s="1" t="str">
        <f>"01443"</f>
        <v>01443</v>
      </c>
      <c r="B1139" s="1" t="str">
        <f>"فرشاد"</f>
        <v>فرشاد</v>
      </c>
      <c r="C1139" s="1" t="str">
        <f>"اميري"</f>
        <v>اميري</v>
      </c>
      <c r="D1139" s="1" t="str">
        <f t="shared" si="121"/>
        <v>قراردادي بهره بردار</v>
      </c>
      <c r="E1139" s="1" t="str">
        <f t="shared" si="122"/>
        <v>پروژه بهره برداري نيروگاه بوشهر</v>
      </c>
      <c r="F1139" s="1">
        <v>13260105</v>
      </c>
      <c r="G1139" s="1">
        <v>1293341</v>
      </c>
      <c r="H1139" s="1">
        <v>0</v>
      </c>
      <c r="I1139" s="1">
        <v>6327838</v>
      </c>
      <c r="J1139" s="1">
        <v>0</v>
      </c>
      <c r="K1139" s="1">
        <v>4125000</v>
      </c>
      <c r="L1139" s="1">
        <v>0</v>
      </c>
      <c r="M1139" s="1">
        <v>1000000</v>
      </c>
      <c r="N1139" s="1">
        <v>1639276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1387000</v>
      </c>
      <c r="U1139" s="1">
        <v>0</v>
      </c>
      <c r="V1139" s="1">
        <v>2380323</v>
      </c>
      <c r="W1139" s="1">
        <v>1900000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1170911</v>
      </c>
      <c r="AF1139" s="1">
        <v>0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1405094</v>
      </c>
      <c r="AM1139" s="1">
        <v>0</v>
      </c>
      <c r="AN1139" s="1">
        <v>0</v>
      </c>
      <c r="AO1139" s="1">
        <v>35888888</v>
      </c>
      <c r="AP1139" s="1">
        <v>2527189</v>
      </c>
      <c r="AQ1139" s="1">
        <v>33361699</v>
      </c>
      <c r="AR1139" s="1">
        <v>7177778</v>
      </c>
      <c r="AS1139" s="1">
        <v>1076667</v>
      </c>
      <c r="AT1139" s="1">
        <f t="shared" si="118"/>
        <v>44143333</v>
      </c>
    </row>
    <row r="1140" spans="1:46" x14ac:dyDescent="0.2">
      <c r="A1140" s="1" t="str">
        <f>"01444"</f>
        <v>01444</v>
      </c>
      <c r="B1140" s="1" t="str">
        <f>"وحيد"</f>
        <v>وحيد</v>
      </c>
      <c r="C1140" s="1" t="str">
        <f>"پاليده"</f>
        <v>پاليده</v>
      </c>
      <c r="D1140" s="1" t="str">
        <f t="shared" si="121"/>
        <v>قراردادي بهره بردار</v>
      </c>
      <c r="E1140" s="1" t="str">
        <f t="shared" si="122"/>
        <v>پروژه بهره برداري نيروگاه بوشهر</v>
      </c>
      <c r="F1140" s="1">
        <v>13439740</v>
      </c>
      <c r="G1140" s="1">
        <v>1321408</v>
      </c>
      <c r="H1140" s="1">
        <v>0</v>
      </c>
      <c r="I1140" s="1">
        <v>6503092</v>
      </c>
      <c r="J1140" s="1">
        <v>0</v>
      </c>
      <c r="K1140" s="1">
        <v>4125000</v>
      </c>
      <c r="L1140" s="1">
        <v>0</v>
      </c>
      <c r="M1140" s="1">
        <v>1000000</v>
      </c>
      <c r="N1140" s="1">
        <v>1702148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1387000</v>
      </c>
      <c r="U1140" s="1">
        <v>0</v>
      </c>
      <c r="V1140" s="1">
        <v>2431979</v>
      </c>
      <c r="W1140" s="1">
        <v>1900000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1215820</v>
      </c>
      <c r="AF1140" s="1">
        <v>0</v>
      </c>
      <c r="AG1140" s="1">
        <v>0</v>
      </c>
      <c r="AH1140" s="1">
        <v>0</v>
      </c>
      <c r="AI1140" s="1">
        <v>0</v>
      </c>
      <c r="AJ1140" s="1">
        <v>0</v>
      </c>
      <c r="AK1140" s="1">
        <v>0</v>
      </c>
      <c r="AL1140" s="1">
        <v>1458984</v>
      </c>
      <c r="AM1140" s="1">
        <v>0</v>
      </c>
      <c r="AN1140" s="1">
        <v>0</v>
      </c>
      <c r="AO1140" s="1">
        <v>36485171</v>
      </c>
      <c r="AP1140" s="1">
        <v>2624383</v>
      </c>
      <c r="AQ1140" s="1">
        <v>33860788</v>
      </c>
      <c r="AR1140" s="1">
        <v>7297034</v>
      </c>
      <c r="AS1140" s="1">
        <v>1094555</v>
      </c>
      <c r="AT1140" s="1">
        <f t="shared" si="118"/>
        <v>44876760</v>
      </c>
    </row>
    <row r="1141" spans="1:46" x14ac:dyDescent="0.2">
      <c r="A1141" s="1" t="str">
        <f>"01445"</f>
        <v>01445</v>
      </c>
      <c r="B1141" s="1" t="str">
        <f>"محسن"</f>
        <v>محسن</v>
      </c>
      <c r="C1141" s="1" t="str">
        <f>"حسيني فرد"</f>
        <v>حسيني فرد</v>
      </c>
      <c r="D1141" s="1" t="str">
        <f t="shared" si="121"/>
        <v>قراردادي بهره بردار</v>
      </c>
      <c r="E1141" s="1" t="str">
        <f t="shared" si="122"/>
        <v>پروژه بهره برداري نيروگاه بوشهر</v>
      </c>
      <c r="F1141" s="1">
        <v>13106759</v>
      </c>
      <c r="G1141" s="1">
        <v>1269443</v>
      </c>
      <c r="H1141" s="1">
        <v>0</v>
      </c>
      <c r="I1141" s="1">
        <v>6179377</v>
      </c>
      <c r="J1141" s="1">
        <v>0</v>
      </c>
      <c r="K1141" s="1">
        <v>4125000</v>
      </c>
      <c r="L1141" s="1">
        <v>0</v>
      </c>
      <c r="M1141" s="1">
        <v>1000000</v>
      </c>
      <c r="N1141" s="1">
        <v>1585605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1387000</v>
      </c>
      <c r="U1141" s="1">
        <v>0</v>
      </c>
      <c r="V1141" s="1">
        <v>2336341</v>
      </c>
      <c r="W1141" s="1">
        <v>1900000</v>
      </c>
      <c r="X1141" s="1">
        <v>0</v>
      </c>
      <c r="Y1141" s="1">
        <v>0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1132575</v>
      </c>
      <c r="AF1141" s="1">
        <v>0</v>
      </c>
      <c r="AG1141" s="1">
        <v>0</v>
      </c>
      <c r="AH1141" s="1">
        <v>0</v>
      </c>
      <c r="AI1141" s="1">
        <v>0</v>
      </c>
      <c r="AJ1141" s="1">
        <v>0</v>
      </c>
      <c r="AK1141" s="1">
        <v>0</v>
      </c>
      <c r="AL1141" s="1">
        <v>1359090</v>
      </c>
      <c r="AM1141" s="1">
        <v>0</v>
      </c>
      <c r="AN1141" s="1">
        <v>0</v>
      </c>
      <c r="AO1141" s="1">
        <v>35381190</v>
      </c>
      <c r="AP1141" s="1">
        <v>2482683</v>
      </c>
      <c r="AQ1141" s="1">
        <v>32898507</v>
      </c>
      <c r="AR1141" s="1">
        <v>7076238</v>
      </c>
      <c r="AS1141" s="1">
        <v>1061436</v>
      </c>
      <c r="AT1141" s="1">
        <f t="shared" si="118"/>
        <v>43518864</v>
      </c>
    </row>
    <row r="1142" spans="1:46" x14ac:dyDescent="0.2">
      <c r="A1142" s="1" t="str">
        <f>"01447"</f>
        <v>01447</v>
      </c>
      <c r="B1142" s="1" t="str">
        <f>"سعيد"</f>
        <v>سعيد</v>
      </c>
      <c r="C1142" s="1" t="str">
        <f>"علي عسگري"</f>
        <v>علي عسگري</v>
      </c>
      <c r="D1142" s="1" t="str">
        <f t="shared" si="121"/>
        <v>قراردادي بهره بردار</v>
      </c>
      <c r="E1142" s="1" t="str">
        <f t="shared" si="122"/>
        <v>پروژه بهره برداري نيروگاه بوشهر</v>
      </c>
      <c r="F1142" s="1">
        <v>18966079</v>
      </c>
      <c r="G1142" s="1">
        <v>936833</v>
      </c>
      <c r="H1142" s="1">
        <v>0</v>
      </c>
      <c r="I1142" s="1">
        <v>0</v>
      </c>
      <c r="J1142" s="1">
        <v>0</v>
      </c>
      <c r="K1142" s="1">
        <v>3465000</v>
      </c>
      <c r="L1142" s="1">
        <v>0</v>
      </c>
      <c r="M1142" s="1">
        <v>1000000</v>
      </c>
      <c r="N1142" s="1">
        <v>0</v>
      </c>
      <c r="O1142" s="1">
        <v>0</v>
      </c>
      <c r="P1142" s="1">
        <v>0</v>
      </c>
      <c r="Q1142" s="1">
        <v>0</v>
      </c>
      <c r="R1142" s="1">
        <v>6230070</v>
      </c>
      <c r="S1142" s="1">
        <v>0</v>
      </c>
      <c r="T1142" s="1">
        <v>1387000</v>
      </c>
      <c r="U1142" s="1">
        <v>0</v>
      </c>
      <c r="V1142" s="1">
        <v>0</v>
      </c>
      <c r="W1142" s="1">
        <v>4000000</v>
      </c>
      <c r="X1142" s="1">
        <v>0</v>
      </c>
      <c r="Y1142" s="1">
        <v>0</v>
      </c>
      <c r="Z1142" s="1">
        <v>0</v>
      </c>
      <c r="AA1142" s="1">
        <v>0</v>
      </c>
      <c r="AB1142" s="1">
        <v>0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0</v>
      </c>
      <c r="AI1142" s="1">
        <v>0</v>
      </c>
      <c r="AJ1142" s="1">
        <v>0</v>
      </c>
      <c r="AK1142" s="1">
        <v>0</v>
      </c>
      <c r="AL1142" s="1">
        <v>0</v>
      </c>
      <c r="AM1142" s="1">
        <v>0</v>
      </c>
      <c r="AN1142" s="1">
        <v>0</v>
      </c>
      <c r="AO1142" s="1">
        <v>35984982</v>
      </c>
      <c r="AP1142" s="1">
        <v>2088844</v>
      </c>
      <c r="AQ1142" s="1">
        <v>33896138</v>
      </c>
      <c r="AR1142" s="1">
        <v>5950982</v>
      </c>
      <c r="AS1142" s="1">
        <v>892647</v>
      </c>
      <c r="AT1142" s="1">
        <f t="shared" si="118"/>
        <v>42828611</v>
      </c>
    </row>
    <row r="1143" spans="1:46" x14ac:dyDescent="0.2">
      <c r="A1143" s="1" t="str">
        <f>"01448"</f>
        <v>01448</v>
      </c>
      <c r="B1143" s="1" t="str">
        <f>"سعيد"</f>
        <v>سعيد</v>
      </c>
      <c r="C1143" s="1" t="str">
        <f>"قائدي قره ميرشاملو"</f>
        <v>قائدي قره ميرشاملو</v>
      </c>
      <c r="D1143" s="1" t="str">
        <f t="shared" si="121"/>
        <v>قراردادي بهره بردار</v>
      </c>
      <c r="E1143" s="1" t="str">
        <f t="shared" si="122"/>
        <v>پروژه بهره برداري نيروگاه بوشهر</v>
      </c>
      <c r="F1143" s="1">
        <v>18966079</v>
      </c>
      <c r="G1143" s="1">
        <v>936833</v>
      </c>
      <c r="H1143" s="1">
        <v>0</v>
      </c>
      <c r="I1143" s="1">
        <v>0</v>
      </c>
      <c r="J1143" s="1">
        <v>0</v>
      </c>
      <c r="K1143" s="1">
        <v>3465000</v>
      </c>
      <c r="L1143" s="1">
        <v>0</v>
      </c>
      <c r="M1143" s="1">
        <v>1000000</v>
      </c>
      <c r="N1143" s="1">
        <v>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1387000</v>
      </c>
      <c r="U1143" s="1">
        <v>0</v>
      </c>
      <c r="V1143" s="1">
        <v>0</v>
      </c>
      <c r="W1143" s="1">
        <v>4000000</v>
      </c>
      <c r="X1143" s="1">
        <v>0</v>
      </c>
      <c r="Y1143" s="1">
        <v>0</v>
      </c>
      <c r="Z1143" s="1">
        <v>0</v>
      </c>
      <c r="AA1143" s="1">
        <v>0</v>
      </c>
      <c r="AB1143" s="1">
        <v>0</v>
      </c>
      <c r="AC1143" s="1">
        <v>0</v>
      </c>
      <c r="AD1143" s="1">
        <v>0</v>
      </c>
      <c r="AE1143" s="1">
        <v>0</v>
      </c>
      <c r="AF1143" s="1">
        <v>0</v>
      </c>
      <c r="AG1143" s="1">
        <v>0</v>
      </c>
      <c r="AH1143" s="1">
        <v>0</v>
      </c>
      <c r="AI1143" s="1">
        <v>0</v>
      </c>
      <c r="AJ1143" s="1">
        <v>0</v>
      </c>
      <c r="AK1143" s="1">
        <v>0</v>
      </c>
      <c r="AL1143" s="1">
        <v>0</v>
      </c>
      <c r="AM1143" s="1">
        <v>0</v>
      </c>
      <c r="AN1143" s="1">
        <v>0</v>
      </c>
      <c r="AO1143" s="1">
        <v>29754912</v>
      </c>
      <c r="AP1143" s="1">
        <v>2088844</v>
      </c>
      <c r="AQ1143" s="1">
        <v>27666068</v>
      </c>
      <c r="AR1143" s="1">
        <v>5950982</v>
      </c>
      <c r="AS1143" s="1">
        <v>892647</v>
      </c>
      <c r="AT1143" s="1">
        <f t="shared" si="118"/>
        <v>36598541</v>
      </c>
    </row>
    <row r="1144" spans="1:46" x14ac:dyDescent="0.2">
      <c r="A1144" s="1" t="str">
        <f>"01449"</f>
        <v>01449</v>
      </c>
      <c r="B1144" s="1" t="str">
        <f>"عبداله"</f>
        <v>عبداله</v>
      </c>
      <c r="C1144" s="1" t="str">
        <f>"نگهبان"</f>
        <v>نگهبان</v>
      </c>
      <c r="D1144" s="1" t="str">
        <f t="shared" si="121"/>
        <v>قراردادي بهره بردار</v>
      </c>
      <c r="E1144" s="1" t="str">
        <f t="shared" si="122"/>
        <v>پروژه بهره برداري نيروگاه بوشهر</v>
      </c>
      <c r="F1144" s="1">
        <v>11860269</v>
      </c>
      <c r="G1144" s="1">
        <v>1086758</v>
      </c>
      <c r="H1144" s="1">
        <v>0</v>
      </c>
      <c r="I1144" s="1">
        <v>5185494</v>
      </c>
      <c r="J1144" s="1">
        <v>0</v>
      </c>
      <c r="K1144" s="1">
        <v>4125000</v>
      </c>
      <c r="L1144" s="1">
        <v>0</v>
      </c>
      <c r="M1144" s="1">
        <v>1000000</v>
      </c>
      <c r="N1144" s="1">
        <v>1149333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1387000</v>
      </c>
      <c r="U1144" s="1">
        <v>0</v>
      </c>
      <c r="V1144" s="1">
        <v>2000119</v>
      </c>
      <c r="W1144" s="1">
        <v>1900000</v>
      </c>
      <c r="X1144" s="1">
        <v>0</v>
      </c>
      <c r="Y1144" s="1">
        <v>0</v>
      </c>
      <c r="Z1144" s="1">
        <v>0</v>
      </c>
      <c r="AA1144" s="1">
        <v>0</v>
      </c>
      <c r="AB1144" s="1">
        <v>0</v>
      </c>
      <c r="AC1144" s="1">
        <v>0</v>
      </c>
      <c r="AD1144" s="1">
        <v>0</v>
      </c>
      <c r="AE1144" s="1">
        <v>820952</v>
      </c>
      <c r="AF1144" s="1">
        <v>0</v>
      </c>
      <c r="AG1144" s="1">
        <v>0</v>
      </c>
      <c r="AH1144" s="1">
        <v>0</v>
      </c>
      <c r="AI1144" s="1">
        <v>0</v>
      </c>
      <c r="AJ1144" s="1">
        <v>0</v>
      </c>
      <c r="AK1144" s="1">
        <v>0</v>
      </c>
      <c r="AL1144" s="1">
        <v>985143</v>
      </c>
      <c r="AM1144" s="1">
        <v>0</v>
      </c>
      <c r="AN1144" s="1">
        <v>0</v>
      </c>
      <c r="AO1144" s="1">
        <v>31500068</v>
      </c>
      <c r="AP1144" s="1">
        <v>2211005</v>
      </c>
      <c r="AQ1144" s="1">
        <v>29289063</v>
      </c>
      <c r="AR1144" s="1">
        <v>6300014</v>
      </c>
      <c r="AS1144" s="1">
        <v>945002</v>
      </c>
      <c r="AT1144" s="1">
        <f t="shared" si="118"/>
        <v>38745084</v>
      </c>
    </row>
    <row r="1145" spans="1:46" x14ac:dyDescent="0.2">
      <c r="A1145" s="1" t="str">
        <f>"01450"</f>
        <v>01450</v>
      </c>
      <c r="B1145" s="1" t="str">
        <f>"فردين"</f>
        <v>فردين</v>
      </c>
      <c r="C1145" s="1" t="str">
        <f>"نوروزي طيبي"</f>
        <v>نوروزي طيبي</v>
      </c>
      <c r="D1145" s="1" t="str">
        <f t="shared" si="121"/>
        <v>قراردادي بهره بردار</v>
      </c>
      <c r="E1145" s="1" t="str">
        <f t="shared" si="122"/>
        <v>پروژه بهره برداري نيروگاه بوشهر</v>
      </c>
      <c r="F1145" s="1">
        <v>18966079</v>
      </c>
      <c r="G1145" s="1">
        <v>936833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1000000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1387000</v>
      </c>
      <c r="U1145" s="1">
        <v>0</v>
      </c>
      <c r="V1145" s="1">
        <v>0</v>
      </c>
      <c r="W1145" s="1">
        <v>4000000</v>
      </c>
      <c r="X1145" s="1">
        <v>0</v>
      </c>
      <c r="Y1145" s="1">
        <v>0</v>
      </c>
      <c r="Z1145" s="1">
        <v>0</v>
      </c>
      <c r="AA1145" s="1">
        <v>0</v>
      </c>
      <c r="AB1145" s="1">
        <v>0</v>
      </c>
      <c r="AC1145" s="1">
        <v>0</v>
      </c>
      <c r="AD1145" s="1">
        <v>0</v>
      </c>
      <c r="AE1145" s="1">
        <v>0</v>
      </c>
      <c r="AF1145" s="1">
        <v>0</v>
      </c>
      <c r="AG1145" s="1">
        <v>0</v>
      </c>
      <c r="AH1145" s="1">
        <v>0</v>
      </c>
      <c r="AI1145" s="1">
        <v>0</v>
      </c>
      <c r="AJ1145" s="1">
        <v>0</v>
      </c>
      <c r="AK1145" s="1">
        <v>0</v>
      </c>
      <c r="AL1145" s="1">
        <v>0</v>
      </c>
      <c r="AM1145" s="1">
        <v>0</v>
      </c>
      <c r="AN1145" s="1">
        <v>0</v>
      </c>
      <c r="AO1145" s="1">
        <v>26289912</v>
      </c>
      <c r="AP1145" s="1">
        <v>2496294</v>
      </c>
      <c r="AQ1145" s="1">
        <v>23793618</v>
      </c>
      <c r="AR1145" s="1">
        <v>5257982</v>
      </c>
      <c r="AS1145" s="1">
        <v>788697</v>
      </c>
      <c r="AT1145" s="1">
        <f t="shared" si="118"/>
        <v>32336591</v>
      </c>
    </row>
    <row r="1146" spans="1:46" x14ac:dyDescent="0.2">
      <c r="A1146" s="1" t="str">
        <f>"01451"</f>
        <v>01451</v>
      </c>
      <c r="B1146" s="1" t="str">
        <f>"حميدرضا"</f>
        <v>حميدرضا</v>
      </c>
      <c r="C1146" s="1" t="str">
        <f>"نوروزي"</f>
        <v>نوروزي</v>
      </c>
      <c r="D1146" s="1" t="str">
        <f t="shared" si="121"/>
        <v>قراردادي بهره بردار</v>
      </c>
      <c r="E1146" s="1" t="str">
        <f t="shared" si="122"/>
        <v>پروژه بهره برداري نيروگاه بوشهر</v>
      </c>
      <c r="F1146" s="1">
        <v>18966079</v>
      </c>
      <c r="G1146" s="1">
        <v>1873665</v>
      </c>
      <c r="H1146" s="1">
        <v>0</v>
      </c>
      <c r="I1146" s="1">
        <v>0</v>
      </c>
      <c r="J1146" s="1">
        <v>0</v>
      </c>
      <c r="K1146" s="1">
        <v>0</v>
      </c>
      <c r="L1146" s="1">
        <v>0</v>
      </c>
      <c r="M1146" s="1">
        <v>1000000</v>
      </c>
      <c r="N1146" s="1">
        <v>0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1387000</v>
      </c>
      <c r="U1146" s="1">
        <v>0</v>
      </c>
      <c r="V1146" s="1">
        <v>0</v>
      </c>
      <c r="W1146" s="1">
        <v>4000000</v>
      </c>
      <c r="X1146" s="1">
        <v>0</v>
      </c>
      <c r="Y1146" s="1">
        <v>0</v>
      </c>
      <c r="Z1146" s="1">
        <v>0</v>
      </c>
      <c r="AA1146" s="1">
        <v>0</v>
      </c>
      <c r="AB1146" s="1">
        <v>0</v>
      </c>
      <c r="AC1146" s="1">
        <v>0</v>
      </c>
      <c r="AD1146" s="1">
        <v>0</v>
      </c>
      <c r="AE1146" s="1">
        <v>0</v>
      </c>
      <c r="AF1146" s="1">
        <v>0</v>
      </c>
      <c r="AG1146" s="1">
        <v>0</v>
      </c>
      <c r="AH1146" s="1">
        <v>0</v>
      </c>
      <c r="AI1146" s="1">
        <v>0</v>
      </c>
      <c r="AJ1146" s="1">
        <v>0</v>
      </c>
      <c r="AK1146" s="1">
        <v>0</v>
      </c>
      <c r="AL1146" s="1">
        <v>0</v>
      </c>
      <c r="AM1146" s="1">
        <v>0</v>
      </c>
      <c r="AN1146" s="1">
        <v>0</v>
      </c>
      <c r="AO1146" s="1">
        <v>27226744</v>
      </c>
      <c r="AP1146" s="1">
        <v>1911872</v>
      </c>
      <c r="AQ1146" s="1">
        <v>25314872</v>
      </c>
      <c r="AR1146" s="1">
        <v>5445349</v>
      </c>
      <c r="AS1146" s="1">
        <v>816802</v>
      </c>
      <c r="AT1146" s="1">
        <f t="shared" si="118"/>
        <v>33488895</v>
      </c>
    </row>
  </sheetData>
  <sortState ref="A2:BC1146">
    <sortCondition ref="A2:A1146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9901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</dc:creator>
  <cp:lastModifiedBy>admin3</cp:lastModifiedBy>
  <dcterms:created xsi:type="dcterms:W3CDTF">2020-05-04T05:14:09Z</dcterms:created>
  <dcterms:modified xsi:type="dcterms:W3CDTF">2020-05-04T06:26:59Z</dcterms:modified>
</cp:coreProperties>
</file>