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12015" activeTab="5"/>
  </bookViews>
  <sheets>
    <sheet name="ابزارآلات" sheetId="1" r:id="rId1"/>
    <sheet name="مصرفی" sheetId="2" r:id="rId2"/>
    <sheet name="ملزومات " sheetId="3" r:id="rId3"/>
    <sheet name="قطعات یدکی" sheetId="4" r:id="rId4"/>
    <sheet name="اموال" sheetId="5" r:id="rId5"/>
    <sheet name="جمع کل" sheetId="6" r:id="rId6"/>
  </sheets>
  <calcPr calcId="144525"/>
</workbook>
</file>

<file path=xl/calcChain.xml><?xml version="1.0" encoding="utf-8"?>
<calcChain xmlns="http://schemas.openxmlformats.org/spreadsheetml/2006/main">
  <c r="B8" i="6" l="1"/>
  <c r="H220" i="2"/>
  <c r="H24" i="5"/>
  <c r="H26" i="4"/>
  <c r="H227" i="3"/>
  <c r="C943" i="1" l="1"/>
  <c r="E430" i="1"/>
  <c r="C430" i="1"/>
  <c r="H23" i="5" l="1"/>
  <c r="E23" i="5"/>
  <c r="D23" i="5"/>
  <c r="C23" i="5"/>
  <c r="B23" i="5"/>
  <c r="H22" i="5"/>
  <c r="E22" i="5"/>
  <c r="D22" i="5"/>
  <c r="C22" i="5"/>
  <c r="B22" i="5"/>
  <c r="H21" i="5"/>
  <c r="E21" i="5"/>
  <c r="D21" i="5"/>
  <c r="C21" i="5"/>
  <c r="B21" i="5"/>
  <c r="H20" i="5"/>
  <c r="E20" i="5"/>
  <c r="D20" i="5"/>
  <c r="C20" i="5"/>
  <c r="B20" i="5"/>
  <c r="H19" i="5"/>
  <c r="E19" i="5"/>
  <c r="D19" i="5"/>
  <c r="C19" i="5"/>
  <c r="B19" i="5"/>
  <c r="H18" i="5"/>
  <c r="E18" i="5"/>
  <c r="D18" i="5"/>
  <c r="C18" i="5"/>
  <c r="B18" i="5"/>
  <c r="H17" i="5"/>
  <c r="E17" i="5"/>
  <c r="D17" i="5"/>
  <c r="C17" i="5"/>
  <c r="B17" i="5"/>
  <c r="H16" i="5"/>
  <c r="E16" i="5"/>
  <c r="D16" i="5"/>
  <c r="C16" i="5"/>
  <c r="B16" i="5"/>
  <c r="H15" i="5"/>
  <c r="E15" i="5"/>
  <c r="D15" i="5"/>
  <c r="C15" i="5"/>
  <c r="B15" i="5"/>
  <c r="H14" i="5"/>
  <c r="E14" i="5"/>
  <c r="D14" i="5"/>
  <c r="C14" i="5"/>
  <c r="B14" i="5"/>
  <c r="H13" i="5"/>
  <c r="E13" i="5"/>
  <c r="D13" i="5"/>
  <c r="C13" i="5"/>
  <c r="B13" i="5"/>
  <c r="H12" i="5"/>
  <c r="E12" i="5"/>
  <c r="D12" i="5"/>
  <c r="C12" i="5"/>
  <c r="B12" i="5"/>
  <c r="H11" i="5"/>
  <c r="E11" i="5"/>
  <c r="D11" i="5"/>
  <c r="C11" i="5"/>
  <c r="B11" i="5"/>
  <c r="H10" i="5"/>
  <c r="E10" i="5"/>
  <c r="D10" i="5"/>
  <c r="C10" i="5"/>
  <c r="B10" i="5"/>
  <c r="H9" i="5"/>
  <c r="E9" i="5"/>
  <c r="D9" i="5"/>
  <c r="C9" i="5"/>
  <c r="B9" i="5"/>
  <c r="H8" i="5"/>
  <c r="E8" i="5"/>
  <c r="D8" i="5"/>
  <c r="C8" i="5"/>
  <c r="B8" i="5"/>
  <c r="H7" i="5"/>
  <c r="E7" i="5"/>
  <c r="D7" i="5"/>
  <c r="C7" i="5"/>
  <c r="B7" i="5"/>
  <c r="H6" i="5"/>
  <c r="E6" i="5"/>
  <c r="D6" i="5"/>
  <c r="C6" i="5"/>
  <c r="B6" i="5"/>
  <c r="H5" i="5"/>
  <c r="E5" i="5"/>
  <c r="D5" i="5"/>
  <c r="C5" i="5"/>
  <c r="B5" i="5"/>
  <c r="H4" i="5"/>
  <c r="E4" i="5"/>
  <c r="D4" i="5"/>
  <c r="C4" i="5"/>
  <c r="B4" i="5"/>
  <c r="H3" i="5"/>
  <c r="E3" i="5"/>
  <c r="D3" i="5"/>
  <c r="C3" i="5"/>
  <c r="B3" i="5"/>
  <c r="H25" i="4" l="1"/>
  <c r="E25" i="4"/>
  <c r="D25" i="4"/>
  <c r="C25" i="4"/>
  <c r="B25" i="4"/>
  <c r="H24" i="4"/>
  <c r="E24" i="4"/>
  <c r="D24" i="4"/>
  <c r="C24" i="4"/>
  <c r="B24" i="4"/>
  <c r="H23" i="4"/>
  <c r="E23" i="4"/>
  <c r="D23" i="4"/>
  <c r="C23" i="4"/>
  <c r="B23" i="4"/>
  <c r="H22" i="4"/>
  <c r="E22" i="4"/>
  <c r="D22" i="4"/>
  <c r="C22" i="4"/>
  <c r="B22" i="4"/>
  <c r="H21" i="4"/>
  <c r="E21" i="4"/>
  <c r="D21" i="4"/>
  <c r="C21" i="4"/>
  <c r="B21" i="4"/>
  <c r="H20" i="4"/>
  <c r="E20" i="4"/>
  <c r="D20" i="4"/>
  <c r="C20" i="4"/>
  <c r="B20" i="4"/>
  <c r="H19" i="4"/>
  <c r="E19" i="4"/>
  <c r="D19" i="4"/>
  <c r="C19" i="4"/>
  <c r="B19" i="4"/>
  <c r="H18" i="4"/>
  <c r="E18" i="4"/>
  <c r="D18" i="4"/>
  <c r="C18" i="4"/>
  <c r="B18" i="4"/>
  <c r="H17" i="4"/>
  <c r="E17" i="4"/>
  <c r="D17" i="4"/>
  <c r="C17" i="4"/>
  <c r="B17" i="4"/>
  <c r="H16" i="4"/>
  <c r="E16" i="4"/>
  <c r="D16" i="4"/>
  <c r="C16" i="4"/>
  <c r="B16" i="4"/>
  <c r="H15" i="4"/>
  <c r="E15" i="4"/>
  <c r="D15" i="4"/>
  <c r="C15" i="4"/>
  <c r="B15" i="4"/>
  <c r="H14" i="4"/>
  <c r="E14" i="4"/>
  <c r="D14" i="4"/>
  <c r="C14" i="4"/>
  <c r="B14" i="4"/>
  <c r="H13" i="4"/>
  <c r="E13" i="4"/>
  <c r="D13" i="4"/>
  <c r="C13" i="4"/>
  <c r="B13" i="4"/>
  <c r="H12" i="4"/>
  <c r="E12" i="4"/>
  <c r="D12" i="4"/>
  <c r="C12" i="4"/>
  <c r="B12" i="4"/>
  <c r="H11" i="4"/>
  <c r="E11" i="4"/>
  <c r="D11" i="4"/>
  <c r="C11" i="4"/>
  <c r="B11" i="4"/>
  <c r="H10" i="4"/>
  <c r="E10" i="4"/>
  <c r="D10" i="4"/>
  <c r="C10" i="4"/>
  <c r="B10" i="4"/>
  <c r="H9" i="4"/>
  <c r="E9" i="4"/>
  <c r="D9" i="4"/>
  <c r="C9" i="4"/>
  <c r="B9" i="4"/>
  <c r="H8" i="4"/>
  <c r="E8" i="4"/>
  <c r="D8" i="4"/>
  <c r="B8" i="4"/>
  <c r="H7" i="4"/>
  <c r="E7" i="4"/>
  <c r="D7" i="4"/>
  <c r="B7" i="4"/>
  <c r="H6" i="4"/>
  <c r="E6" i="4"/>
  <c r="D6" i="4"/>
  <c r="C6" i="4"/>
  <c r="B6" i="4"/>
  <c r="H5" i="4"/>
  <c r="E5" i="4"/>
  <c r="D5" i="4"/>
  <c r="C5" i="4"/>
  <c r="B5" i="4"/>
  <c r="H4" i="4"/>
  <c r="E4" i="4"/>
  <c r="D4" i="4"/>
  <c r="C4" i="4"/>
  <c r="B4" i="4"/>
  <c r="H3" i="4"/>
  <c r="E3" i="4"/>
  <c r="D3" i="4"/>
  <c r="C3" i="4"/>
  <c r="B3" i="4"/>
  <c r="H226" i="3" l="1"/>
  <c r="E226" i="3"/>
  <c r="D226" i="3"/>
  <c r="C226" i="3"/>
  <c r="B226" i="3"/>
  <c r="H225" i="3"/>
  <c r="E225" i="3"/>
  <c r="D225" i="3"/>
  <c r="C225" i="3"/>
  <c r="B225" i="3"/>
  <c r="H224" i="3"/>
  <c r="E224" i="3"/>
  <c r="D224" i="3"/>
  <c r="C224" i="3"/>
  <c r="B224" i="3"/>
  <c r="H223" i="3"/>
  <c r="E223" i="3"/>
  <c r="D223" i="3"/>
  <c r="C223" i="3"/>
  <c r="B223" i="3"/>
  <c r="H222" i="3"/>
  <c r="E222" i="3"/>
  <c r="D222" i="3"/>
  <c r="C222" i="3"/>
  <c r="B222" i="3"/>
  <c r="H221" i="3"/>
  <c r="E221" i="3"/>
  <c r="D221" i="3"/>
  <c r="C221" i="3"/>
  <c r="B221" i="3"/>
  <c r="H220" i="3"/>
  <c r="E220" i="3"/>
  <c r="D220" i="3"/>
  <c r="C220" i="3"/>
  <c r="B220" i="3"/>
  <c r="H219" i="3"/>
  <c r="E219" i="3"/>
  <c r="D219" i="3"/>
  <c r="C219" i="3"/>
  <c r="B219" i="3"/>
  <c r="H218" i="3"/>
  <c r="E218" i="3"/>
  <c r="D218" i="3"/>
  <c r="C218" i="3"/>
  <c r="B218" i="3"/>
  <c r="H217" i="3"/>
  <c r="E217" i="3"/>
  <c r="D217" i="3"/>
  <c r="C217" i="3"/>
  <c r="B217" i="3"/>
  <c r="H216" i="3"/>
  <c r="E216" i="3"/>
  <c r="D216" i="3"/>
  <c r="C216" i="3"/>
  <c r="B216" i="3"/>
  <c r="H215" i="3"/>
  <c r="E215" i="3"/>
  <c r="D215" i="3"/>
  <c r="C215" i="3"/>
  <c r="B215" i="3"/>
  <c r="H214" i="3"/>
  <c r="E214" i="3"/>
  <c r="D214" i="3"/>
  <c r="C214" i="3"/>
  <c r="B214" i="3"/>
  <c r="H213" i="3"/>
  <c r="E213" i="3"/>
  <c r="D213" i="3"/>
  <c r="C213" i="3"/>
  <c r="B213" i="3"/>
  <c r="H212" i="3"/>
  <c r="E212" i="3"/>
  <c r="D212" i="3"/>
  <c r="C212" i="3"/>
  <c r="B212" i="3"/>
  <c r="H211" i="3"/>
  <c r="E211" i="3"/>
  <c r="D211" i="3"/>
  <c r="C211" i="3"/>
  <c r="B211" i="3"/>
  <c r="H210" i="3"/>
  <c r="E210" i="3"/>
  <c r="D210" i="3"/>
  <c r="C210" i="3"/>
  <c r="B210" i="3"/>
  <c r="H209" i="3"/>
  <c r="E209" i="3"/>
  <c r="D209" i="3"/>
  <c r="C209" i="3"/>
  <c r="B209" i="3"/>
  <c r="H208" i="3"/>
  <c r="E208" i="3"/>
  <c r="D208" i="3"/>
  <c r="C208" i="3"/>
  <c r="B208" i="3"/>
  <c r="H207" i="3"/>
  <c r="E207" i="3"/>
  <c r="D207" i="3"/>
  <c r="C207" i="3"/>
  <c r="B207" i="3"/>
  <c r="H206" i="3"/>
  <c r="E206" i="3"/>
  <c r="D206" i="3"/>
  <c r="C206" i="3"/>
  <c r="B206" i="3"/>
  <c r="H205" i="3"/>
  <c r="E205" i="3"/>
  <c r="D205" i="3"/>
  <c r="C205" i="3"/>
  <c r="B205" i="3"/>
  <c r="H204" i="3"/>
  <c r="E204" i="3"/>
  <c r="D204" i="3"/>
  <c r="C204" i="3"/>
  <c r="B204" i="3"/>
  <c r="H203" i="3"/>
  <c r="E203" i="3"/>
  <c r="D203" i="3"/>
  <c r="C203" i="3"/>
  <c r="B203" i="3"/>
  <c r="H202" i="3"/>
  <c r="E202" i="3"/>
  <c r="D202" i="3"/>
  <c r="C202" i="3"/>
  <c r="B202" i="3"/>
  <c r="H201" i="3"/>
  <c r="E201" i="3"/>
  <c r="D201" i="3"/>
  <c r="C201" i="3"/>
  <c r="B201" i="3"/>
  <c r="H200" i="3"/>
  <c r="E200" i="3"/>
  <c r="D200" i="3"/>
  <c r="C200" i="3"/>
  <c r="B200" i="3"/>
  <c r="H199" i="3"/>
  <c r="E199" i="3"/>
  <c r="D199" i="3"/>
  <c r="C199" i="3"/>
  <c r="B199" i="3"/>
  <c r="H198" i="3"/>
  <c r="E198" i="3"/>
  <c r="D198" i="3"/>
  <c r="C198" i="3"/>
  <c r="B198" i="3"/>
  <c r="H197" i="3"/>
  <c r="E197" i="3"/>
  <c r="D197" i="3"/>
  <c r="C197" i="3"/>
  <c r="B197" i="3"/>
  <c r="H196" i="3"/>
  <c r="E196" i="3"/>
  <c r="D196" i="3"/>
  <c r="C196" i="3"/>
  <c r="B196" i="3"/>
  <c r="H195" i="3"/>
  <c r="E195" i="3"/>
  <c r="D195" i="3"/>
  <c r="C195" i="3"/>
  <c r="B195" i="3"/>
  <c r="H194" i="3"/>
  <c r="E194" i="3"/>
  <c r="D194" i="3"/>
  <c r="C194" i="3"/>
  <c r="B194" i="3"/>
  <c r="H193" i="3"/>
  <c r="E193" i="3"/>
  <c r="D193" i="3"/>
  <c r="C193" i="3"/>
  <c r="B193" i="3"/>
  <c r="H192" i="3"/>
  <c r="E192" i="3"/>
  <c r="D192" i="3"/>
  <c r="C192" i="3"/>
  <c r="B192" i="3"/>
  <c r="H191" i="3"/>
  <c r="E191" i="3"/>
  <c r="D191" i="3"/>
  <c r="C191" i="3"/>
  <c r="B191" i="3"/>
  <c r="H190" i="3"/>
  <c r="E190" i="3"/>
  <c r="D190" i="3"/>
  <c r="C190" i="3"/>
  <c r="B190" i="3"/>
  <c r="H189" i="3"/>
  <c r="E189" i="3"/>
  <c r="D189" i="3"/>
  <c r="C189" i="3"/>
  <c r="B189" i="3"/>
  <c r="H188" i="3"/>
  <c r="E188" i="3"/>
  <c r="D188" i="3"/>
  <c r="C188" i="3"/>
  <c r="B188" i="3"/>
  <c r="H187" i="3"/>
  <c r="E187" i="3"/>
  <c r="D187" i="3"/>
  <c r="C187" i="3"/>
  <c r="B187" i="3"/>
  <c r="H186" i="3"/>
  <c r="E186" i="3"/>
  <c r="D186" i="3"/>
  <c r="C186" i="3"/>
  <c r="B186" i="3"/>
  <c r="H185" i="3"/>
  <c r="E185" i="3"/>
  <c r="D185" i="3"/>
  <c r="C185" i="3"/>
  <c r="B185" i="3"/>
  <c r="H184" i="3"/>
  <c r="E184" i="3"/>
  <c r="D184" i="3"/>
  <c r="C184" i="3"/>
  <c r="B184" i="3"/>
  <c r="H183" i="3"/>
  <c r="E183" i="3"/>
  <c r="D183" i="3"/>
  <c r="C183" i="3"/>
  <c r="B183" i="3"/>
  <c r="H182" i="3"/>
  <c r="E182" i="3"/>
  <c r="D182" i="3"/>
  <c r="C182" i="3"/>
  <c r="B182" i="3"/>
  <c r="H181" i="3"/>
  <c r="E181" i="3"/>
  <c r="D181" i="3"/>
  <c r="C181" i="3"/>
  <c r="B181" i="3"/>
  <c r="H180" i="3"/>
  <c r="E180" i="3"/>
  <c r="D180" i="3"/>
  <c r="C180" i="3"/>
  <c r="B180" i="3"/>
  <c r="H179" i="3"/>
  <c r="E179" i="3"/>
  <c r="D179" i="3"/>
  <c r="C179" i="3"/>
  <c r="B179" i="3"/>
  <c r="H178" i="3"/>
  <c r="E178" i="3"/>
  <c r="D178" i="3"/>
  <c r="C178" i="3"/>
  <c r="B178" i="3"/>
  <c r="H177" i="3"/>
  <c r="E177" i="3"/>
  <c r="D177" i="3"/>
  <c r="C177" i="3"/>
  <c r="B177" i="3"/>
  <c r="H176" i="3"/>
  <c r="E176" i="3"/>
  <c r="D176" i="3"/>
  <c r="C176" i="3"/>
  <c r="B176" i="3"/>
  <c r="H175" i="3"/>
  <c r="E175" i="3"/>
  <c r="D175" i="3"/>
  <c r="C175" i="3"/>
  <c r="B175" i="3"/>
  <c r="H174" i="3"/>
  <c r="E174" i="3"/>
  <c r="D174" i="3"/>
  <c r="C174" i="3"/>
  <c r="B174" i="3"/>
  <c r="H173" i="3"/>
  <c r="E173" i="3"/>
  <c r="D173" i="3"/>
  <c r="C173" i="3"/>
  <c r="B173" i="3"/>
  <c r="H172" i="3"/>
  <c r="E172" i="3"/>
  <c r="D172" i="3"/>
  <c r="C172" i="3"/>
  <c r="B172" i="3"/>
  <c r="H171" i="3"/>
  <c r="E171" i="3"/>
  <c r="D171" i="3"/>
  <c r="C171" i="3"/>
  <c r="B171" i="3"/>
  <c r="H170" i="3"/>
  <c r="E170" i="3"/>
  <c r="D170" i="3"/>
  <c r="C170" i="3"/>
  <c r="B170" i="3"/>
  <c r="H169" i="3"/>
  <c r="E169" i="3"/>
  <c r="D169" i="3"/>
  <c r="C169" i="3"/>
  <c r="B169" i="3"/>
  <c r="H168" i="3"/>
  <c r="E168" i="3"/>
  <c r="D168" i="3"/>
  <c r="C168" i="3"/>
  <c r="B168" i="3"/>
  <c r="H167" i="3"/>
  <c r="E167" i="3"/>
  <c r="D167" i="3"/>
  <c r="C167" i="3"/>
  <c r="B167" i="3"/>
  <c r="H166" i="3"/>
  <c r="E166" i="3"/>
  <c r="D166" i="3"/>
  <c r="C166" i="3"/>
  <c r="B166" i="3"/>
  <c r="H165" i="3"/>
  <c r="E165" i="3"/>
  <c r="D165" i="3"/>
  <c r="C165" i="3"/>
  <c r="B165" i="3"/>
  <c r="H164" i="3"/>
  <c r="E164" i="3"/>
  <c r="D164" i="3"/>
  <c r="C164" i="3"/>
  <c r="B164" i="3"/>
  <c r="H163" i="3"/>
  <c r="E163" i="3"/>
  <c r="D163" i="3"/>
  <c r="C163" i="3"/>
  <c r="B163" i="3"/>
  <c r="H162" i="3"/>
  <c r="E162" i="3"/>
  <c r="D162" i="3"/>
  <c r="C162" i="3"/>
  <c r="B162" i="3"/>
  <c r="H161" i="3"/>
  <c r="E161" i="3"/>
  <c r="D161" i="3"/>
  <c r="C161" i="3"/>
  <c r="B161" i="3"/>
  <c r="H160" i="3"/>
  <c r="E160" i="3"/>
  <c r="D160" i="3"/>
  <c r="C160" i="3"/>
  <c r="B160" i="3"/>
  <c r="H159" i="3"/>
  <c r="E159" i="3"/>
  <c r="D159" i="3"/>
  <c r="C159" i="3"/>
  <c r="B159" i="3"/>
  <c r="H158" i="3"/>
  <c r="E158" i="3"/>
  <c r="D158" i="3"/>
  <c r="C158" i="3"/>
  <c r="B158" i="3"/>
  <c r="H157" i="3"/>
  <c r="E157" i="3"/>
  <c r="D157" i="3"/>
  <c r="C157" i="3"/>
  <c r="B157" i="3"/>
  <c r="H156" i="3"/>
  <c r="E156" i="3"/>
  <c r="D156" i="3"/>
  <c r="C156" i="3"/>
  <c r="B156" i="3"/>
  <c r="H155" i="3"/>
  <c r="E155" i="3"/>
  <c r="D155" i="3"/>
  <c r="C155" i="3"/>
  <c r="B155" i="3"/>
  <c r="H154" i="3"/>
  <c r="E154" i="3"/>
  <c r="D154" i="3"/>
  <c r="C154" i="3"/>
  <c r="B154" i="3"/>
  <c r="H153" i="3"/>
  <c r="E153" i="3"/>
  <c r="D153" i="3"/>
  <c r="C153" i="3"/>
  <c r="B153" i="3"/>
  <c r="H152" i="3"/>
  <c r="E152" i="3"/>
  <c r="D152" i="3"/>
  <c r="C152" i="3"/>
  <c r="B152" i="3"/>
  <c r="H151" i="3"/>
  <c r="E151" i="3"/>
  <c r="D151" i="3"/>
  <c r="C151" i="3"/>
  <c r="B151" i="3"/>
  <c r="H150" i="3"/>
  <c r="E150" i="3"/>
  <c r="D150" i="3"/>
  <c r="C150" i="3"/>
  <c r="B150" i="3"/>
  <c r="H149" i="3"/>
  <c r="E149" i="3"/>
  <c r="D149" i="3"/>
  <c r="C149" i="3"/>
  <c r="B149" i="3"/>
  <c r="H148" i="3"/>
  <c r="E148" i="3"/>
  <c r="D148" i="3"/>
  <c r="C148" i="3"/>
  <c r="B148" i="3"/>
  <c r="H147" i="3"/>
  <c r="E147" i="3"/>
  <c r="D147" i="3"/>
  <c r="C147" i="3"/>
  <c r="B147" i="3"/>
  <c r="H146" i="3"/>
  <c r="E146" i="3"/>
  <c r="D146" i="3"/>
  <c r="C146" i="3"/>
  <c r="B146" i="3"/>
  <c r="H145" i="3"/>
  <c r="E145" i="3"/>
  <c r="D145" i="3"/>
  <c r="C145" i="3"/>
  <c r="B145" i="3"/>
  <c r="H144" i="3"/>
  <c r="E144" i="3"/>
  <c r="D144" i="3"/>
  <c r="C144" i="3"/>
  <c r="B144" i="3"/>
  <c r="H143" i="3"/>
  <c r="E143" i="3"/>
  <c r="D143" i="3"/>
  <c r="C143" i="3"/>
  <c r="B143" i="3"/>
  <c r="H142" i="3"/>
  <c r="E142" i="3"/>
  <c r="D142" i="3"/>
  <c r="C142" i="3"/>
  <c r="B142" i="3"/>
  <c r="H141" i="3"/>
  <c r="E141" i="3"/>
  <c r="D141" i="3"/>
  <c r="C141" i="3"/>
  <c r="B141" i="3"/>
  <c r="H140" i="3"/>
  <c r="E140" i="3"/>
  <c r="D140" i="3"/>
  <c r="C140" i="3"/>
  <c r="B140" i="3"/>
  <c r="H139" i="3"/>
  <c r="E139" i="3"/>
  <c r="D139" i="3"/>
  <c r="C139" i="3"/>
  <c r="B139" i="3"/>
  <c r="H138" i="3"/>
  <c r="E138" i="3"/>
  <c r="D138" i="3"/>
  <c r="C138" i="3"/>
  <c r="B138" i="3"/>
  <c r="H137" i="3"/>
  <c r="E137" i="3"/>
  <c r="D137" i="3"/>
  <c r="C137" i="3"/>
  <c r="B137" i="3"/>
  <c r="H136" i="3"/>
  <c r="E136" i="3"/>
  <c r="D136" i="3"/>
  <c r="C136" i="3"/>
  <c r="B136" i="3"/>
  <c r="H135" i="3"/>
  <c r="E135" i="3"/>
  <c r="D135" i="3"/>
  <c r="C135" i="3"/>
  <c r="B135" i="3"/>
  <c r="H134" i="3"/>
  <c r="E134" i="3"/>
  <c r="D134" i="3"/>
  <c r="C134" i="3"/>
  <c r="B134" i="3"/>
  <c r="H133" i="3"/>
  <c r="E133" i="3"/>
  <c r="D133" i="3"/>
  <c r="C133" i="3"/>
  <c r="B133" i="3"/>
  <c r="H132" i="3"/>
  <c r="E132" i="3"/>
  <c r="D132" i="3"/>
  <c r="C132" i="3"/>
  <c r="B132" i="3"/>
  <c r="H131" i="3"/>
  <c r="E131" i="3"/>
  <c r="D131" i="3"/>
  <c r="C131" i="3"/>
  <c r="B131" i="3"/>
  <c r="H130" i="3"/>
  <c r="E130" i="3"/>
  <c r="D130" i="3"/>
  <c r="C130" i="3"/>
  <c r="B130" i="3"/>
  <c r="H129" i="3"/>
  <c r="E129" i="3"/>
  <c r="D129" i="3"/>
  <c r="C129" i="3"/>
  <c r="B129" i="3"/>
  <c r="H128" i="3"/>
  <c r="E128" i="3"/>
  <c r="D128" i="3"/>
  <c r="C128" i="3"/>
  <c r="B128" i="3"/>
  <c r="H127" i="3"/>
  <c r="E127" i="3"/>
  <c r="D127" i="3"/>
  <c r="C127" i="3"/>
  <c r="B127" i="3"/>
  <c r="H126" i="3"/>
  <c r="E126" i="3"/>
  <c r="D126" i="3"/>
  <c r="C126" i="3"/>
  <c r="B126" i="3"/>
  <c r="H125" i="3"/>
  <c r="E125" i="3"/>
  <c r="D125" i="3"/>
  <c r="C125" i="3"/>
  <c r="B125" i="3"/>
  <c r="H124" i="3"/>
  <c r="E124" i="3"/>
  <c r="D124" i="3"/>
  <c r="C124" i="3"/>
  <c r="B124" i="3"/>
  <c r="H123" i="3"/>
  <c r="E123" i="3"/>
  <c r="D123" i="3"/>
  <c r="C123" i="3"/>
  <c r="B123" i="3"/>
  <c r="H122" i="3"/>
  <c r="E122" i="3"/>
  <c r="D122" i="3"/>
  <c r="C122" i="3"/>
  <c r="B122" i="3"/>
  <c r="H121" i="3"/>
  <c r="E121" i="3"/>
  <c r="D121" i="3"/>
  <c r="C121" i="3"/>
  <c r="B121" i="3"/>
  <c r="H120" i="3"/>
  <c r="E120" i="3"/>
  <c r="D120" i="3"/>
  <c r="C120" i="3"/>
  <c r="B120" i="3"/>
  <c r="H119" i="3"/>
  <c r="E119" i="3"/>
  <c r="D119" i="3"/>
  <c r="C119" i="3"/>
  <c r="B119" i="3"/>
  <c r="H118" i="3"/>
  <c r="E118" i="3"/>
  <c r="D118" i="3"/>
  <c r="C118" i="3"/>
  <c r="B118" i="3"/>
  <c r="H117" i="3"/>
  <c r="E117" i="3"/>
  <c r="D117" i="3"/>
  <c r="C117" i="3"/>
  <c r="B117" i="3"/>
  <c r="H116" i="3"/>
  <c r="E116" i="3"/>
  <c r="D116" i="3"/>
  <c r="C116" i="3"/>
  <c r="B116" i="3"/>
  <c r="H115" i="3"/>
  <c r="E115" i="3"/>
  <c r="D115" i="3"/>
  <c r="C115" i="3"/>
  <c r="B115" i="3"/>
  <c r="H114" i="3"/>
  <c r="E114" i="3"/>
  <c r="D114" i="3"/>
  <c r="C114" i="3"/>
  <c r="B114" i="3"/>
  <c r="H113" i="3"/>
  <c r="E113" i="3"/>
  <c r="D113" i="3"/>
  <c r="C113" i="3"/>
  <c r="B113" i="3"/>
  <c r="H112" i="3"/>
  <c r="E112" i="3"/>
  <c r="D112" i="3"/>
  <c r="C112" i="3"/>
  <c r="B112" i="3"/>
  <c r="H111" i="3"/>
  <c r="E111" i="3"/>
  <c r="D111" i="3"/>
  <c r="C111" i="3"/>
  <c r="B111" i="3"/>
  <c r="H110" i="3"/>
  <c r="E110" i="3"/>
  <c r="D110" i="3"/>
  <c r="C110" i="3"/>
  <c r="B110" i="3"/>
  <c r="H109" i="3"/>
  <c r="E109" i="3"/>
  <c r="D109" i="3"/>
  <c r="C109" i="3"/>
  <c r="B109" i="3"/>
  <c r="H108" i="3"/>
  <c r="E108" i="3"/>
  <c r="D108" i="3"/>
  <c r="C108" i="3"/>
  <c r="B108" i="3"/>
  <c r="H107" i="3"/>
  <c r="E107" i="3"/>
  <c r="D107" i="3"/>
  <c r="C107" i="3"/>
  <c r="B107" i="3"/>
  <c r="H106" i="3"/>
  <c r="E106" i="3"/>
  <c r="D106" i="3"/>
  <c r="C106" i="3"/>
  <c r="B106" i="3"/>
  <c r="H105" i="3"/>
  <c r="E105" i="3"/>
  <c r="D105" i="3"/>
  <c r="C105" i="3"/>
  <c r="B105" i="3"/>
  <c r="H104" i="3"/>
  <c r="E104" i="3"/>
  <c r="D104" i="3"/>
  <c r="C104" i="3"/>
  <c r="B104" i="3"/>
  <c r="H103" i="3"/>
  <c r="E103" i="3"/>
  <c r="D103" i="3"/>
  <c r="C103" i="3"/>
  <c r="B103" i="3"/>
  <c r="H102" i="3"/>
  <c r="E102" i="3"/>
  <c r="D102" i="3"/>
  <c r="C102" i="3"/>
  <c r="B102" i="3"/>
  <c r="H101" i="3"/>
  <c r="E101" i="3"/>
  <c r="D101" i="3"/>
  <c r="C101" i="3"/>
  <c r="B101" i="3"/>
  <c r="H100" i="3"/>
  <c r="E100" i="3"/>
  <c r="D100" i="3"/>
  <c r="C100" i="3"/>
  <c r="B100" i="3"/>
  <c r="H99" i="3"/>
  <c r="E99" i="3"/>
  <c r="D99" i="3"/>
  <c r="C99" i="3"/>
  <c r="B99" i="3"/>
  <c r="H98" i="3"/>
  <c r="E98" i="3"/>
  <c r="D98" i="3"/>
  <c r="C98" i="3"/>
  <c r="B98" i="3"/>
  <c r="H97" i="3"/>
  <c r="E97" i="3"/>
  <c r="D97" i="3"/>
  <c r="C97" i="3"/>
  <c r="B97" i="3"/>
  <c r="H96" i="3"/>
  <c r="E96" i="3"/>
  <c r="D96" i="3"/>
  <c r="C96" i="3"/>
  <c r="B96" i="3"/>
  <c r="H95" i="3"/>
  <c r="E95" i="3"/>
  <c r="D95" i="3"/>
  <c r="C95" i="3"/>
  <c r="B95" i="3"/>
  <c r="H94" i="3"/>
  <c r="E94" i="3"/>
  <c r="D94" i="3"/>
  <c r="C94" i="3"/>
  <c r="B94" i="3"/>
  <c r="H93" i="3"/>
  <c r="E93" i="3"/>
  <c r="D93" i="3"/>
  <c r="C93" i="3"/>
  <c r="B93" i="3"/>
  <c r="H92" i="3"/>
  <c r="E92" i="3"/>
  <c r="D92" i="3"/>
  <c r="C92" i="3"/>
  <c r="B92" i="3"/>
  <c r="H91" i="3"/>
  <c r="E91" i="3"/>
  <c r="D91" i="3"/>
  <c r="C91" i="3"/>
  <c r="B91" i="3"/>
  <c r="H90" i="3"/>
  <c r="E90" i="3"/>
  <c r="D90" i="3"/>
  <c r="C90" i="3"/>
  <c r="B90" i="3"/>
  <c r="H89" i="3"/>
  <c r="E89" i="3"/>
  <c r="D89" i="3"/>
  <c r="C89" i="3"/>
  <c r="B89" i="3"/>
  <c r="H88" i="3"/>
  <c r="E88" i="3"/>
  <c r="D88" i="3"/>
  <c r="C88" i="3"/>
  <c r="B88" i="3"/>
  <c r="H87" i="3"/>
  <c r="E87" i="3"/>
  <c r="D87" i="3"/>
  <c r="C87" i="3"/>
  <c r="B87" i="3"/>
  <c r="H86" i="3"/>
  <c r="E86" i="3"/>
  <c r="D86" i="3"/>
  <c r="C86" i="3"/>
  <c r="B86" i="3"/>
  <c r="H85" i="3"/>
  <c r="E85" i="3"/>
  <c r="D85" i="3"/>
  <c r="C85" i="3"/>
  <c r="B85" i="3"/>
  <c r="H84" i="3"/>
  <c r="E84" i="3"/>
  <c r="D84" i="3"/>
  <c r="C84" i="3"/>
  <c r="B84" i="3"/>
  <c r="H83" i="3"/>
  <c r="E83" i="3"/>
  <c r="D83" i="3"/>
  <c r="C83" i="3"/>
  <c r="B83" i="3"/>
  <c r="H82" i="3"/>
  <c r="E82" i="3"/>
  <c r="D82" i="3"/>
  <c r="C82" i="3"/>
  <c r="B82" i="3"/>
  <c r="H81" i="3"/>
  <c r="E81" i="3"/>
  <c r="D81" i="3"/>
  <c r="C81" i="3"/>
  <c r="B81" i="3"/>
  <c r="H80" i="3"/>
  <c r="E80" i="3"/>
  <c r="D80" i="3"/>
  <c r="C80" i="3"/>
  <c r="B80" i="3"/>
  <c r="H79" i="3"/>
  <c r="E79" i="3"/>
  <c r="D79" i="3"/>
  <c r="C79" i="3"/>
  <c r="B79" i="3"/>
  <c r="H78" i="3"/>
  <c r="E78" i="3"/>
  <c r="D78" i="3"/>
  <c r="C78" i="3"/>
  <c r="B78" i="3"/>
  <c r="H77" i="3"/>
  <c r="E77" i="3"/>
  <c r="D77" i="3"/>
  <c r="C77" i="3"/>
  <c r="B77" i="3"/>
  <c r="H76" i="3"/>
  <c r="E76" i="3"/>
  <c r="D76" i="3"/>
  <c r="C76" i="3"/>
  <c r="B76" i="3"/>
  <c r="H75" i="3"/>
  <c r="E75" i="3"/>
  <c r="D75" i="3"/>
  <c r="C75" i="3"/>
  <c r="B75" i="3"/>
  <c r="H74" i="3"/>
  <c r="E74" i="3"/>
  <c r="D74" i="3"/>
  <c r="C74" i="3"/>
  <c r="B74" i="3"/>
  <c r="H73" i="3"/>
  <c r="E73" i="3"/>
  <c r="D73" i="3"/>
  <c r="C73" i="3"/>
  <c r="B73" i="3"/>
  <c r="H72" i="3"/>
  <c r="E72" i="3"/>
  <c r="C72" i="3"/>
  <c r="B72" i="3"/>
  <c r="H71" i="3"/>
  <c r="E71" i="3"/>
  <c r="D71" i="3"/>
  <c r="C71" i="3"/>
  <c r="B71" i="3"/>
  <c r="H70" i="3"/>
  <c r="E70" i="3"/>
  <c r="D70" i="3"/>
  <c r="C70" i="3"/>
  <c r="B70" i="3"/>
  <c r="H69" i="3"/>
  <c r="E69" i="3"/>
  <c r="D69" i="3"/>
  <c r="C69" i="3"/>
  <c r="B69" i="3"/>
  <c r="H68" i="3"/>
  <c r="E68" i="3"/>
  <c r="B68" i="3"/>
  <c r="H67" i="3"/>
  <c r="E67" i="3"/>
  <c r="B67" i="3"/>
  <c r="H66" i="3"/>
  <c r="E66" i="3"/>
  <c r="B66" i="3"/>
  <c r="H65" i="3"/>
  <c r="E65" i="3"/>
  <c r="C65" i="3"/>
  <c r="B65" i="3"/>
  <c r="H64" i="3"/>
  <c r="E64" i="3"/>
  <c r="D64" i="3"/>
  <c r="C64" i="3"/>
  <c r="B64" i="3"/>
  <c r="H63" i="3"/>
  <c r="E63" i="3"/>
  <c r="D63" i="3"/>
  <c r="C63" i="3"/>
  <c r="B63" i="3"/>
  <c r="H62" i="3"/>
  <c r="E62" i="3"/>
  <c r="D62" i="3"/>
  <c r="C62" i="3"/>
  <c r="B62" i="3"/>
  <c r="H61" i="3"/>
  <c r="E61" i="3"/>
  <c r="D61" i="3"/>
  <c r="C61" i="3"/>
  <c r="B61" i="3"/>
  <c r="H60" i="3"/>
  <c r="E60" i="3"/>
  <c r="D60" i="3"/>
  <c r="C60" i="3"/>
  <c r="B60" i="3"/>
  <c r="H59" i="3"/>
  <c r="E59" i="3"/>
  <c r="D59" i="3"/>
  <c r="C59" i="3"/>
  <c r="B59" i="3"/>
  <c r="H58" i="3"/>
  <c r="E58" i="3"/>
  <c r="D58" i="3"/>
  <c r="C58" i="3"/>
  <c r="B58" i="3"/>
  <c r="H57" i="3"/>
  <c r="E57" i="3"/>
  <c r="D57" i="3"/>
  <c r="C57" i="3"/>
  <c r="B57" i="3"/>
  <c r="H56" i="3"/>
  <c r="E56" i="3"/>
  <c r="D56" i="3"/>
  <c r="C56" i="3"/>
  <c r="B56" i="3"/>
  <c r="H55" i="3"/>
  <c r="E55" i="3"/>
  <c r="D55" i="3"/>
  <c r="C55" i="3"/>
  <c r="B55" i="3"/>
  <c r="H54" i="3"/>
  <c r="E54" i="3"/>
  <c r="D54" i="3"/>
  <c r="C54" i="3"/>
  <c r="B54" i="3"/>
  <c r="H53" i="3"/>
  <c r="E53" i="3"/>
  <c r="D53" i="3"/>
  <c r="C53" i="3"/>
  <c r="B53" i="3"/>
  <c r="H52" i="3"/>
  <c r="E52" i="3"/>
  <c r="D52" i="3"/>
  <c r="C52" i="3"/>
  <c r="B52" i="3"/>
  <c r="H51" i="3"/>
  <c r="E51" i="3"/>
  <c r="D51" i="3"/>
  <c r="C51" i="3"/>
  <c r="B51" i="3"/>
  <c r="H50" i="3"/>
  <c r="E50" i="3"/>
  <c r="D50" i="3"/>
  <c r="C50" i="3"/>
  <c r="B50" i="3"/>
  <c r="H49" i="3"/>
  <c r="E49" i="3"/>
  <c r="D49" i="3"/>
  <c r="C49" i="3"/>
  <c r="B49" i="3"/>
  <c r="H48" i="3"/>
  <c r="E48" i="3"/>
  <c r="D48" i="3"/>
  <c r="C48" i="3"/>
  <c r="B48" i="3"/>
  <c r="H47" i="3"/>
  <c r="E47" i="3"/>
  <c r="D47" i="3"/>
  <c r="C47" i="3"/>
  <c r="B47" i="3"/>
  <c r="H46" i="3"/>
  <c r="E46" i="3"/>
  <c r="D46" i="3"/>
  <c r="C46" i="3"/>
  <c r="B46" i="3"/>
  <c r="H45" i="3"/>
  <c r="E45" i="3"/>
  <c r="D45" i="3"/>
  <c r="C45" i="3"/>
  <c r="B45" i="3"/>
  <c r="H44" i="3"/>
  <c r="E44" i="3"/>
  <c r="D44" i="3"/>
  <c r="C44" i="3"/>
  <c r="B44" i="3"/>
  <c r="H43" i="3"/>
  <c r="E43" i="3"/>
  <c r="D43" i="3"/>
  <c r="C43" i="3"/>
  <c r="B43" i="3"/>
  <c r="H42" i="3"/>
  <c r="E42" i="3"/>
  <c r="D42" i="3"/>
  <c r="C42" i="3"/>
  <c r="B42" i="3"/>
  <c r="H41" i="3"/>
  <c r="E41" i="3"/>
  <c r="D41" i="3"/>
  <c r="C41" i="3"/>
  <c r="B41" i="3"/>
  <c r="H40" i="3"/>
  <c r="E40" i="3"/>
  <c r="D40" i="3"/>
  <c r="C40" i="3"/>
  <c r="B40" i="3"/>
  <c r="H39" i="3"/>
  <c r="E39" i="3"/>
  <c r="D39" i="3"/>
  <c r="C39" i="3"/>
  <c r="B39" i="3"/>
  <c r="H38" i="3"/>
  <c r="E38" i="3"/>
  <c r="D38" i="3"/>
  <c r="C38" i="3"/>
  <c r="B38" i="3"/>
  <c r="H37" i="3"/>
  <c r="E37" i="3"/>
  <c r="D37" i="3"/>
  <c r="C37" i="3"/>
  <c r="B37" i="3"/>
  <c r="H36" i="3"/>
  <c r="E36" i="3"/>
  <c r="D36" i="3"/>
  <c r="C36" i="3"/>
  <c r="B36" i="3"/>
  <c r="H35" i="3"/>
  <c r="E35" i="3"/>
  <c r="D35" i="3"/>
  <c r="C35" i="3"/>
  <c r="B35" i="3"/>
  <c r="H34" i="3"/>
  <c r="E34" i="3"/>
  <c r="D34" i="3"/>
  <c r="C34" i="3"/>
  <c r="B34" i="3"/>
  <c r="H33" i="3"/>
  <c r="E33" i="3"/>
  <c r="D33" i="3"/>
  <c r="C33" i="3"/>
  <c r="B33" i="3"/>
  <c r="H32" i="3"/>
  <c r="E32" i="3"/>
  <c r="D32" i="3"/>
  <c r="C32" i="3"/>
  <c r="B32" i="3"/>
  <c r="H31" i="3"/>
  <c r="E31" i="3"/>
  <c r="D31" i="3"/>
  <c r="C31" i="3"/>
  <c r="B31" i="3"/>
  <c r="H30" i="3"/>
  <c r="E30" i="3"/>
  <c r="D30" i="3"/>
  <c r="C30" i="3"/>
  <c r="B30" i="3"/>
  <c r="H29" i="3"/>
  <c r="E29" i="3"/>
  <c r="D29" i="3"/>
  <c r="C29" i="3"/>
  <c r="B29" i="3"/>
  <c r="H28" i="3"/>
  <c r="E28" i="3"/>
  <c r="D28" i="3"/>
  <c r="C28" i="3"/>
  <c r="B28" i="3"/>
  <c r="H27" i="3"/>
  <c r="E27" i="3"/>
  <c r="D27" i="3"/>
  <c r="C27" i="3"/>
  <c r="B27" i="3"/>
  <c r="H26" i="3"/>
  <c r="E26" i="3"/>
  <c r="D26" i="3"/>
  <c r="C26" i="3"/>
  <c r="B26" i="3"/>
  <c r="H25" i="3"/>
  <c r="E25" i="3"/>
  <c r="D25" i="3"/>
  <c r="C25" i="3"/>
  <c r="B25" i="3"/>
  <c r="H24" i="3"/>
  <c r="E24" i="3"/>
  <c r="D24" i="3"/>
  <c r="C24" i="3"/>
  <c r="B24" i="3"/>
  <c r="H23" i="3"/>
  <c r="E23" i="3"/>
  <c r="D23" i="3"/>
  <c r="C23" i="3"/>
  <c r="B23" i="3"/>
  <c r="H22" i="3"/>
  <c r="E22" i="3"/>
  <c r="D22" i="3"/>
  <c r="C22" i="3"/>
  <c r="B22" i="3"/>
  <c r="H21" i="3"/>
  <c r="E21" i="3"/>
  <c r="D21" i="3"/>
  <c r="C21" i="3"/>
  <c r="B21" i="3"/>
  <c r="H20" i="3"/>
  <c r="E20" i="3"/>
  <c r="D20" i="3"/>
  <c r="C20" i="3"/>
  <c r="B20" i="3"/>
  <c r="H19" i="3"/>
  <c r="E19" i="3"/>
  <c r="D19" i="3"/>
  <c r="C19" i="3"/>
  <c r="B19" i="3"/>
  <c r="H18" i="3"/>
  <c r="E18" i="3"/>
  <c r="D18" i="3"/>
  <c r="C18" i="3"/>
  <c r="B18" i="3"/>
  <c r="H17" i="3"/>
  <c r="E17" i="3"/>
  <c r="D17" i="3"/>
  <c r="C17" i="3"/>
  <c r="B17" i="3"/>
  <c r="H16" i="3"/>
  <c r="E16" i="3"/>
  <c r="D16" i="3"/>
  <c r="C16" i="3"/>
  <c r="B16" i="3"/>
  <c r="H15" i="3"/>
  <c r="E15" i="3"/>
  <c r="D15" i="3"/>
  <c r="C15" i="3"/>
  <c r="B15" i="3"/>
  <c r="H14" i="3"/>
  <c r="E14" i="3"/>
  <c r="D14" i="3"/>
  <c r="C14" i="3"/>
  <c r="B14" i="3"/>
  <c r="H13" i="3"/>
  <c r="E13" i="3"/>
  <c r="D13" i="3"/>
  <c r="C13" i="3"/>
  <c r="B13" i="3"/>
  <c r="H12" i="3"/>
  <c r="E12" i="3"/>
  <c r="D12" i="3"/>
  <c r="C12" i="3"/>
  <c r="B12" i="3"/>
  <c r="H11" i="3"/>
  <c r="E11" i="3"/>
  <c r="D11" i="3"/>
  <c r="C11" i="3"/>
  <c r="B11" i="3"/>
  <c r="H10" i="3"/>
  <c r="E10" i="3"/>
  <c r="D10" i="3"/>
  <c r="C10" i="3"/>
  <c r="B10" i="3"/>
  <c r="H9" i="3"/>
  <c r="E9" i="3"/>
  <c r="D9" i="3"/>
  <c r="C9" i="3"/>
  <c r="B9" i="3"/>
  <c r="H8" i="3"/>
  <c r="E8" i="3"/>
  <c r="D8" i="3"/>
  <c r="C8" i="3"/>
  <c r="B8" i="3"/>
  <c r="H7" i="3"/>
  <c r="E7" i="3"/>
  <c r="D7" i="3"/>
  <c r="C7" i="3"/>
  <c r="B7" i="3"/>
  <c r="H6" i="3"/>
  <c r="E6" i="3"/>
  <c r="D6" i="3"/>
  <c r="C6" i="3"/>
  <c r="B6" i="3"/>
  <c r="H5" i="3"/>
  <c r="E5" i="3"/>
  <c r="D5" i="3"/>
  <c r="C5" i="3"/>
  <c r="B5" i="3"/>
  <c r="H4" i="3"/>
  <c r="E4" i="3"/>
  <c r="D4" i="3"/>
  <c r="C4" i="3"/>
  <c r="B4" i="3"/>
  <c r="H3" i="3"/>
  <c r="E3" i="3"/>
  <c r="D3" i="3"/>
  <c r="C3" i="3"/>
  <c r="B3" i="3"/>
  <c r="H219" i="2" l="1"/>
  <c r="E219" i="2"/>
  <c r="D219" i="2"/>
  <c r="C219" i="2"/>
  <c r="B219" i="2"/>
  <c r="H218" i="2"/>
  <c r="E218" i="2"/>
  <c r="D218" i="2"/>
  <c r="C218" i="2"/>
  <c r="B218" i="2"/>
  <c r="H217" i="2"/>
  <c r="E217" i="2"/>
  <c r="D217" i="2"/>
  <c r="C217" i="2"/>
  <c r="B217" i="2"/>
  <c r="H216" i="2"/>
  <c r="E216" i="2"/>
  <c r="D216" i="2"/>
  <c r="C216" i="2"/>
  <c r="B216" i="2"/>
  <c r="H215" i="2"/>
  <c r="E215" i="2"/>
  <c r="D215" i="2"/>
  <c r="C215" i="2"/>
  <c r="B215" i="2"/>
  <c r="H214" i="2"/>
  <c r="E214" i="2"/>
  <c r="D214" i="2"/>
  <c r="C214" i="2"/>
  <c r="B214" i="2"/>
  <c r="H213" i="2"/>
  <c r="E213" i="2"/>
  <c r="D213" i="2"/>
  <c r="C213" i="2"/>
  <c r="B213" i="2"/>
  <c r="H212" i="2"/>
  <c r="E212" i="2"/>
  <c r="D212" i="2"/>
  <c r="C212" i="2"/>
  <c r="B212" i="2"/>
  <c r="H211" i="2"/>
  <c r="E211" i="2"/>
  <c r="D211" i="2"/>
  <c r="C211" i="2"/>
  <c r="B211" i="2"/>
  <c r="H210" i="2"/>
  <c r="E210" i="2"/>
  <c r="D210" i="2"/>
  <c r="C210" i="2"/>
  <c r="B210" i="2"/>
  <c r="H209" i="2"/>
  <c r="E209" i="2"/>
  <c r="D209" i="2"/>
  <c r="C209" i="2"/>
  <c r="B209" i="2"/>
  <c r="H208" i="2"/>
  <c r="E208" i="2"/>
  <c r="D208" i="2"/>
  <c r="C208" i="2"/>
  <c r="B208" i="2"/>
  <c r="H207" i="2"/>
  <c r="E207" i="2"/>
  <c r="D207" i="2"/>
  <c r="C207" i="2"/>
  <c r="B207" i="2"/>
  <c r="H206" i="2"/>
  <c r="E206" i="2"/>
  <c r="D206" i="2"/>
  <c r="C206" i="2"/>
  <c r="B206" i="2"/>
  <c r="H205" i="2"/>
  <c r="E205" i="2"/>
  <c r="D205" i="2"/>
  <c r="C205" i="2"/>
  <c r="B205" i="2"/>
  <c r="H204" i="2"/>
  <c r="E204" i="2"/>
  <c r="D204" i="2"/>
  <c r="C204" i="2"/>
  <c r="B204" i="2"/>
  <c r="H203" i="2"/>
  <c r="E203" i="2"/>
  <c r="D203" i="2"/>
  <c r="C203" i="2"/>
  <c r="B203" i="2"/>
  <c r="H202" i="2"/>
  <c r="E202" i="2"/>
  <c r="D202" i="2"/>
  <c r="C202" i="2"/>
  <c r="B202" i="2"/>
  <c r="H201" i="2"/>
  <c r="E201" i="2"/>
  <c r="D201" i="2"/>
  <c r="C201" i="2"/>
  <c r="B201" i="2"/>
  <c r="H200" i="2"/>
  <c r="E200" i="2"/>
  <c r="D200" i="2"/>
  <c r="C200" i="2"/>
  <c r="B200" i="2"/>
  <c r="H199" i="2"/>
  <c r="E199" i="2"/>
  <c r="D199" i="2"/>
  <c r="C199" i="2"/>
  <c r="B199" i="2"/>
  <c r="H198" i="2"/>
  <c r="E198" i="2"/>
  <c r="D198" i="2"/>
  <c r="C198" i="2"/>
  <c r="B198" i="2"/>
  <c r="H197" i="2"/>
  <c r="E197" i="2"/>
  <c r="D197" i="2"/>
  <c r="C197" i="2"/>
  <c r="B197" i="2"/>
  <c r="H196" i="2"/>
  <c r="E196" i="2"/>
  <c r="D196" i="2"/>
  <c r="C196" i="2"/>
  <c r="B196" i="2"/>
  <c r="H195" i="2"/>
  <c r="E195" i="2"/>
  <c r="D195" i="2"/>
  <c r="C195" i="2"/>
  <c r="B195" i="2"/>
  <c r="H194" i="2"/>
  <c r="E194" i="2"/>
  <c r="D194" i="2"/>
  <c r="C194" i="2"/>
  <c r="B194" i="2"/>
  <c r="H193" i="2"/>
  <c r="E193" i="2"/>
  <c r="D193" i="2"/>
  <c r="C193" i="2"/>
  <c r="B193" i="2"/>
  <c r="H192" i="2"/>
  <c r="E192" i="2"/>
  <c r="D192" i="2"/>
  <c r="C192" i="2"/>
  <c r="B192" i="2"/>
  <c r="H191" i="2"/>
  <c r="E191" i="2"/>
  <c r="D191" i="2"/>
  <c r="C191" i="2"/>
  <c r="B191" i="2"/>
  <c r="H190" i="2"/>
  <c r="E190" i="2"/>
  <c r="D190" i="2"/>
  <c r="C190" i="2"/>
  <c r="B190" i="2"/>
  <c r="H189" i="2"/>
  <c r="E189" i="2"/>
  <c r="D189" i="2"/>
  <c r="C189" i="2"/>
  <c r="B189" i="2"/>
  <c r="H188" i="2"/>
  <c r="E188" i="2"/>
  <c r="D188" i="2"/>
  <c r="C188" i="2"/>
  <c r="B188" i="2"/>
  <c r="H187" i="2"/>
  <c r="E187" i="2"/>
  <c r="D187" i="2"/>
  <c r="C187" i="2"/>
  <c r="B187" i="2"/>
  <c r="H186" i="2"/>
  <c r="E186" i="2"/>
  <c r="D186" i="2"/>
  <c r="C186" i="2"/>
  <c r="B186" i="2"/>
  <c r="H185" i="2"/>
  <c r="E185" i="2"/>
  <c r="D185" i="2"/>
  <c r="C185" i="2"/>
  <c r="B185" i="2"/>
  <c r="H184" i="2"/>
  <c r="E184" i="2"/>
  <c r="D184" i="2"/>
  <c r="C184" i="2"/>
  <c r="B184" i="2"/>
  <c r="H183" i="2"/>
  <c r="E183" i="2"/>
  <c r="D183" i="2"/>
  <c r="C183" i="2"/>
  <c r="B183" i="2"/>
  <c r="H182" i="2"/>
  <c r="E182" i="2"/>
  <c r="D182" i="2"/>
  <c r="C182" i="2"/>
  <c r="B182" i="2"/>
  <c r="H181" i="2"/>
  <c r="E181" i="2"/>
  <c r="D181" i="2"/>
  <c r="C181" i="2"/>
  <c r="B181" i="2"/>
  <c r="H180" i="2"/>
  <c r="E180" i="2"/>
  <c r="D180" i="2"/>
  <c r="C180" i="2"/>
  <c r="B180" i="2"/>
  <c r="H179" i="2"/>
  <c r="E179" i="2"/>
  <c r="D179" i="2"/>
  <c r="C179" i="2"/>
  <c r="B179" i="2"/>
  <c r="H178" i="2"/>
  <c r="E178" i="2"/>
  <c r="D178" i="2"/>
  <c r="C178" i="2"/>
  <c r="B178" i="2"/>
  <c r="H177" i="2"/>
  <c r="E177" i="2"/>
  <c r="D177" i="2"/>
  <c r="C177" i="2"/>
  <c r="B177" i="2"/>
  <c r="H176" i="2"/>
  <c r="E176" i="2"/>
  <c r="D176" i="2"/>
  <c r="C176" i="2"/>
  <c r="B176" i="2"/>
  <c r="H175" i="2"/>
  <c r="E175" i="2"/>
  <c r="D175" i="2"/>
  <c r="C175" i="2"/>
  <c r="B175" i="2"/>
  <c r="H174" i="2"/>
  <c r="E174" i="2"/>
  <c r="D174" i="2"/>
  <c r="C174" i="2"/>
  <c r="B174" i="2"/>
  <c r="H173" i="2"/>
  <c r="E173" i="2"/>
  <c r="D173" i="2"/>
  <c r="C173" i="2"/>
  <c r="B173" i="2"/>
  <c r="H172" i="2"/>
  <c r="E172" i="2"/>
  <c r="D172" i="2"/>
  <c r="C172" i="2"/>
  <c r="B172" i="2"/>
  <c r="H171" i="2"/>
  <c r="E171" i="2"/>
  <c r="D171" i="2"/>
  <c r="C171" i="2"/>
  <c r="B171" i="2"/>
  <c r="H170" i="2"/>
  <c r="E170" i="2"/>
  <c r="D170" i="2"/>
  <c r="C170" i="2"/>
  <c r="B170" i="2"/>
  <c r="H169" i="2"/>
  <c r="E169" i="2"/>
  <c r="D169" i="2"/>
  <c r="C169" i="2"/>
  <c r="B169" i="2"/>
  <c r="H168" i="2"/>
  <c r="E168" i="2"/>
  <c r="D168" i="2"/>
  <c r="C168" i="2"/>
  <c r="B168" i="2"/>
  <c r="H167" i="2"/>
  <c r="E167" i="2"/>
  <c r="D167" i="2"/>
  <c r="C167" i="2"/>
  <c r="B167" i="2"/>
  <c r="H166" i="2"/>
  <c r="E166" i="2"/>
  <c r="D166" i="2"/>
  <c r="C166" i="2"/>
  <c r="B166" i="2"/>
  <c r="H165" i="2"/>
  <c r="E165" i="2"/>
  <c r="D165" i="2"/>
  <c r="C165" i="2"/>
  <c r="B165" i="2"/>
  <c r="H164" i="2"/>
  <c r="E164" i="2"/>
  <c r="D164" i="2"/>
  <c r="C164" i="2"/>
  <c r="B164" i="2"/>
  <c r="H163" i="2"/>
  <c r="E163" i="2"/>
  <c r="D163" i="2"/>
  <c r="C163" i="2"/>
  <c r="B163" i="2"/>
  <c r="H162" i="2"/>
  <c r="E162" i="2"/>
  <c r="D162" i="2"/>
  <c r="C162" i="2"/>
  <c r="B162" i="2"/>
  <c r="H161" i="2"/>
  <c r="E161" i="2"/>
  <c r="D161" i="2"/>
  <c r="C161" i="2"/>
  <c r="B161" i="2"/>
  <c r="H160" i="2"/>
  <c r="E160" i="2"/>
  <c r="D160" i="2"/>
  <c r="C160" i="2"/>
  <c r="B160" i="2"/>
  <c r="H159" i="2"/>
  <c r="E159" i="2"/>
  <c r="D159" i="2"/>
  <c r="C159" i="2"/>
  <c r="B159" i="2"/>
  <c r="H158" i="2"/>
  <c r="E158" i="2"/>
  <c r="D158" i="2"/>
  <c r="C158" i="2"/>
  <c r="B158" i="2"/>
  <c r="H157" i="2"/>
  <c r="E157" i="2"/>
  <c r="D157" i="2"/>
  <c r="C157" i="2"/>
  <c r="B157" i="2"/>
  <c r="H156" i="2"/>
  <c r="E156" i="2"/>
  <c r="D156" i="2"/>
  <c r="C156" i="2"/>
  <c r="B156" i="2"/>
  <c r="H155" i="2"/>
  <c r="E155" i="2"/>
  <c r="D155" i="2"/>
  <c r="C155" i="2"/>
  <c r="B155" i="2"/>
  <c r="H154" i="2"/>
  <c r="E154" i="2"/>
  <c r="D154" i="2"/>
  <c r="C154" i="2"/>
  <c r="B154" i="2"/>
  <c r="H153" i="2"/>
  <c r="E153" i="2"/>
  <c r="D153" i="2"/>
  <c r="C153" i="2"/>
  <c r="B153" i="2"/>
  <c r="H152" i="2"/>
  <c r="E152" i="2"/>
  <c r="C152" i="2"/>
  <c r="B152" i="2"/>
  <c r="H151" i="2"/>
  <c r="E151" i="2"/>
  <c r="D151" i="2"/>
  <c r="C151" i="2"/>
  <c r="B151" i="2"/>
  <c r="H150" i="2"/>
  <c r="E150" i="2"/>
  <c r="D150" i="2"/>
  <c r="C150" i="2"/>
  <c r="B150" i="2"/>
  <c r="H149" i="2"/>
  <c r="E149" i="2"/>
  <c r="D149" i="2"/>
  <c r="C149" i="2"/>
  <c r="B149" i="2"/>
  <c r="H148" i="2"/>
  <c r="E148" i="2"/>
  <c r="D148" i="2"/>
  <c r="C148" i="2"/>
  <c r="B148" i="2"/>
  <c r="H147" i="2"/>
  <c r="E147" i="2"/>
  <c r="D147" i="2"/>
  <c r="C147" i="2"/>
  <c r="B147" i="2"/>
  <c r="H146" i="2"/>
  <c r="E146" i="2"/>
  <c r="D146" i="2"/>
  <c r="C146" i="2"/>
  <c r="B146" i="2"/>
  <c r="H145" i="2"/>
  <c r="E145" i="2"/>
  <c r="D145" i="2"/>
  <c r="C145" i="2"/>
  <c r="B145" i="2"/>
  <c r="H144" i="2"/>
  <c r="E144" i="2"/>
  <c r="D144" i="2"/>
  <c r="C144" i="2"/>
  <c r="B144" i="2"/>
  <c r="H143" i="2"/>
  <c r="E143" i="2"/>
  <c r="D143" i="2"/>
  <c r="C143" i="2"/>
  <c r="B143" i="2"/>
  <c r="H142" i="2"/>
  <c r="E142" i="2"/>
  <c r="D142" i="2"/>
  <c r="C142" i="2"/>
  <c r="B142" i="2"/>
  <c r="H141" i="2"/>
  <c r="E141" i="2"/>
  <c r="D141" i="2"/>
  <c r="C141" i="2"/>
  <c r="B141" i="2"/>
  <c r="H140" i="2"/>
  <c r="E140" i="2"/>
  <c r="D140" i="2"/>
  <c r="C140" i="2"/>
  <c r="B140" i="2"/>
  <c r="H139" i="2"/>
  <c r="E139" i="2"/>
  <c r="D139" i="2"/>
  <c r="C139" i="2"/>
  <c r="B139" i="2"/>
  <c r="H138" i="2"/>
  <c r="E138" i="2"/>
  <c r="D138" i="2"/>
  <c r="C138" i="2"/>
  <c r="B138" i="2"/>
  <c r="H137" i="2"/>
  <c r="E137" i="2"/>
  <c r="D137" i="2"/>
  <c r="C137" i="2"/>
  <c r="B137" i="2"/>
  <c r="H136" i="2"/>
  <c r="E136" i="2"/>
  <c r="D136" i="2"/>
  <c r="C136" i="2"/>
  <c r="B136" i="2"/>
  <c r="H135" i="2"/>
  <c r="E135" i="2"/>
  <c r="D135" i="2"/>
  <c r="C135" i="2"/>
  <c r="B135" i="2"/>
  <c r="H134" i="2"/>
  <c r="E134" i="2"/>
  <c r="D134" i="2"/>
  <c r="C134" i="2"/>
  <c r="B134" i="2"/>
  <c r="H133" i="2"/>
  <c r="E133" i="2"/>
  <c r="D133" i="2"/>
  <c r="C133" i="2"/>
  <c r="B133" i="2"/>
  <c r="H132" i="2"/>
  <c r="E132" i="2"/>
  <c r="D132" i="2"/>
  <c r="C132" i="2"/>
  <c r="B132" i="2"/>
  <c r="H131" i="2"/>
  <c r="E131" i="2"/>
  <c r="D131" i="2"/>
  <c r="C131" i="2"/>
  <c r="B131" i="2"/>
  <c r="H130" i="2"/>
  <c r="E130" i="2"/>
  <c r="D130" i="2"/>
  <c r="C130" i="2"/>
  <c r="B130" i="2"/>
  <c r="H129" i="2"/>
  <c r="E129" i="2"/>
  <c r="D129" i="2"/>
  <c r="C129" i="2"/>
  <c r="B129" i="2"/>
  <c r="H128" i="2"/>
  <c r="E128" i="2"/>
  <c r="D128" i="2"/>
  <c r="C128" i="2"/>
  <c r="B128" i="2"/>
  <c r="H127" i="2"/>
  <c r="E127" i="2"/>
  <c r="D127" i="2"/>
  <c r="C127" i="2"/>
  <c r="B127" i="2"/>
  <c r="H126" i="2"/>
  <c r="E126" i="2"/>
  <c r="D126" i="2"/>
  <c r="C126" i="2"/>
  <c r="B126" i="2"/>
  <c r="H125" i="2"/>
  <c r="E125" i="2"/>
  <c r="D125" i="2"/>
  <c r="C125" i="2"/>
  <c r="B125" i="2"/>
  <c r="H124" i="2"/>
  <c r="E124" i="2"/>
  <c r="D124" i="2"/>
  <c r="C124" i="2"/>
  <c r="B124" i="2"/>
  <c r="H123" i="2"/>
  <c r="E123" i="2"/>
  <c r="D123" i="2"/>
  <c r="C123" i="2"/>
  <c r="B123" i="2"/>
  <c r="H122" i="2"/>
  <c r="E122" i="2"/>
  <c r="D122" i="2"/>
  <c r="C122" i="2"/>
  <c r="B122" i="2"/>
  <c r="H121" i="2"/>
  <c r="E121" i="2"/>
  <c r="D121" i="2"/>
  <c r="C121" i="2"/>
  <c r="B121" i="2"/>
  <c r="H120" i="2"/>
  <c r="E120" i="2"/>
  <c r="D120" i="2"/>
  <c r="C120" i="2"/>
  <c r="B120" i="2"/>
  <c r="H119" i="2"/>
  <c r="E119" i="2"/>
  <c r="D119" i="2"/>
  <c r="C119" i="2"/>
  <c r="B119" i="2"/>
  <c r="H118" i="2"/>
  <c r="E118" i="2"/>
  <c r="D118" i="2"/>
  <c r="C118" i="2"/>
  <c r="B118" i="2"/>
  <c r="H117" i="2"/>
  <c r="E117" i="2"/>
  <c r="D117" i="2"/>
  <c r="C117" i="2"/>
  <c r="B117" i="2"/>
  <c r="H116" i="2"/>
  <c r="E116" i="2"/>
  <c r="D116" i="2"/>
  <c r="C116" i="2"/>
  <c r="B116" i="2"/>
  <c r="H115" i="2"/>
  <c r="E115" i="2"/>
  <c r="D115" i="2"/>
  <c r="C115" i="2"/>
  <c r="B115" i="2"/>
  <c r="H114" i="2"/>
  <c r="E114" i="2"/>
  <c r="D114" i="2"/>
  <c r="C114" i="2"/>
  <c r="B114" i="2"/>
  <c r="H113" i="2"/>
  <c r="E113" i="2"/>
  <c r="D113" i="2"/>
  <c r="C113" i="2"/>
  <c r="B113" i="2"/>
  <c r="H112" i="2"/>
  <c r="E112" i="2"/>
  <c r="D112" i="2"/>
  <c r="C112" i="2"/>
  <c r="B112" i="2"/>
  <c r="H111" i="2"/>
  <c r="E111" i="2"/>
  <c r="D111" i="2"/>
  <c r="C111" i="2"/>
  <c r="B111" i="2"/>
  <c r="H110" i="2"/>
  <c r="E110" i="2"/>
  <c r="D110" i="2"/>
  <c r="C110" i="2"/>
  <c r="B110" i="2"/>
  <c r="H109" i="2"/>
  <c r="E109" i="2"/>
  <c r="D109" i="2"/>
  <c r="C109" i="2"/>
  <c r="B109" i="2"/>
  <c r="H108" i="2"/>
  <c r="E108" i="2"/>
  <c r="D108" i="2"/>
  <c r="C108" i="2"/>
  <c r="B108" i="2"/>
  <c r="H107" i="2"/>
  <c r="E107" i="2"/>
  <c r="D107" i="2"/>
  <c r="C107" i="2"/>
  <c r="B107" i="2"/>
  <c r="H106" i="2"/>
  <c r="E106" i="2"/>
  <c r="D106" i="2"/>
  <c r="C106" i="2"/>
  <c r="B106" i="2"/>
  <c r="H105" i="2"/>
  <c r="E105" i="2"/>
  <c r="D105" i="2"/>
  <c r="C105" i="2"/>
  <c r="B105" i="2"/>
  <c r="H104" i="2"/>
  <c r="E104" i="2"/>
  <c r="D104" i="2"/>
  <c r="C104" i="2"/>
  <c r="B104" i="2"/>
  <c r="H103" i="2"/>
  <c r="E103" i="2"/>
  <c r="D103" i="2"/>
  <c r="C103" i="2"/>
  <c r="B103" i="2"/>
  <c r="H102" i="2"/>
  <c r="E102" i="2"/>
  <c r="D102" i="2"/>
  <c r="C102" i="2"/>
  <c r="B102" i="2"/>
  <c r="H101" i="2"/>
  <c r="E101" i="2"/>
  <c r="D101" i="2"/>
  <c r="C101" i="2"/>
  <c r="B101" i="2"/>
  <c r="H100" i="2"/>
  <c r="E100" i="2"/>
  <c r="D100" i="2"/>
  <c r="C100" i="2"/>
  <c r="B100" i="2"/>
  <c r="H99" i="2"/>
  <c r="E99" i="2"/>
  <c r="D99" i="2"/>
  <c r="C99" i="2"/>
  <c r="B99" i="2"/>
  <c r="H98" i="2"/>
  <c r="E98" i="2"/>
  <c r="D98" i="2"/>
  <c r="C98" i="2"/>
  <c r="B98" i="2"/>
  <c r="H97" i="2"/>
  <c r="E97" i="2"/>
  <c r="D97" i="2"/>
  <c r="C97" i="2"/>
  <c r="B97" i="2"/>
  <c r="H96" i="2"/>
  <c r="E96" i="2"/>
  <c r="D96" i="2"/>
  <c r="C96" i="2"/>
  <c r="B96" i="2"/>
  <c r="H95" i="2"/>
  <c r="E95" i="2"/>
  <c r="D95" i="2"/>
  <c r="C95" i="2"/>
  <c r="B95" i="2"/>
  <c r="H94" i="2"/>
  <c r="E94" i="2"/>
  <c r="D94" i="2"/>
  <c r="C94" i="2"/>
  <c r="B94" i="2"/>
  <c r="H93" i="2"/>
  <c r="E93" i="2"/>
  <c r="D93" i="2"/>
  <c r="C93" i="2"/>
  <c r="B93" i="2"/>
  <c r="H92" i="2"/>
  <c r="E92" i="2"/>
  <c r="D92" i="2"/>
  <c r="C92" i="2"/>
  <c r="B92" i="2"/>
  <c r="H91" i="2"/>
  <c r="E91" i="2"/>
  <c r="D91" i="2"/>
  <c r="C91" i="2"/>
  <c r="B91" i="2"/>
  <c r="H90" i="2"/>
  <c r="E90" i="2"/>
  <c r="D90" i="2"/>
  <c r="C90" i="2"/>
  <c r="B90" i="2"/>
  <c r="H89" i="2"/>
  <c r="E89" i="2"/>
  <c r="D89" i="2"/>
  <c r="C89" i="2"/>
  <c r="B89" i="2"/>
  <c r="H88" i="2"/>
  <c r="E88" i="2"/>
  <c r="D88" i="2"/>
  <c r="C88" i="2"/>
  <c r="B88" i="2"/>
  <c r="H87" i="2"/>
  <c r="E87" i="2"/>
  <c r="D87" i="2"/>
  <c r="C87" i="2"/>
  <c r="B87" i="2"/>
  <c r="H86" i="2"/>
  <c r="E86" i="2"/>
  <c r="D86" i="2"/>
  <c r="C86" i="2"/>
  <c r="B86" i="2"/>
  <c r="H85" i="2"/>
  <c r="E85" i="2"/>
  <c r="D85" i="2"/>
  <c r="C85" i="2"/>
  <c r="B85" i="2"/>
  <c r="H84" i="2"/>
  <c r="E84" i="2"/>
  <c r="D84" i="2"/>
  <c r="C84" i="2"/>
  <c r="B84" i="2"/>
  <c r="H83" i="2"/>
  <c r="E83" i="2"/>
  <c r="D83" i="2"/>
  <c r="C83" i="2"/>
  <c r="B83" i="2"/>
  <c r="H82" i="2"/>
  <c r="E82" i="2"/>
  <c r="D82" i="2"/>
  <c r="C82" i="2"/>
  <c r="B82" i="2"/>
  <c r="H81" i="2"/>
  <c r="E81" i="2"/>
  <c r="D81" i="2"/>
  <c r="C81" i="2"/>
  <c r="B81" i="2"/>
  <c r="H80" i="2"/>
  <c r="E80" i="2"/>
  <c r="D80" i="2"/>
  <c r="C80" i="2"/>
  <c r="B80" i="2"/>
  <c r="H79" i="2"/>
  <c r="E79" i="2"/>
  <c r="D79" i="2"/>
  <c r="C79" i="2"/>
  <c r="B79" i="2"/>
  <c r="H78" i="2"/>
  <c r="E78" i="2"/>
  <c r="D78" i="2"/>
  <c r="C78" i="2"/>
  <c r="B78" i="2"/>
  <c r="H77" i="2"/>
  <c r="E77" i="2"/>
  <c r="D77" i="2"/>
  <c r="C77" i="2"/>
  <c r="B77" i="2"/>
  <c r="H76" i="2"/>
  <c r="E76" i="2"/>
  <c r="D76" i="2"/>
  <c r="C76" i="2"/>
  <c r="B76" i="2"/>
  <c r="H75" i="2"/>
  <c r="E75" i="2"/>
  <c r="D75" i="2"/>
  <c r="C75" i="2"/>
  <c r="B75" i="2"/>
  <c r="H74" i="2"/>
  <c r="E74" i="2"/>
  <c r="D74" i="2"/>
  <c r="C74" i="2"/>
  <c r="B74" i="2"/>
  <c r="H73" i="2"/>
  <c r="E73" i="2"/>
  <c r="D73" i="2"/>
  <c r="C73" i="2"/>
  <c r="B73" i="2"/>
  <c r="H72" i="2"/>
  <c r="E72" i="2"/>
  <c r="D72" i="2"/>
  <c r="C72" i="2"/>
  <c r="B72" i="2"/>
  <c r="H71" i="2"/>
  <c r="E71" i="2"/>
  <c r="D71" i="2"/>
  <c r="C71" i="2"/>
  <c r="B71" i="2"/>
  <c r="H70" i="2"/>
  <c r="E70" i="2"/>
  <c r="D70" i="2"/>
  <c r="C70" i="2"/>
  <c r="B70" i="2"/>
  <c r="H69" i="2"/>
  <c r="E69" i="2"/>
  <c r="D69" i="2"/>
  <c r="C69" i="2"/>
  <c r="B69" i="2"/>
  <c r="H68" i="2"/>
  <c r="E68" i="2"/>
  <c r="D68" i="2"/>
  <c r="C68" i="2"/>
  <c r="B68" i="2"/>
  <c r="H67" i="2"/>
  <c r="E67" i="2"/>
  <c r="D67" i="2"/>
  <c r="C67" i="2"/>
  <c r="B67" i="2"/>
  <c r="H66" i="2"/>
  <c r="E66" i="2"/>
  <c r="D66" i="2"/>
  <c r="C66" i="2"/>
  <c r="B66" i="2"/>
  <c r="H65" i="2"/>
  <c r="E65" i="2"/>
  <c r="D65" i="2"/>
  <c r="C65" i="2"/>
  <c r="B65" i="2"/>
  <c r="H64" i="2"/>
  <c r="E64" i="2"/>
  <c r="D64" i="2"/>
  <c r="C64" i="2"/>
  <c r="B64" i="2"/>
  <c r="H63" i="2"/>
  <c r="E63" i="2"/>
  <c r="D63" i="2"/>
  <c r="C63" i="2"/>
  <c r="B63" i="2"/>
  <c r="H62" i="2"/>
  <c r="E62" i="2"/>
  <c r="D62" i="2"/>
  <c r="C62" i="2"/>
  <c r="B62" i="2"/>
  <c r="H61" i="2"/>
  <c r="E61" i="2"/>
  <c r="D61" i="2"/>
  <c r="C61" i="2"/>
  <c r="B61" i="2"/>
  <c r="H60" i="2"/>
  <c r="E60" i="2"/>
  <c r="D60" i="2"/>
  <c r="C60" i="2"/>
  <c r="B60" i="2"/>
  <c r="H59" i="2"/>
  <c r="E59" i="2"/>
  <c r="C59" i="2"/>
  <c r="B59" i="2"/>
  <c r="H58" i="2"/>
  <c r="E58" i="2"/>
  <c r="D58" i="2"/>
  <c r="C58" i="2"/>
  <c r="B58" i="2"/>
  <c r="H57" i="2"/>
  <c r="E57" i="2"/>
  <c r="D57" i="2"/>
  <c r="C57" i="2"/>
  <c r="B57" i="2"/>
  <c r="H56" i="2"/>
  <c r="E56" i="2"/>
  <c r="D56" i="2"/>
  <c r="C56" i="2"/>
  <c r="B56" i="2"/>
  <c r="H55" i="2"/>
  <c r="E55" i="2"/>
  <c r="D55" i="2"/>
  <c r="C55" i="2"/>
  <c r="B55" i="2"/>
  <c r="H54" i="2"/>
  <c r="E54" i="2"/>
  <c r="D54" i="2"/>
  <c r="C54" i="2"/>
  <c r="B54" i="2"/>
  <c r="H53" i="2"/>
  <c r="E53" i="2"/>
  <c r="D53" i="2"/>
  <c r="C53" i="2"/>
  <c r="B53" i="2"/>
  <c r="H52" i="2"/>
  <c r="E52" i="2"/>
  <c r="D52" i="2"/>
  <c r="C52" i="2"/>
  <c r="B52" i="2"/>
  <c r="H51" i="2"/>
  <c r="E51" i="2"/>
  <c r="D51" i="2"/>
  <c r="C51" i="2"/>
  <c r="B51" i="2"/>
  <c r="H50" i="2"/>
  <c r="E50" i="2"/>
  <c r="D50" i="2"/>
  <c r="C50" i="2"/>
  <c r="B50" i="2"/>
  <c r="H49" i="2"/>
  <c r="E49" i="2"/>
  <c r="D49" i="2"/>
  <c r="C49" i="2"/>
  <c r="B49" i="2"/>
  <c r="H48" i="2"/>
  <c r="E48" i="2"/>
  <c r="D48" i="2"/>
  <c r="C48" i="2"/>
  <c r="B48" i="2"/>
  <c r="H47" i="2"/>
  <c r="E47" i="2"/>
  <c r="D47" i="2"/>
  <c r="C47" i="2"/>
  <c r="B47" i="2"/>
  <c r="H46" i="2"/>
  <c r="E46" i="2"/>
  <c r="D46" i="2"/>
  <c r="C46" i="2"/>
  <c r="B46" i="2"/>
  <c r="H45" i="2"/>
  <c r="E45" i="2"/>
  <c r="D45" i="2"/>
  <c r="C45" i="2"/>
  <c r="B45" i="2"/>
  <c r="H44" i="2"/>
  <c r="E44" i="2"/>
  <c r="D44" i="2"/>
  <c r="C44" i="2"/>
  <c r="B44" i="2"/>
  <c r="H43" i="2"/>
  <c r="E43" i="2"/>
  <c r="D43" i="2"/>
  <c r="C43" i="2"/>
  <c r="B43" i="2"/>
  <c r="H42" i="2"/>
  <c r="E42" i="2"/>
  <c r="D42" i="2"/>
  <c r="C42" i="2"/>
  <c r="B42" i="2"/>
  <c r="H41" i="2"/>
  <c r="E41" i="2"/>
  <c r="D41" i="2"/>
  <c r="C41" i="2"/>
  <c r="B41" i="2"/>
  <c r="H40" i="2"/>
  <c r="E40" i="2"/>
  <c r="D40" i="2"/>
  <c r="C40" i="2"/>
  <c r="B40" i="2"/>
  <c r="H39" i="2"/>
  <c r="E39" i="2"/>
  <c r="D39" i="2"/>
  <c r="C39" i="2"/>
  <c r="B39" i="2"/>
  <c r="H38" i="2"/>
  <c r="E38" i="2"/>
  <c r="D38" i="2"/>
  <c r="C38" i="2"/>
  <c r="B38" i="2"/>
  <c r="H37" i="2"/>
  <c r="E37" i="2"/>
  <c r="D37" i="2"/>
  <c r="C37" i="2"/>
  <c r="B37" i="2"/>
  <c r="H36" i="2"/>
  <c r="E36" i="2"/>
  <c r="D36" i="2"/>
  <c r="C36" i="2"/>
  <c r="B36" i="2"/>
  <c r="H35" i="2"/>
  <c r="E35" i="2"/>
  <c r="D35" i="2"/>
  <c r="C35" i="2"/>
  <c r="B35" i="2"/>
  <c r="H34" i="2"/>
  <c r="E34" i="2"/>
  <c r="D34" i="2"/>
  <c r="C34" i="2"/>
  <c r="B34" i="2"/>
  <c r="H33" i="2"/>
  <c r="E33" i="2"/>
  <c r="D33" i="2"/>
  <c r="C33" i="2"/>
  <c r="B33" i="2"/>
  <c r="H32" i="2"/>
  <c r="E32" i="2"/>
  <c r="D32" i="2"/>
  <c r="C32" i="2"/>
  <c r="B32" i="2"/>
  <c r="H31" i="2"/>
  <c r="E31" i="2"/>
  <c r="D31" i="2"/>
  <c r="C31" i="2"/>
  <c r="B31" i="2"/>
  <c r="H30" i="2"/>
  <c r="E30" i="2"/>
  <c r="D30" i="2"/>
  <c r="C30" i="2"/>
  <c r="B30" i="2"/>
  <c r="H29" i="2"/>
  <c r="E29" i="2"/>
  <c r="D29" i="2"/>
  <c r="C29" i="2"/>
  <c r="B29" i="2"/>
  <c r="H28" i="2"/>
  <c r="E28" i="2"/>
  <c r="D28" i="2"/>
  <c r="C28" i="2"/>
  <c r="B28" i="2"/>
  <c r="H27" i="2"/>
  <c r="E27" i="2"/>
  <c r="D27" i="2"/>
  <c r="C27" i="2"/>
  <c r="B27" i="2"/>
  <c r="H26" i="2"/>
  <c r="E26" i="2"/>
  <c r="D26" i="2"/>
  <c r="C26" i="2"/>
  <c r="B26" i="2"/>
  <c r="H25" i="2"/>
  <c r="E25" i="2"/>
  <c r="D25" i="2"/>
  <c r="C25" i="2"/>
  <c r="B25" i="2"/>
  <c r="H24" i="2"/>
  <c r="E24" i="2"/>
  <c r="D24" i="2"/>
  <c r="C24" i="2"/>
  <c r="B24" i="2"/>
  <c r="H23" i="2"/>
  <c r="E23" i="2"/>
  <c r="D23" i="2"/>
  <c r="C23" i="2"/>
  <c r="B23" i="2"/>
  <c r="H22" i="2"/>
  <c r="E22" i="2"/>
  <c r="D22" i="2"/>
  <c r="C22" i="2"/>
  <c r="B22" i="2"/>
  <c r="H21" i="2"/>
  <c r="E21" i="2"/>
  <c r="D21" i="2"/>
  <c r="C21" i="2"/>
  <c r="B21" i="2"/>
  <c r="H20" i="2"/>
  <c r="E20" i="2"/>
  <c r="D20" i="2"/>
  <c r="C20" i="2"/>
  <c r="B20" i="2"/>
  <c r="H19" i="2"/>
  <c r="E19" i="2"/>
  <c r="D19" i="2"/>
  <c r="C19" i="2"/>
  <c r="B19" i="2"/>
  <c r="H18" i="2"/>
  <c r="E18" i="2"/>
  <c r="D18" i="2"/>
  <c r="C18" i="2"/>
  <c r="B18" i="2"/>
  <c r="H17" i="2"/>
  <c r="E17" i="2"/>
  <c r="D17" i="2"/>
  <c r="C17" i="2"/>
  <c r="B17" i="2"/>
  <c r="H16" i="2"/>
  <c r="E16" i="2"/>
  <c r="C16" i="2"/>
  <c r="B16" i="2"/>
  <c r="H15" i="2"/>
  <c r="E15" i="2"/>
  <c r="D15" i="2"/>
  <c r="C15" i="2"/>
  <c r="B15" i="2"/>
  <c r="H14" i="2"/>
  <c r="E14" i="2"/>
  <c r="D14" i="2"/>
  <c r="C14" i="2"/>
  <c r="B14" i="2"/>
  <c r="H13" i="2"/>
  <c r="E13" i="2"/>
  <c r="D13" i="2"/>
  <c r="C13" i="2"/>
  <c r="B13" i="2"/>
  <c r="H12" i="2"/>
  <c r="E12" i="2"/>
  <c r="D12" i="2"/>
  <c r="C12" i="2"/>
  <c r="B12" i="2"/>
  <c r="H11" i="2"/>
  <c r="E11" i="2"/>
  <c r="D11" i="2"/>
  <c r="C11" i="2"/>
  <c r="B11" i="2"/>
  <c r="H10" i="2"/>
  <c r="E10" i="2"/>
  <c r="D10" i="2"/>
  <c r="C10" i="2"/>
  <c r="B10" i="2"/>
  <c r="H9" i="2"/>
  <c r="E9" i="2"/>
  <c r="D9" i="2"/>
  <c r="C9" i="2"/>
  <c r="B9" i="2"/>
  <c r="H8" i="2"/>
  <c r="E8" i="2"/>
  <c r="D8" i="2"/>
  <c r="C8" i="2"/>
  <c r="B8" i="2"/>
  <c r="H7" i="2"/>
  <c r="E7" i="2"/>
  <c r="D7" i="2"/>
  <c r="C7" i="2"/>
  <c r="B7" i="2"/>
  <c r="H6" i="2"/>
  <c r="E6" i="2"/>
  <c r="D6" i="2"/>
  <c r="C6" i="2"/>
  <c r="B6" i="2"/>
  <c r="H5" i="2"/>
  <c r="E5" i="2"/>
  <c r="D5" i="2"/>
  <c r="C5" i="2"/>
  <c r="B5" i="2"/>
  <c r="H4" i="2"/>
  <c r="E4" i="2"/>
  <c r="D4" i="2"/>
  <c r="C4" i="2"/>
  <c r="B4" i="2"/>
  <c r="H3" i="2"/>
  <c r="E3" i="2"/>
  <c r="D3" i="2"/>
  <c r="C3" i="2"/>
  <c r="B3" i="2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960" i="1" s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5" i="1"/>
  <c r="H4" i="1"/>
  <c r="H3" i="1"/>
  <c r="B959" i="1" l="1"/>
  <c r="C959" i="1"/>
  <c r="D959" i="1"/>
  <c r="E959" i="1"/>
  <c r="B949" i="1"/>
  <c r="C949" i="1"/>
  <c r="D949" i="1"/>
  <c r="E949" i="1"/>
  <c r="B950" i="1"/>
  <c r="C950" i="1"/>
  <c r="D950" i="1"/>
  <c r="E950" i="1"/>
  <c r="B951" i="1"/>
  <c r="C951" i="1"/>
  <c r="E951" i="1"/>
  <c r="B952" i="1"/>
  <c r="C952" i="1"/>
  <c r="D952" i="1"/>
  <c r="E952" i="1"/>
  <c r="B953" i="1"/>
  <c r="C953" i="1"/>
  <c r="D953" i="1"/>
  <c r="E953" i="1"/>
  <c r="B954" i="1"/>
  <c r="C954" i="1"/>
  <c r="D954" i="1"/>
  <c r="E954" i="1"/>
  <c r="B955" i="1"/>
  <c r="C955" i="1"/>
  <c r="D955" i="1"/>
  <c r="E955" i="1"/>
  <c r="B956" i="1"/>
  <c r="C956" i="1"/>
  <c r="D956" i="1"/>
  <c r="E956" i="1"/>
  <c r="B957" i="1"/>
  <c r="C957" i="1"/>
  <c r="D957" i="1"/>
  <c r="E957" i="1"/>
  <c r="B958" i="1"/>
  <c r="C958" i="1"/>
  <c r="D958" i="1"/>
  <c r="E958" i="1"/>
  <c r="B939" i="1"/>
  <c r="C939" i="1"/>
  <c r="D939" i="1"/>
  <c r="E939" i="1"/>
  <c r="B940" i="1"/>
  <c r="C940" i="1"/>
  <c r="D940" i="1"/>
  <c r="E940" i="1"/>
  <c r="B941" i="1"/>
  <c r="C941" i="1"/>
  <c r="D941" i="1"/>
  <c r="E941" i="1"/>
  <c r="B942" i="1"/>
  <c r="C942" i="1"/>
  <c r="D942" i="1"/>
  <c r="E942" i="1"/>
  <c r="B943" i="1"/>
  <c r="D943" i="1"/>
  <c r="E943" i="1"/>
  <c r="B944" i="1"/>
  <c r="C944" i="1"/>
  <c r="D944" i="1"/>
  <c r="E944" i="1"/>
  <c r="B945" i="1"/>
  <c r="C945" i="1"/>
  <c r="D945" i="1"/>
  <c r="E945" i="1"/>
  <c r="B946" i="1"/>
  <c r="C946" i="1"/>
  <c r="D946" i="1"/>
  <c r="E946" i="1"/>
  <c r="B947" i="1"/>
  <c r="C947" i="1"/>
  <c r="D947" i="1"/>
  <c r="E947" i="1"/>
  <c r="B948" i="1"/>
  <c r="C948" i="1"/>
  <c r="D948" i="1"/>
  <c r="E948" i="1"/>
  <c r="B929" i="1"/>
  <c r="C929" i="1"/>
  <c r="D929" i="1"/>
  <c r="E929" i="1"/>
  <c r="B930" i="1"/>
  <c r="C930" i="1"/>
  <c r="D930" i="1"/>
  <c r="E930" i="1"/>
  <c r="B931" i="1"/>
  <c r="C931" i="1"/>
  <c r="D931" i="1"/>
  <c r="E931" i="1"/>
  <c r="B932" i="1"/>
  <c r="C932" i="1"/>
  <c r="D932" i="1"/>
  <c r="E932" i="1"/>
  <c r="B933" i="1"/>
  <c r="C933" i="1"/>
  <c r="D933" i="1"/>
  <c r="E933" i="1"/>
  <c r="B934" i="1"/>
  <c r="C934" i="1"/>
  <c r="D934" i="1"/>
  <c r="E934" i="1"/>
  <c r="B935" i="1"/>
  <c r="C935" i="1"/>
  <c r="D935" i="1"/>
  <c r="E935" i="1"/>
  <c r="B936" i="1"/>
  <c r="C936" i="1"/>
  <c r="D936" i="1"/>
  <c r="E936" i="1"/>
  <c r="B937" i="1"/>
  <c r="C937" i="1"/>
  <c r="D937" i="1"/>
  <c r="E937" i="1"/>
  <c r="B938" i="1"/>
  <c r="C938" i="1"/>
  <c r="D938" i="1"/>
  <c r="E938" i="1"/>
  <c r="B927" i="1"/>
  <c r="C927" i="1"/>
  <c r="D927" i="1"/>
  <c r="E927" i="1"/>
  <c r="B928" i="1"/>
  <c r="C928" i="1"/>
  <c r="D928" i="1"/>
  <c r="E928" i="1"/>
  <c r="B919" i="1"/>
  <c r="C919" i="1"/>
  <c r="D919" i="1"/>
  <c r="E919" i="1"/>
  <c r="B920" i="1"/>
  <c r="C920" i="1"/>
  <c r="D920" i="1"/>
  <c r="E920" i="1"/>
  <c r="B921" i="1"/>
  <c r="C921" i="1"/>
  <c r="D921" i="1"/>
  <c r="E921" i="1"/>
  <c r="B922" i="1"/>
  <c r="C922" i="1"/>
  <c r="D922" i="1"/>
  <c r="E922" i="1"/>
  <c r="B923" i="1"/>
  <c r="C923" i="1"/>
  <c r="D923" i="1"/>
  <c r="E923" i="1"/>
  <c r="B924" i="1"/>
  <c r="C924" i="1"/>
  <c r="D924" i="1"/>
  <c r="E924" i="1"/>
  <c r="B925" i="1"/>
  <c r="C925" i="1"/>
  <c r="D925" i="1"/>
  <c r="E925" i="1"/>
  <c r="B926" i="1"/>
  <c r="C926" i="1"/>
  <c r="D926" i="1"/>
  <c r="E926" i="1"/>
  <c r="B910" i="1"/>
  <c r="C910" i="1"/>
  <c r="D910" i="1"/>
  <c r="E910" i="1"/>
  <c r="B911" i="1"/>
  <c r="C911" i="1"/>
  <c r="D911" i="1"/>
  <c r="E911" i="1"/>
  <c r="B912" i="1"/>
  <c r="C912" i="1"/>
  <c r="D912" i="1"/>
  <c r="E912" i="1"/>
  <c r="B913" i="1"/>
  <c r="C913" i="1"/>
  <c r="D913" i="1"/>
  <c r="E913" i="1"/>
  <c r="B914" i="1"/>
  <c r="C914" i="1"/>
  <c r="D914" i="1"/>
  <c r="E914" i="1"/>
  <c r="B915" i="1"/>
  <c r="C915" i="1"/>
  <c r="D915" i="1"/>
  <c r="E915" i="1"/>
  <c r="B916" i="1"/>
  <c r="C916" i="1"/>
  <c r="D916" i="1"/>
  <c r="E916" i="1"/>
  <c r="B917" i="1"/>
  <c r="C917" i="1"/>
  <c r="D917" i="1"/>
  <c r="E917" i="1"/>
  <c r="B918" i="1"/>
  <c r="C918" i="1"/>
  <c r="D918" i="1"/>
  <c r="E918" i="1"/>
  <c r="B901" i="1"/>
  <c r="C901" i="1"/>
  <c r="D901" i="1"/>
  <c r="E901" i="1"/>
  <c r="B902" i="1"/>
  <c r="C902" i="1"/>
  <c r="D902" i="1"/>
  <c r="E902" i="1"/>
  <c r="B903" i="1"/>
  <c r="C903" i="1"/>
  <c r="D903" i="1"/>
  <c r="E903" i="1"/>
  <c r="B904" i="1"/>
  <c r="C904" i="1"/>
  <c r="D904" i="1"/>
  <c r="E904" i="1"/>
  <c r="B905" i="1"/>
  <c r="C905" i="1"/>
  <c r="D905" i="1"/>
  <c r="E905" i="1"/>
  <c r="B906" i="1"/>
  <c r="C906" i="1"/>
  <c r="D906" i="1"/>
  <c r="E906" i="1"/>
  <c r="B907" i="1"/>
  <c r="C907" i="1"/>
  <c r="D907" i="1"/>
  <c r="E907" i="1"/>
  <c r="B908" i="1"/>
  <c r="C908" i="1"/>
  <c r="D908" i="1"/>
  <c r="E908" i="1"/>
  <c r="B909" i="1"/>
  <c r="C909" i="1"/>
  <c r="D909" i="1"/>
  <c r="E909" i="1"/>
  <c r="B891" i="1"/>
  <c r="C891" i="1"/>
  <c r="D891" i="1"/>
  <c r="E891" i="1"/>
  <c r="B892" i="1"/>
  <c r="C892" i="1"/>
  <c r="D892" i="1"/>
  <c r="E892" i="1"/>
  <c r="B893" i="1"/>
  <c r="C893" i="1"/>
  <c r="D893" i="1"/>
  <c r="E893" i="1"/>
  <c r="B894" i="1"/>
  <c r="C894" i="1"/>
  <c r="D894" i="1"/>
  <c r="E894" i="1"/>
  <c r="B895" i="1"/>
  <c r="C895" i="1"/>
  <c r="D895" i="1"/>
  <c r="E895" i="1"/>
  <c r="B896" i="1"/>
  <c r="C896" i="1"/>
  <c r="D896" i="1"/>
  <c r="E896" i="1"/>
  <c r="B897" i="1"/>
  <c r="C897" i="1"/>
  <c r="D897" i="1"/>
  <c r="E897" i="1"/>
  <c r="B898" i="1"/>
  <c r="C898" i="1"/>
  <c r="D898" i="1"/>
  <c r="E898" i="1"/>
  <c r="B899" i="1"/>
  <c r="C899" i="1"/>
  <c r="D899" i="1"/>
  <c r="E899" i="1"/>
  <c r="B900" i="1"/>
  <c r="C900" i="1"/>
  <c r="D900" i="1"/>
  <c r="E900" i="1"/>
  <c r="B882" i="1"/>
  <c r="C882" i="1"/>
  <c r="D882" i="1"/>
  <c r="E882" i="1"/>
  <c r="B883" i="1"/>
  <c r="C883" i="1"/>
  <c r="D883" i="1"/>
  <c r="E883" i="1"/>
  <c r="B884" i="1"/>
  <c r="C884" i="1"/>
  <c r="D884" i="1"/>
  <c r="E884" i="1"/>
  <c r="B885" i="1"/>
  <c r="C885" i="1"/>
  <c r="D885" i="1"/>
  <c r="E885" i="1"/>
  <c r="B886" i="1"/>
  <c r="C886" i="1"/>
  <c r="D886" i="1"/>
  <c r="E886" i="1"/>
  <c r="B887" i="1"/>
  <c r="C887" i="1"/>
  <c r="D887" i="1"/>
  <c r="E887" i="1"/>
  <c r="B888" i="1"/>
  <c r="C888" i="1"/>
  <c r="D888" i="1"/>
  <c r="E888" i="1"/>
  <c r="B889" i="1"/>
  <c r="C889" i="1"/>
  <c r="D889" i="1"/>
  <c r="E889" i="1"/>
  <c r="B890" i="1"/>
  <c r="C890" i="1"/>
  <c r="D890" i="1"/>
  <c r="E890" i="1"/>
  <c r="B877" i="1"/>
  <c r="C877" i="1"/>
  <c r="D877" i="1"/>
  <c r="E877" i="1"/>
  <c r="B878" i="1"/>
  <c r="C878" i="1"/>
  <c r="D878" i="1"/>
  <c r="E878" i="1"/>
  <c r="B879" i="1"/>
  <c r="C879" i="1"/>
  <c r="D879" i="1"/>
  <c r="E879" i="1"/>
  <c r="B880" i="1"/>
  <c r="C880" i="1"/>
  <c r="D880" i="1"/>
  <c r="E880" i="1"/>
  <c r="B881" i="1"/>
  <c r="C881" i="1"/>
  <c r="D881" i="1"/>
  <c r="E881" i="1"/>
  <c r="B867" i="1"/>
  <c r="C867" i="1"/>
  <c r="D867" i="1"/>
  <c r="E867" i="1"/>
  <c r="B868" i="1"/>
  <c r="C868" i="1"/>
  <c r="D868" i="1"/>
  <c r="E868" i="1"/>
  <c r="B869" i="1"/>
  <c r="C869" i="1"/>
  <c r="D869" i="1"/>
  <c r="E869" i="1"/>
  <c r="B870" i="1"/>
  <c r="C870" i="1"/>
  <c r="D870" i="1"/>
  <c r="E870" i="1"/>
  <c r="B871" i="1"/>
  <c r="C871" i="1"/>
  <c r="D871" i="1"/>
  <c r="E871" i="1"/>
  <c r="B872" i="1"/>
  <c r="C872" i="1"/>
  <c r="D872" i="1"/>
  <c r="E872" i="1"/>
  <c r="B873" i="1"/>
  <c r="C873" i="1"/>
  <c r="D873" i="1"/>
  <c r="E873" i="1"/>
  <c r="B874" i="1"/>
  <c r="C874" i="1"/>
  <c r="D874" i="1"/>
  <c r="E874" i="1"/>
  <c r="B875" i="1"/>
  <c r="C875" i="1"/>
  <c r="D875" i="1"/>
  <c r="E875" i="1"/>
  <c r="B876" i="1"/>
  <c r="C876" i="1"/>
  <c r="D876" i="1"/>
  <c r="E876" i="1"/>
  <c r="B857" i="1"/>
  <c r="C857" i="1"/>
  <c r="D857" i="1"/>
  <c r="E857" i="1"/>
  <c r="B858" i="1"/>
  <c r="C858" i="1"/>
  <c r="D858" i="1"/>
  <c r="E858" i="1"/>
  <c r="B859" i="1"/>
  <c r="C859" i="1"/>
  <c r="D859" i="1"/>
  <c r="E859" i="1"/>
  <c r="B860" i="1"/>
  <c r="C860" i="1"/>
  <c r="D860" i="1"/>
  <c r="E860" i="1"/>
  <c r="B861" i="1"/>
  <c r="C861" i="1"/>
  <c r="D861" i="1"/>
  <c r="E861" i="1"/>
  <c r="B862" i="1"/>
  <c r="C862" i="1"/>
  <c r="D862" i="1"/>
  <c r="E862" i="1"/>
  <c r="B863" i="1"/>
  <c r="C863" i="1"/>
  <c r="D863" i="1"/>
  <c r="E863" i="1"/>
  <c r="B864" i="1"/>
  <c r="C864" i="1"/>
  <c r="D864" i="1"/>
  <c r="E864" i="1"/>
  <c r="B865" i="1"/>
  <c r="C865" i="1"/>
  <c r="D865" i="1"/>
  <c r="E865" i="1"/>
  <c r="B866" i="1"/>
  <c r="C866" i="1"/>
  <c r="D866" i="1"/>
  <c r="E866" i="1"/>
  <c r="B847" i="1"/>
  <c r="C847" i="1"/>
  <c r="D847" i="1"/>
  <c r="E847" i="1"/>
  <c r="B848" i="1"/>
  <c r="C848" i="1"/>
  <c r="D848" i="1"/>
  <c r="E848" i="1"/>
  <c r="B849" i="1"/>
  <c r="C849" i="1"/>
  <c r="D849" i="1"/>
  <c r="E849" i="1"/>
  <c r="B850" i="1"/>
  <c r="C850" i="1"/>
  <c r="D850" i="1"/>
  <c r="E850" i="1"/>
  <c r="B851" i="1"/>
  <c r="C851" i="1"/>
  <c r="D851" i="1"/>
  <c r="E851" i="1"/>
  <c r="B852" i="1"/>
  <c r="C852" i="1"/>
  <c r="D852" i="1"/>
  <c r="E852" i="1"/>
  <c r="B853" i="1"/>
  <c r="C853" i="1"/>
  <c r="D853" i="1"/>
  <c r="E853" i="1"/>
  <c r="B854" i="1"/>
  <c r="C854" i="1"/>
  <c r="D854" i="1"/>
  <c r="E854" i="1"/>
  <c r="B855" i="1"/>
  <c r="C855" i="1"/>
  <c r="D855" i="1"/>
  <c r="E855" i="1"/>
  <c r="B856" i="1"/>
  <c r="C856" i="1"/>
  <c r="D856" i="1"/>
  <c r="E856" i="1"/>
  <c r="B837" i="1"/>
  <c r="C837" i="1"/>
  <c r="D837" i="1"/>
  <c r="E837" i="1"/>
  <c r="B838" i="1"/>
  <c r="C838" i="1"/>
  <c r="D838" i="1"/>
  <c r="E838" i="1"/>
  <c r="B839" i="1"/>
  <c r="C839" i="1"/>
  <c r="D839" i="1"/>
  <c r="E839" i="1"/>
  <c r="B840" i="1"/>
  <c r="C840" i="1"/>
  <c r="D840" i="1"/>
  <c r="E840" i="1"/>
  <c r="B841" i="1"/>
  <c r="C841" i="1"/>
  <c r="D841" i="1"/>
  <c r="E841" i="1"/>
  <c r="B842" i="1"/>
  <c r="C842" i="1"/>
  <c r="D842" i="1"/>
  <c r="E842" i="1"/>
  <c r="B843" i="1"/>
  <c r="C843" i="1"/>
  <c r="D843" i="1"/>
  <c r="E843" i="1"/>
  <c r="B844" i="1"/>
  <c r="C844" i="1"/>
  <c r="D844" i="1"/>
  <c r="E844" i="1"/>
  <c r="B845" i="1"/>
  <c r="C845" i="1"/>
  <c r="D845" i="1"/>
  <c r="E845" i="1"/>
  <c r="B846" i="1"/>
  <c r="C846" i="1"/>
  <c r="D846" i="1"/>
  <c r="E846" i="1"/>
  <c r="B827" i="1"/>
  <c r="C827" i="1"/>
  <c r="D827" i="1"/>
  <c r="E827" i="1"/>
  <c r="B828" i="1"/>
  <c r="C828" i="1"/>
  <c r="D828" i="1"/>
  <c r="E828" i="1"/>
  <c r="B829" i="1"/>
  <c r="C829" i="1"/>
  <c r="D829" i="1"/>
  <c r="E829" i="1"/>
  <c r="B830" i="1"/>
  <c r="C830" i="1"/>
  <c r="D830" i="1"/>
  <c r="E830" i="1"/>
  <c r="B831" i="1"/>
  <c r="C831" i="1"/>
  <c r="D831" i="1"/>
  <c r="E831" i="1"/>
  <c r="B832" i="1"/>
  <c r="C832" i="1"/>
  <c r="D832" i="1"/>
  <c r="E832" i="1"/>
  <c r="B833" i="1"/>
  <c r="C833" i="1"/>
  <c r="D833" i="1"/>
  <c r="E833" i="1"/>
  <c r="B834" i="1"/>
  <c r="C834" i="1"/>
  <c r="D834" i="1"/>
  <c r="E834" i="1"/>
  <c r="B835" i="1"/>
  <c r="C835" i="1"/>
  <c r="D835" i="1"/>
  <c r="E835" i="1"/>
  <c r="B836" i="1"/>
  <c r="C836" i="1"/>
  <c r="D836" i="1"/>
  <c r="E836" i="1"/>
  <c r="B818" i="1"/>
  <c r="C818" i="1"/>
  <c r="D818" i="1"/>
  <c r="E818" i="1"/>
  <c r="B819" i="1"/>
  <c r="C819" i="1"/>
  <c r="D819" i="1"/>
  <c r="E819" i="1"/>
  <c r="B820" i="1"/>
  <c r="C820" i="1"/>
  <c r="D820" i="1"/>
  <c r="E820" i="1"/>
  <c r="B821" i="1"/>
  <c r="C821" i="1"/>
  <c r="D821" i="1"/>
  <c r="E821" i="1"/>
  <c r="B822" i="1"/>
  <c r="C822" i="1"/>
  <c r="D822" i="1"/>
  <c r="E822" i="1"/>
  <c r="B823" i="1"/>
  <c r="C823" i="1"/>
  <c r="D823" i="1"/>
  <c r="E823" i="1"/>
  <c r="B824" i="1"/>
  <c r="C824" i="1"/>
  <c r="D824" i="1"/>
  <c r="E824" i="1"/>
  <c r="B825" i="1"/>
  <c r="C825" i="1"/>
  <c r="D825" i="1"/>
  <c r="E825" i="1"/>
  <c r="B826" i="1"/>
  <c r="C826" i="1"/>
  <c r="D826" i="1"/>
  <c r="E826" i="1"/>
  <c r="B809" i="1"/>
  <c r="C809" i="1"/>
  <c r="D809" i="1"/>
  <c r="E809" i="1"/>
  <c r="B810" i="1"/>
  <c r="C810" i="1"/>
  <c r="D810" i="1"/>
  <c r="E810" i="1"/>
  <c r="B811" i="1"/>
  <c r="C811" i="1"/>
  <c r="D811" i="1"/>
  <c r="E811" i="1"/>
  <c r="B812" i="1"/>
  <c r="C812" i="1"/>
  <c r="D812" i="1"/>
  <c r="E812" i="1"/>
  <c r="B813" i="1"/>
  <c r="C813" i="1"/>
  <c r="D813" i="1"/>
  <c r="E813" i="1"/>
  <c r="B814" i="1"/>
  <c r="C814" i="1"/>
  <c r="D814" i="1"/>
  <c r="E814" i="1"/>
  <c r="B815" i="1"/>
  <c r="C815" i="1"/>
  <c r="D815" i="1"/>
  <c r="E815" i="1"/>
  <c r="B816" i="1"/>
  <c r="C816" i="1"/>
  <c r="D816" i="1"/>
  <c r="E816" i="1"/>
  <c r="B817" i="1"/>
  <c r="C817" i="1"/>
  <c r="D817" i="1"/>
  <c r="E817" i="1"/>
  <c r="B803" i="1"/>
  <c r="C803" i="1"/>
  <c r="D803" i="1"/>
  <c r="E803" i="1"/>
  <c r="B804" i="1"/>
  <c r="C804" i="1"/>
  <c r="D804" i="1"/>
  <c r="E804" i="1"/>
  <c r="B805" i="1"/>
  <c r="C805" i="1"/>
  <c r="D805" i="1"/>
  <c r="E805" i="1"/>
  <c r="B806" i="1"/>
  <c r="C806" i="1"/>
  <c r="D806" i="1"/>
  <c r="E806" i="1"/>
  <c r="B807" i="1"/>
  <c r="C807" i="1"/>
  <c r="D807" i="1"/>
  <c r="E807" i="1"/>
  <c r="B808" i="1"/>
  <c r="C808" i="1"/>
  <c r="D808" i="1"/>
  <c r="E808" i="1"/>
  <c r="B794" i="1"/>
  <c r="C794" i="1"/>
  <c r="D794" i="1"/>
  <c r="E794" i="1"/>
  <c r="B795" i="1"/>
  <c r="C795" i="1"/>
  <c r="D795" i="1"/>
  <c r="E795" i="1"/>
  <c r="B796" i="1"/>
  <c r="C796" i="1"/>
  <c r="D796" i="1"/>
  <c r="E796" i="1"/>
  <c r="B797" i="1"/>
  <c r="C797" i="1"/>
  <c r="D797" i="1"/>
  <c r="E797" i="1"/>
  <c r="B798" i="1"/>
  <c r="C798" i="1"/>
  <c r="D798" i="1"/>
  <c r="E798" i="1"/>
  <c r="B799" i="1"/>
  <c r="C799" i="1"/>
  <c r="D799" i="1"/>
  <c r="E799" i="1"/>
  <c r="B800" i="1"/>
  <c r="C800" i="1"/>
  <c r="D800" i="1"/>
  <c r="E800" i="1"/>
  <c r="B801" i="1"/>
  <c r="C801" i="1"/>
  <c r="D801" i="1"/>
  <c r="E801" i="1"/>
  <c r="B802" i="1"/>
  <c r="C802" i="1"/>
  <c r="D802" i="1"/>
  <c r="E802" i="1"/>
  <c r="B785" i="1"/>
  <c r="C785" i="1"/>
  <c r="D785" i="1"/>
  <c r="E785" i="1"/>
  <c r="B786" i="1"/>
  <c r="C786" i="1"/>
  <c r="D786" i="1"/>
  <c r="E786" i="1"/>
  <c r="B787" i="1"/>
  <c r="C787" i="1"/>
  <c r="D787" i="1"/>
  <c r="E787" i="1"/>
  <c r="B788" i="1"/>
  <c r="C788" i="1"/>
  <c r="D788" i="1"/>
  <c r="E788" i="1"/>
  <c r="B789" i="1"/>
  <c r="C789" i="1"/>
  <c r="D789" i="1"/>
  <c r="E789" i="1"/>
  <c r="B790" i="1"/>
  <c r="C790" i="1"/>
  <c r="D790" i="1"/>
  <c r="E790" i="1"/>
  <c r="B791" i="1"/>
  <c r="C791" i="1"/>
  <c r="D791" i="1"/>
  <c r="E791" i="1"/>
  <c r="B792" i="1"/>
  <c r="C792" i="1"/>
  <c r="D792" i="1"/>
  <c r="E792" i="1"/>
  <c r="B793" i="1"/>
  <c r="C793" i="1"/>
  <c r="D793" i="1"/>
  <c r="E793" i="1"/>
  <c r="B776" i="1"/>
  <c r="C776" i="1"/>
  <c r="D776" i="1"/>
  <c r="E776" i="1"/>
  <c r="B777" i="1"/>
  <c r="C777" i="1"/>
  <c r="D777" i="1"/>
  <c r="E777" i="1"/>
  <c r="B778" i="1"/>
  <c r="C778" i="1"/>
  <c r="D778" i="1"/>
  <c r="E778" i="1"/>
  <c r="B779" i="1"/>
  <c r="C779" i="1"/>
  <c r="D779" i="1"/>
  <c r="E779" i="1"/>
  <c r="B780" i="1"/>
  <c r="C780" i="1"/>
  <c r="D780" i="1"/>
  <c r="E780" i="1"/>
  <c r="B781" i="1"/>
  <c r="C781" i="1"/>
  <c r="D781" i="1"/>
  <c r="E781" i="1"/>
  <c r="B782" i="1"/>
  <c r="C782" i="1"/>
  <c r="D782" i="1"/>
  <c r="E782" i="1"/>
  <c r="B783" i="1"/>
  <c r="C783" i="1"/>
  <c r="D783" i="1"/>
  <c r="E783" i="1"/>
  <c r="B784" i="1"/>
  <c r="C784" i="1"/>
  <c r="D784" i="1"/>
  <c r="E784" i="1"/>
  <c r="B766" i="1"/>
  <c r="C766" i="1"/>
  <c r="D766" i="1"/>
  <c r="E766" i="1"/>
  <c r="B767" i="1"/>
  <c r="C767" i="1"/>
  <c r="D767" i="1"/>
  <c r="E767" i="1"/>
  <c r="B768" i="1"/>
  <c r="C768" i="1"/>
  <c r="D768" i="1"/>
  <c r="E768" i="1"/>
  <c r="B769" i="1"/>
  <c r="C769" i="1"/>
  <c r="D769" i="1"/>
  <c r="E769" i="1"/>
  <c r="B770" i="1"/>
  <c r="C770" i="1"/>
  <c r="D770" i="1"/>
  <c r="E770" i="1"/>
  <c r="B771" i="1"/>
  <c r="C771" i="1"/>
  <c r="D771" i="1"/>
  <c r="E771" i="1"/>
  <c r="B772" i="1"/>
  <c r="C772" i="1"/>
  <c r="D772" i="1"/>
  <c r="E772" i="1"/>
  <c r="B773" i="1"/>
  <c r="C773" i="1"/>
  <c r="D773" i="1"/>
  <c r="E773" i="1"/>
  <c r="B774" i="1"/>
  <c r="C774" i="1"/>
  <c r="D774" i="1"/>
  <c r="E774" i="1"/>
  <c r="B775" i="1"/>
  <c r="C775" i="1"/>
  <c r="D775" i="1"/>
  <c r="E775" i="1"/>
  <c r="B756" i="1"/>
  <c r="C756" i="1"/>
  <c r="D756" i="1"/>
  <c r="E756" i="1"/>
  <c r="B757" i="1"/>
  <c r="C757" i="1"/>
  <c r="D757" i="1"/>
  <c r="E757" i="1"/>
  <c r="B758" i="1"/>
  <c r="C758" i="1"/>
  <c r="D758" i="1"/>
  <c r="E758" i="1"/>
  <c r="B759" i="1"/>
  <c r="C759" i="1"/>
  <c r="D759" i="1"/>
  <c r="E759" i="1"/>
  <c r="B760" i="1"/>
  <c r="C760" i="1"/>
  <c r="D760" i="1"/>
  <c r="E760" i="1"/>
  <c r="B761" i="1"/>
  <c r="C761" i="1"/>
  <c r="D761" i="1"/>
  <c r="E761" i="1"/>
  <c r="B762" i="1"/>
  <c r="C762" i="1"/>
  <c r="D762" i="1"/>
  <c r="E762" i="1"/>
  <c r="B763" i="1"/>
  <c r="C763" i="1"/>
  <c r="D763" i="1"/>
  <c r="E763" i="1"/>
  <c r="B764" i="1"/>
  <c r="C764" i="1"/>
  <c r="D764" i="1"/>
  <c r="E764" i="1"/>
  <c r="B765" i="1"/>
  <c r="C765" i="1"/>
  <c r="D765" i="1"/>
  <c r="E765" i="1"/>
  <c r="B746" i="1"/>
  <c r="C746" i="1"/>
  <c r="D746" i="1"/>
  <c r="E746" i="1"/>
  <c r="B747" i="1"/>
  <c r="C747" i="1"/>
  <c r="D747" i="1"/>
  <c r="E747" i="1"/>
  <c r="B748" i="1"/>
  <c r="C748" i="1"/>
  <c r="D748" i="1"/>
  <c r="E748" i="1"/>
  <c r="B749" i="1"/>
  <c r="C749" i="1"/>
  <c r="D749" i="1"/>
  <c r="E749" i="1"/>
  <c r="B750" i="1"/>
  <c r="C750" i="1"/>
  <c r="D750" i="1"/>
  <c r="E750" i="1"/>
  <c r="B751" i="1"/>
  <c r="C751" i="1"/>
  <c r="D751" i="1"/>
  <c r="E751" i="1"/>
  <c r="B752" i="1"/>
  <c r="C752" i="1"/>
  <c r="D752" i="1"/>
  <c r="E752" i="1"/>
  <c r="B753" i="1"/>
  <c r="C753" i="1"/>
  <c r="D753" i="1"/>
  <c r="E753" i="1"/>
  <c r="B754" i="1"/>
  <c r="C754" i="1"/>
  <c r="D754" i="1"/>
  <c r="E754" i="1"/>
  <c r="B755" i="1"/>
  <c r="C755" i="1"/>
  <c r="D755" i="1"/>
  <c r="E755" i="1"/>
  <c r="B736" i="1"/>
  <c r="C736" i="1"/>
  <c r="D736" i="1"/>
  <c r="E736" i="1"/>
  <c r="B737" i="1"/>
  <c r="C737" i="1"/>
  <c r="D737" i="1"/>
  <c r="E737" i="1"/>
  <c r="B738" i="1"/>
  <c r="C738" i="1"/>
  <c r="D738" i="1"/>
  <c r="E738" i="1"/>
  <c r="B739" i="1"/>
  <c r="C739" i="1"/>
  <c r="D739" i="1"/>
  <c r="E739" i="1"/>
  <c r="B740" i="1"/>
  <c r="C740" i="1"/>
  <c r="D740" i="1"/>
  <c r="E740" i="1"/>
  <c r="B741" i="1"/>
  <c r="C741" i="1"/>
  <c r="D741" i="1"/>
  <c r="E741" i="1"/>
  <c r="B742" i="1"/>
  <c r="C742" i="1"/>
  <c r="D742" i="1"/>
  <c r="E742" i="1"/>
  <c r="B743" i="1"/>
  <c r="C743" i="1"/>
  <c r="D743" i="1"/>
  <c r="E743" i="1"/>
  <c r="B744" i="1"/>
  <c r="C744" i="1"/>
  <c r="D744" i="1"/>
  <c r="E744" i="1"/>
  <c r="B745" i="1"/>
  <c r="C745" i="1"/>
  <c r="D745" i="1"/>
  <c r="E745" i="1"/>
  <c r="B726" i="1"/>
  <c r="C726" i="1"/>
  <c r="D726" i="1"/>
  <c r="E726" i="1"/>
  <c r="B727" i="1"/>
  <c r="C727" i="1"/>
  <c r="D727" i="1"/>
  <c r="E727" i="1"/>
  <c r="B728" i="1"/>
  <c r="C728" i="1"/>
  <c r="D728" i="1"/>
  <c r="E728" i="1"/>
  <c r="B729" i="1"/>
  <c r="C729" i="1"/>
  <c r="D729" i="1"/>
  <c r="E729" i="1"/>
  <c r="B730" i="1"/>
  <c r="C730" i="1"/>
  <c r="D730" i="1"/>
  <c r="E730" i="1"/>
  <c r="B731" i="1"/>
  <c r="C731" i="1"/>
  <c r="D731" i="1"/>
  <c r="E731" i="1"/>
  <c r="B732" i="1"/>
  <c r="C732" i="1"/>
  <c r="D732" i="1"/>
  <c r="E732" i="1"/>
  <c r="B733" i="1"/>
  <c r="C733" i="1"/>
  <c r="D733" i="1"/>
  <c r="E733" i="1"/>
  <c r="B734" i="1"/>
  <c r="C734" i="1"/>
  <c r="D734" i="1"/>
  <c r="E734" i="1"/>
  <c r="B735" i="1"/>
  <c r="C735" i="1"/>
  <c r="D735" i="1"/>
  <c r="E735" i="1"/>
  <c r="B717" i="1"/>
  <c r="C717" i="1"/>
  <c r="D717" i="1"/>
  <c r="E717" i="1"/>
  <c r="B718" i="1"/>
  <c r="C718" i="1"/>
  <c r="D718" i="1"/>
  <c r="E718" i="1"/>
  <c r="B719" i="1"/>
  <c r="C719" i="1"/>
  <c r="D719" i="1"/>
  <c r="E719" i="1"/>
  <c r="B720" i="1"/>
  <c r="C720" i="1"/>
  <c r="D720" i="1"/>
  <c r="E720" i="1"/>
  <c r="B721" i="1"/>
  <c r="C721" i="1"/>
  <c r="D721" i="1"/>
  <c r="E721" i="1"/>
  <c r="B722" i="1"/>
  <c r="C722" i="1"/>
  <c r="D722" i="1"/>
  <c r="E722" i="1"/>
  <c r="B723" i="1"/>
  <c r="C723" i="1"/>
  <c r="D723" i="1"/>
  <c r="E723" i="1"/>
  <c r="B724" i="1"/>
  <c r="C724" i="1"/>
  <c r="D724" i="1"/>
  <c r="E724" i="1"/>
  <c r="B725" i="1"/>
  <c r="C725" i="1"/>
  <c r="D725" i="1"/>
  <c r="E725" i="1"/>
  <c r="B707" i="1"/>
  <c r="C707" i="1"/>
  <c r="D707" i="1"/>
  <c r="E707" i="1"/>
  <c r="B708" i="1"/>
  <c r="C708" i="1"/>
  <c r="D708" i="1"/>
  <c r="E708" i="1"/>
  <c r="B709" i="1"/>
  <c r="C709" i="1"/>
  <c r="D709" i="1"/>
  <c r="E709" i="1"/>
  <c r="B710" i="1"/>
  <c r="C710" i="1"/>
  <c r="D710" i="1"/>
  <c r="E710" i="1"/>
  <c r="B711" i="1"/>
  <c r="C711" i="1"/>
  <c r="D711" i="1"/>
  <c r="E711" i="1"/>
  <c r="B712" i="1"/>
  <c r="C712" i="1"/>
  <c r="D712" i="1"/>
  <c r="E712" i="1"/>
  <c r="B713" i="1"/>
  <c r="C713" i="1"/>
  <c r="D713" i="1"/>
  <c r="E713" i="1"/>
  <c r="B714" i="1"/>
  <c r="C714" i="1"/>
  <c r="D714" i="1"/>
  <c r="E714" i="1"/>
  <c r="B715" i="1"/>
  <c r="C715" i="1"/>
  <c r="D715" i="1"/>
  <c r="E715" i="1"/>
  <c r="B716" i="1"/>
  <c r="C716" i="1"/>
  <c r="D716" i="1"/>
  <c r="E716" i="1"/>
  <c r="B697" i="1"/>
  <c r="C697" i="1"/>
  <c r="D697" i="1"/>
  <c r="E697" i="1"/>
  <c r="B698" i="1"/>
  <c r="C698" i="1"/>
  <c r="D698" i="1"/>
  <c r="E698" i="1"/>
  <c r="B699" i="1"/>
  <c r="C699" i="1"/>
  <c r="D699" i="1"/>
  <c r="E699" i="1"/>
  <c r="B700" i="1"/>
  <c r="C700" i="1"/>
  <c r="D700" i="1"/>
  <c r="E700" i="1"/>
  <c r="B701" i="1"/>
  <c r="C701" i="1"/>
  <c r="D701" i="1"/>
  <c r="E701" i="1"/>
  <c r="B702" i="1"/>
  <c r="C702" i="1"/>
  <c r="D702" i="1"/>
  <c r="E702" i="1"/>
  <c r="B703" i="1"/>
  <c r="C703" i="1"/>
  <c r="D703" i="1"/>
  <c r="E703" i="1"/>
  <c r="B704" i="1"/>
  <c r="C704" i="1"/>
  <c r="D704" i="1"/>
  <c r="E704" i="1"/>
  <c r="B705" i="1"/>
  <c r="C705" i="1"/>
  <c r="D705" i="1"/>
  <c r="E705" i="1"/>
  <c r="B706" i="1"/>
  <c r="C706" i="1"/>
  <c r="D706" i="1"/>
  <c r="E706" i="1"/>
  <c r="B687" i="1"/>
  <c r="C687" i="1"/>
  <c r="D687" i="1"/>
  <c r="E687" i="1"/>
  <c r="B688" i="1"/>
  <c r="C688" i="1"/>
  <c r="D688" i="1"/>
  <c r="E688" i="1"/>
  <c r="B689" i="1"/>
  <c r="C689" i="1"/>
  <c r="D689" i="1"/>
  <c r="E689" i="1"/>
  <c r="B690" i="1"/>
  <c r="C690" i="1"/>
  <c r="D690" i="1"/>
  <c r="E690" i="1"/>
  <c r="B691" i="1"/>
  <c r="C691" i="1"/>
  <c r="D691" i="1"/>
  <c r="E691" i="1"/>
  <c r="B692" i="1"/>
  <c r="C692" i="1"/>
  <c r="D692" i="1"/>
  <c r="E692" i="1"/>
  <c r="B693" i="1"/>
  <c r="C693" i="1"/>
  <c r="D693" i="1"/>
  <c r="E693" i="1"/>
  <c r="B694" i="1"/>
  <c r="C694" i="1"/>
  <c r="D694" i="1"/>
  <c r="E694" i="1"/>
  <c r="B695" i="1"/>
  <c r="C695" i="1"/>
  <c r="D695" i="1"/>
  <c r="E695" i="1"/>
  <c r="B696" i="1"/>
  <c r="C696" i="1"/>
  <c r="D696" i="1"/>
  <c r="E696" i="1"/>
  <c r="B677" i="1"/>
  <c r="C677" i="1"/>
  <c r="D677" i="1"/>
  <c r="E677" i="1"/>
  <c r="B678" i="1"/>
  <c r="C678" i="1"/>
  <c r="D678" i="1"/>
  <c r="E678" i="1"/>
  <c r="B679" i="1"/>
  <c r="C679" i="1"/>
  <c r="D679" i="1"/>
  <c r="E679" i="1"/>
  <c r="B680" i="1"/>
  <c r="C680" i="1"/>
  <c r="D680" i="1"/>
  <c r="E680" i="1"/>
  <c r="B681" i="1"/>
  <c r="C681" i="1"/>
  <c r="D681" i="1"/>
  <c r="E681" i="1"/>
  <c r="B682" i="1"/>
  <c r="C682" i="1"/>
  <c r="D682" i="1"/>
  <c r="E682" i="1"/>
  <c r="B683" i="1"/>
  <c r="C683" i="1"/>
  <c r="D683" i="1"/>
  <c r="E683" i="1"/>
  <c r="B684" i="1"/>
  <c r="C684" i="1"/>
  <c r="D684" i="1"/>
  <c r="E684" i="1"/>
  <c r="B685" i="1"/>
  <c r="C685" i="1"/>
  <c r="D685" i="1"/>
  <c r="E685" i="1"/>
  <c r="B686" i="1"/>
  <c r="C686" i="1"/>
  <c r="D686" i="1"/>
  <c r="E686" i="1"/>
  <c r="B667" i="1"/>
  <c r="C667" i="1"/>
  <c r="D667" i="1"/>
  <c r="E667" i="1"/>
  <c r="B668" i="1"/>
  <c r="C668" i="1"/>
  <c r="D668" i="1"/>
  <c r="E668" i="1"/>
  <c r="B669" i="1"/>
  <c r="C669" i="1"/>
  <c r="D669" i="1"/>
  <c r="E669" i="1"/>
  <c r="B670" i="1"/>
  <c r="C670" i="1"/>
  <c r="D670" i="1"/>
  <c r="E670" i="1"/>
  <c r="B671" i="1"/>
  <c r="C671" i="1"/>
  <c r="D671" i="1"/>
  <c r="E671" i="1"/>
  <c r="B672" i="1"/>
  <c r="C672" i="1"/>
  <c r="D672" i="1"/>
  <c r="E672" i="1"/>
  <c r="B673" i="1"/>
  <c r="C673" i="1"/>
  <c r="D673" i="1"/>
  <c r="E673" i="1"/>
  <c r="B674" i="1"/>
  <c r="C674" i="1"/>
  <c r="D674" i="1"/>
  <c r="E674" i="1"/>
  <c r="B675" i="1"/>
  <c r="C675" i="1"/>
  <c r="D675" i="1"/>
  <c r="E675" i="1"/>
  <c r="B676" i="1"/>
  <c r="C676" i="1"/>
  <c r="D676" i="1"/>
  <c r="E676" i="1"/>
  <c r="B657" i="1"/>
  <c r="C657" i="1"/>
  <c r="D657" i="1"/>
  <c r="E657" i="1"/>
  <c r="B658" i="1"/>
  <c r="C658" i="1"/>
  <c r="D658" i="1"/>
  <c r="E658" i="1"/>
  <c r="B659" i="1"/>
  <c r="C659" i="1"/>
  <c r="D659" i="1"/>
  <c r="E659" i="1"/>
  <c r="B660" i="1"/>
  <c r="C660" i="1"/>
  <c r="D660" i="1"/>
  <c r="E660" i="1"/>
  <c r="B661" i="1"/>
  <c r="C661" i="1"/>
  <c r="D661" i="1"/>
  <c r="E661" i="1"/>
  <c r="B662" i="1"/>
  <c r="C662" i="1"/>
  <c r="D662" i="1"/>
  <c r="E662" i="1"/>
  <c r="B663" i="1"/>
  <c r="C663" i="1"/>
  <c r="D663" i="1"/>
  <c r="E663" i="1"/>
  <c r="B664" i="1"/>
  <c r="C664" i="1"/>
  <c r="D664" i="1"/>
  <c r="E664" i="1"/>
  <c r="B665" i="1"/>
  <c r="C665" i="1"/>
  <c r="D665" i="1"/>
  <c r="E665" i="1"/>
  <c r="B666" i="1"/>
  <c r="C666" i="1"/>
  <c r="D666" i="1"/>
  <c r="E666" i="1"/>
  <c r="B647" i="1"/>
  <c r="C647" i="1"/>
  <c r="E647" i="1"/>
  <c r="B648" i="1"/>
  <c r="C648" i="1"/>
  <c r="D648" i="1"/>
  <c r="E648" i="1"/>
  <c r="B649" i="1"/>
  <c r="C649" i="1"/>
  <c r="D649" i="1"/>
  <c r="E649" i="1"/>
  <c r="B650" i="1"/>
  <c r="C650" i="1"/>
  <c r="D650" i="1"/>
  <c r="E650" i="1"/>
  <c r="B651" i="1"/>
  <c r="C651" i="1"/>
  <c r="D651" i="1"/>
  <c r="E651" i="1"/>
  <c r="B652" i="1"/>
  <c r="C652" i="1"/>
  <c r="D652" i="1"/>
  <c r="E652" i="1"/>
  <c r="B653" i="1"/>
  <c r="C653" i="1"/>
  <c r="D653" i="1"/>
  <c r="E653" i="1"/>
  <c r="B654" i="1"/>
  <c r="C654" i="1"/>
  <c r="D654" i="1"/>
  <c r="E654" i="1"/>
  <c r="B655" i="1"/>
  <c r="C655" i="1"/>
  <c r="D655" i="1"/>
  <c r="E655" i="1"/>
  <c r="B656" i="1"/>
  <c r="C656" i="1"/>
  <c r="D656" i="1"/>
  <c r="E656" i="1"/>
  <c r="B637" i="1"/>
  <c r="C637" i="1"/>
  <c r="E637" i="1"/>
  <c r="B638" i="1"/>
  <c r="C638" i="1"/>
  <c r="D638" i="1"/>
  <c r="E638" i="1"/>
  <c r="B639" i="1"/>
  <c r="C639" i="1"/>
  <c r="E639" i="1"/>
  <c r="B640" i="1"/>
  <c r="C640" i="1"/>
  <c r="D640" i="1"/>
  <c r="E640" i="1"/>
  <c r="B641" i="1"/>
  <c r="C641" i="1"/>
  <c r="E641" i="1"/>
  <c r="B642" i="1"/>
  <c r="C642" i="1"/>
  <c r="E642" i="1"/>
  <c r="B643" i="1"/>
  <c r="C643" i="1"/>
  <c r="D643" i="1"/>
  <c r="E643" i="1"/>
  <c r="B644" i="1"/>
  <c r="C644" i="1"/>
  <c r="E644" i="1"/>
  <c r="B645" i="1"/>
  <c r="C645" i="1"/>
  <c r="D645" i="1"/>
  <c r="E645" i="1"/>
  <c r="B646" i="1"/>
  <c r="C646" i="1"/>
  <c r="D646" i="1"/>
  <c r="E646" i="1"/>
  <c r="B627" i="1"/>
  <c r="C627" i="1"/>
  <c r="D627" i="1"/>
  <c r="E627" i="1"/>
  <c r="B628" i="1"/>
  <c r="C628" i="1"/>
  <c r="D628" i="1"/>
  <c r="E628" i="1"/>
  <c r="B629" i="1"/>
  <c r="C629" i="1"/>
  <c r="D629" i="1"/>
  <c r="E629" i="1"/>
  <c r="B630" i="1"/>
  <c r="C630" i="1"/>
  <c r="D630" i="1"/>
  <c r="E630" i="1"/>
  <c r="B631" i="1"/>
  <c r="C631" i="1"/>
  <c r="D631" i="1"/>
  <c r="E631" i="1"/>
  <c r="B632" i="1"/>
  <c r="C632" i="1"/>
  <c r="D632" i="1"/>
  <c r="E632" i="1"/>
  <c r="B633" i="1"/>
  <c r="C633" i="1"/>
  <c r="D633" i="1"/>
  <c r="E633" i="1"/>
  <c r="B634" i="1"/>
  <c r="C634" i="1"/>
  <c r="E634" i="1"/>
  <c r="B635" i="1"/>
  <c r="C635" i="1"/>
  <c r="D635" i="1"/>
  <c r="E635" i="1"/>
  <c r="B636" i="1"/>
  <c r="C636" i="1"/>
  <c r="E636" i="1"/>
  <c r="B618" i="1"/>
  <c r="C618" i="1"/>
  <c r="D618" i="1"/>
  <c r="E618" i="1"/>
  <c r="B619" i="1"/>
  <c r="C619" i="1"/>
  <c r="D619" i="1"/>
  <c r="E619" i="1"/>
  <c r="B620" i="1"/>
  <c r="C620" i="1"/>
  <c r="D620" i="1"/>
  <c r="E620" i="1"/>
  <c r="B621" i="1"/>
  <c r="C621" i="1"/>
  <c r="D621" i="1"/>
  <c r="E621" i="1"/>
  <c r="B622" i="1"/>
  <c r="C622" i="1"/>
  <c r="D622" i="1"/>
  <c r="E622" i="1"/>
  <c r="B623" i="1"/>
  <c r="C623" i="1"/>
  <c r="D623" i="1"/>
  <c r="E623" i="1"/>
  <c r="B624" i="1"/>
  <c r="C624" i="1"/>
  <c r="D624" i="1"/>
  <c r="E624" i="1"/>
  <c r="B625" i="1"/>
  <c r="C625" i="1"/>
  <c r="D625" i="1"/>
  <c r="E625" i="1"/>
  <c r="B626" i="1"/>
  <c r="C626" i="1"/>
  <c r="D626" i="1"/>
  <c r="E626" i="1"/>
  <c r="B609" i="1"/>
  <c r="C609" i="1"/>
  <c r="D609" i="1"/>
  <c r="E609" i="1"/>
  <c r="B610" i="1"/>
  <c r="C610" i="1"/>
  <c r="D610" i="1"/>
  <c r="E610" i="1"/>
  <c r="B611" i="1"/>
  <c r="C611" i="1"/>
  <c r="D611" i="1"/>
  <c r="E611" i="1"/>
  <c r="B612" i="1"/>
  <c r="C612" i="1"/>
  <c r="D612" i="1"/>
  <c r="E612" i="1"/>
  <c r="B613" i="1"/>
  <c r="C613" i="1"/>
  <c r="D613" i="1"/>
  <c r="E613" i="1"/>
  <c r="B614" i="1"/>
  <c r="C614" i="1"/>
  <c r="D614" i="1"/>
  <c r="E614" i="1"/>
  <c r="B615" i="1"/>
  <c r="C615" i="1"/>
  <c r="D615" i="1"/>
  <c r="E615" i="1"/>
  <c r="B616" i="1"/>
  <c r="C616" i="1"/>
  <c r="D616" i="1"/>
  <c r="E616" i="1"/>
  <c r="B617" i="1"/>
  <c r="C617" i="1"/>
  <c r="D617" i="1"/>
  <c r="E617" i="1"/>
  <c r="B600" i="1"/>
  <c r="C600" i="1"/>
  <c r="D600" i="1"/>
  <c r="E600" i="1"/>
  <c r="B601" i="1"/>
  <c r="C601" i="1"/>
  <c r="D601" i="1"/>
  <c r="E601" i="1"/>
  <c r="B602" i="1"/>
  <c r="C602" i="1"/>
  <c r="D602" i="1"/>
  <c r="E602" i="1"/>
  <c r="B603" i="1"/>
  <c r="C603" i="1"/>
  <c r="D603" i="1"/>
  <c r="E603" i="1"/>
  <c r="B604" i="1"/>
  <c r="C604" i="1"/>
  <c r="D604" i="1"/>
  <c r="E604" i="1"/>
  <c r="B605" i="1"/>
  <c r="C605" i="1"/>
  <c r="D605" i="1"/>
  <c r="E605" i="1"/>
  <c r="B606" i="1"/>
  <c r="C606" i="1"/>
  <c r="D606" i="1"/>
  <c r="E606" i="1"/>
  <c r="B607" i="1"/>
  <c r="C607" i="1"/>
  <c r="D607" i="1"/>
  <c r="E607" i="1"/>
  <c r="B608" i="1"/>
  <c r="C608" i="1"/>
  <c r="D608" i="1"/>
  <c r="E608" i="1"/>
  <c r="B591" i="1"/>
  <c r="C591" i="1"/>
  <c r="D591" i="1"/>
  <c r="E591" i="1"/>
  <c r="B592" i="1"/>
  <c r="C592" i="1"/>
  <c r="D592" i="1"/>
  <c r="E592" i="1"/>
  <c r="B593" i="1"/>
  <c r="C593" i="1"/>
  <c r="D593" i="1"/>
  <c r="E593" i="1"/>
  <c r="B594" i="1"/>
  <c r="C594" i="1"/>
  <c r="D594" i="1"/>
  <c r="E594" i="1"/>
  <c r="B595" i="1"/>
  <c r="C595" i="1"/>
  <c r="D595" i="1"/>
  <c r="E595" i="1"/>
  <c r="B596" i="1"/>
  <c r="C596" i="1"/>
  <c r="D596" i="1"/>
  <c r="E596" i="1"/>
  <c r="B597" i="1"/>
  <c r="C597" i="1"/>
  <c r="D597" i="1"/>
  <c r="E597" i="1"/>
  <c r="B598" i="1"/>
  <c r="C598" i="1"/>
  <c r="D598" i="1"/>
  <c r="E598" i="1"/>
  <c r="B599" i="1"/>
  <c r="C599" i="1"/>
  <c r="D599" i="1"/>
  <c r="E599" i="1"/>
  <c r="B581" i="1"/>
  <c r="C581" i="1"/>
  <c r="D581" i="1"/>
  <c r="E581" i="1"/>
  <c r="B582" i="1"/>
  <c r="C582" i="1"/>
  <c r="D582" i="1"/>
  <c r="E582" i="1"/>
  <c r="B583" i="1"/>
  <c r="C583" i="1"/>
  <c r="D583" i="1"/>
  <c r="E583" i="1"/>
  <c r="B584" i="1"/>
  <c r="C584" i="1"/>
  <c r="D584" i="1"/>
  <c r="E584" i="1"/>
  <c r="B585" i="1"/>
  <c r="C585" i="1"/>
  <c r="D585" i="1"/>
  <c r="E585" i="1"/>
  <c r="B586" i="1"/>
  <c r="C586" i="1"/>
  <c r="D586" i="1"/>
  <c r="E586" i="1"/>
  <c r="B587" i="1"/>
  <c r="C587" i="1"/>
  <c r="D587" i="1"/>
  <c r="E587" i="1"/>
  <c r="B588" i="1"/>
  <c r="C588" i="1"/>
  <c r="D588" i="1"/>
  <c r="E588" i="1"/>
  <c r="B589" i="1"/>
  <c r="C589" i="1"/>
  <c r="D589" i="1"/>
  <c r="E589" i="1"/>
  <c r="B590" i="1"/>
  <c r="C590" i="1"/>
  <c r="D590" i="1"/>
  <c r="E590" i="1"/>
  <c r="B572" i="1"/>
  <c r="C572" i="1"/>
  <c r="D572" i="1"/>
  <c r="E572" i="1"/>
  <c r="B573" i="1"/>
  <c r="C573" i="1"/>
  <c r="D573" i="1"/>
  <c r="E573" i="1"/>
  <c r="B574" i="1"/>
  <c r="C574" i="1"/>
  <c r="D574" i="1"/>
  <c r="E574" i="1"/>
  <c r="B575" i="1"/>
  <c r="C575" i="1"/>
  <c r="D575" i="1"/>
  <c r="E575" i="1"/>
  <c r="B576" i="1"/>
  <c r="C576" i="1"/>
  <c r="D576" i="1"/>
  <c r="E576" i="1"/>
  <c r="B577" i="1"/>
  <c r="C577" i="1"/>
  <c r="D577" i="1"/>
  <c r="E577" i="1"/>
  <c r="B578" i="1"/>
  <c r="C578" i="1"/>
  <c r="D578" i="1"/>
  <c r="E578" i="1"/>
  <c r="B579" i="1"/>
  <c r="C579" i="1"/>
  <c r="D579" i="1"/>
  <c r="E579" i="1"/>
  <c r="B580" i="1"/>
  <c r="C580" i="1"/>
  <c r="D580" i="1"/>
  <c r="E580" i="1"/>
  <c r="B562" i="1"/>
  <c r="C562" i="1"/>
  <c r="D562" i="1"/>
  <c r="E562" i="1"/>
  <c r="B563" i="1"/>
  <c r="C563" i="1"/>
  <c r="D563" i="1"/>
  <c r="E563" i="1"/>
  <c r="B564" i="1"/>
  <c r="C564" i="1"/>
  <c r="D564" i="1"/>
  <c r="E564" i="1"/>
  <c r="B565" i="1"/>
  <c r="C565" i="1"/>
  <c r="D565" i="1"/>
  <c r="E565" i="1"/>
  <c r="B566" i="1"/>
  <c r="C566" i="1"/>
  <c r="D566" i="1"/>
  <c r="E566" i="1"/>
  <c r="B567" i="1"/>
  <c r="C567" i="1"/>
  <c r="D567" i="1"/>
  <c r="E567" i="1"/>
  <c r="B568" i="1"/>
  <c r="C568" i="1"/>
  <c r="D568" i="1"/>
  <c r="E568" i="1"/>
  <c r="B569" i="1"/>
  <c r="C569" i="1"/>
  <c r="D569" i="1"/>
  <c r="E569" i="1"/>
  <c r="B570" i="1"/>
  <c r="C570" i="1"/>
  <c r="D570" i="1"/>
  <c r="E570" i="1"/>
  <c r="B571" i="1"/>
  <c r="C571" i="1"/>
  <c r="D571" i="1"/>
  <c r="E571" i="1"/>
  <c r="B553" i="1"/>
  <c r="C553" i="1"/>
  <c r="D553" i="1"/>
  <c r="E553" i="1"/>
  <c r="B554" i="1"/>
  <c r="C554" i="1"/>
  <c r="D554" i="1"/>
  <c r="E554" i="1"/>
  <c r="B555" i="1"/>
  <c r="C555" i="1"/>
  <c r="D555" i="1"/>
  <c r="E555" i="1"/>
  <c r="B556" i="1"/>
  <c r="C556" i="1"/>
  <c r="D556" i="1"/>
  <c r="E556" i="1"/>
  <c r="B557" i="1"/>
  <c r="C557" i="1"/>
  <c r="D557" i="1"/>
  <c r="E557" i="1"/>
  <c r="B558" i="1"/>
  <c r="C558" i="1"/>
  <c r="D558" i="1"/>
  <c r="E558" i="1"/>
  <c r="B559" i="1"/>
  <c r="C559" i="1"/>
  <c r="D559" i="1"/>
  <c r="E559" i="1"/>
  <c r="B560" i="1"/>
  <c r="C560" i="1"/>
  <c r="D560" i="1"/>
  <c r="E560" i="1"/>
  <c r="B561" i="1"/>
  <c r="C561" i="1"/>
  <c r="D561" i="1"/>
  <c r="E561" i="1"/>
  <c r="B544" i="1"/>
  <c r="C544" i="1"/>
  <c r="D544" i="1"/>
  <c r="E544" i="1"/>
  <c r="B545" i="1"/>
  <c r="C545" i="1"/>
  <c r="D545" i="1"/>
  <c r="E545" i="1"/>
  <c r="B546" i="1"/>
  <c r="C546" i="1"/>
  <c r="D546" i="1"/>
  <c r="E546" i="1"/>
  <c r="B547" i="1"/>
  <c r="C547" i="1"/>
  <c r="D547" i="1"/>
  <c r="E547" i="1"/>
  <c r="B548" i="1"/>
  <c r="C548" i="1"/>
  <c r="D548" i="1"/>
  <c r="E548" i="1"/>
  <c r="B549" i="1"/>
  <c r="C549" i="1"/>
  <c r="D549" i="1"/>
  <c r="E549" i="1"/>
  <c r="B550" i="1"/>
  <c r="C550" i="1"/>
  <c r="D550" i="1"/>
  <c r="E550" i="1"/>
  <c r="B551" i="1"/>
  <c r="C551" i="1"/>
  <c r="D551" i="1"/>
  <c r="E551" i="1"/>
  <c r="B552" i="1"/>
  <c r="C552" i="1"/>
  <c r="D552" i="1"/>
  <c r="E552" i="1"/>
  <c r="B534" i="1"/>
  <c r="C534" i="1"/>
  <c r="D534" i="1"/>
  <c r="E534" i="1"/>
  <c r="B535" i="1"/>
  <c r="C535" i="1"/>
  <c r="D535" i="1"/>
  <c r="E535" i="1"/>
  <c r="B536" i="1"/>
  <c r="C536" i="1"/>
  <c r="D536" i="1"/>
  <c r="E536" i="1"/>
  <c r="B537" i="1"/>
  <c r="C537" i="1"/>
  <c r="D537" i="1"/>
  <c r="E537" i="1"/>
  <c r="B538" i="1"/>
  <c r="C538" i="1"/>
  <c r="D538" i="1"/>
  <c r="E538" i="1"/>
  <c r="B539" i="1"/>
  <c r="C539" i="1"/>
  <c r="D539" i="1"/>
  <c r="E539" i="1"/>
  <c r="B540" i="1"/>
  <c r="C540" i="1"/>
  <c r="D540" i="1"/>
  <c r="E540" i="1"/>
  <c r="B541" i="1"/>
  <c r="C541" i="1"/>
  <c r="D541" i="1"/>
  <c r="E541" i="1"/>
  <c r="B542" i="1"/>
  <c r="C542" i="1"/>
  <c r="D542" i="1"/>
  <c r="E542" i="1"/>
  <c r="B543" i="1"/>
  <c r="C543" i="1"/>
  <c r="D543" i="1"/>
  <c r="E543" i="1"/>
  <c r="B525" i="1"/>
  <c r="C525" i="1"/>
  <c r="D525" i="1"/>
  <c r="E525" i="1"/>
  <c r="B526" i="1"/>
  <c r="C526" i="1"/>
  <c r="D526" i="1"/>
  <c r="E526" i="1"/>
  <c r="B527" i="1"/>
  <c r="C527" i="1"/>
  <c r="D527" i="1"/>
  <c r="E527" i="1"/>
  <c r="B528" i="1"/>
  <c r="C528" i="1"/>
  <c r="D528" i="1"/>
  <c r="E528" i="1"/>
  <c r="B529" i="1"/>
  <c r="C529" i="1"/>
  <c r="D529" i="1"/>
  <c r="E529" i="1"/>
  <c r="B530" i="1"/>
  <c r="C530" i="1"/>
  <c r="D530" i="1"/>
  <c r="E530" i="1"/>
  <c r="B531" i="1"/>
  <c r="C531" i="1"/>
  <c r="D531" i="1"/>
  <c r="E531" i="1"/>
  <c r="B532" i="1"/>
  <c r="C532" i="1"/>
  <c r="D532" i="1"/>
  <c r="E532" i="1"/>
  <c r="B533" i="1"/>
  <c r="C533" i="1"/>
  <c r="D533" i="1"/>
  <c r="E533" i="1"/>
  <c r="B515" i="1"/>
  <c r="C515" i="1"/>
  <c r="D515" i="1"/>
  <c r="E515" i="1"/>
  <c r="B516" i="1"/>
  <c r="C516" i="1"/>
  <c r="D516" i="1"/>
  <c r="E516" i="1"/>
  <c r="B517" i="1"/>
  <c r="C517" i="1"/>
  <c r="D517" i="1"/>
  <c r="E517" i="1"/>
  <c r="B518" i="1"/>
  <c r="C518" i="1"/>
  <c r="D518" i="1"/>
  <c r="E518" i="1"/>
  <c r="B519" i="1"/>
  <c r="C519" i="1"/>
  <c r="D519" i="1"/>
  <c r="E519" i="1"/>
  <c r="B520" i="1"/>
  <c r="C520" i="1"/>
  <c r="D520" i="1"/>
  <c r="E520" i="1"/>
  <c r="B521" i="1"/>
  <c r="C521" i="1"/>
  <c r="D521" i="1"/>
  <c r="E521" i="1"/>
  <c r="B522" i="1"/>
  <c r="C522" i="1"/>
  <c r="D522" i="1"/>
  <c r="E522" i="1"/>
  <c r="B523" i="1"/>
  <c r="C523" i="1"/>
  <c r="D523" i="1"/>
  <c r="E523" i="1"/>
  <c r="B524" i="1"/>
  <c r="C524" i="1"/>
  <c r="D524" i="1"/>
  <c r="E524" i="1"/>
  <c r="B505" i="1"/>
  <c r="C505" i="1"/>
  <c r="D505" i="1"/>
  <c r="E505" i="1"/>
  <c r="B506" i="1"/>
  <c r="C506" i="1"/>
  <c r="D506" i="1"/>
  <c r="E506" i="1"/>
  <c r="B507" i="1"/>
  <c r="C507" i="1"/>
  <c r="D507" i="1"/>
  <c r="E507" i="1"/>
  <c r="B508" i="1"/>
  <c r="C508" i="1"/>
  <c r="D508" i="1"/>
  <c r="E508" i="1"/>
  <c r="B509" i="1"/>
  <c r="C509" i="1"/>
  <c r="D509" i="1"/>
  <c r="E509" i="1"/>
  <c r="B510" i="1"/>
  <c r="C510" i="1"/>
  <c r="D510" i="1"/>
  <c r="E510" i="1"/>
  <c r="B511" i="1"/>
  <c r="C511" i="1"/>
  <c r="D511" i="1"/>
  <c r="E511" i="1"/>
  <c r="B512" i="1"/>
  <c r="C512" i="1"/>
  <c r="D512" i="1"/>
  <c r="E512" i="1"/>
  <c r="B513" i="1"/>
  <c r="C513" i="1"/>
  <c r="D513" i="1"/>
  <c r="E513" i="1"/>
  <c r="B514" i="1"/>
  <c r="C514" i="1"/>
  <c r="D514" i="1"/>
  <c r="E514" i="1"/>
  <c r="B495" i="1"/>
  <c r="C495" i="1"/>
  <c r="D495" i="1"/>
  <c r="E495" i="1"/>
  <c r="B496" i="1"/>
  <c r="C496" i="1"/>
  <c r="D496" i="1"/>
  <c r="E496" i="1"/>
  <c r="B497" i="1"/>
  <c r="C497" i="1"/>
  <c r="D497" i="1"/>
  <c r="E497" i="1"/>
  <c r="B498" i="1"/>
  <c r="C498" i="1"/>
  <c r="D498" i="1"/>
  <c r="E498" i="1"/>
  <c r="B499" i="1"/>
  <c r="C499" i="1"/>
  <c r="D499" i="1"/>
  <c r="E499" i="1"/>
  <c r="B500" i="1"/>
  <c r="C500" i="1"/>
  <c r="D500" i="1"/>
  <c r="E500" i="1"/>
  <c r="B501" i="1"/>
  <c r="C501" i="1"/>
  <c r="D501" i="1"/>
  <c r="E501" i="1"/>
  <c r="B502" i="1"/>
  <c r="C502" i="1"/>
  <c r="D502" i="1"/>
  <c r="E502" i="1"/>
  <c r="B503" i="1"/>
  <c r="C503" i="1"/>
  <c r="D503" i="1"/>
  <c r="E503" i="1"/>
  <c r="B504" i="1"/>
  <c r="C504" i="1"/>
  <c r="D504" i="1"/>
  <c r="E504" i="1"/>
  <c r="B485" i="1"/>
  <c r="C485" i="1"/>
  <c r="D485" i="1"/>
  <c r="E485" i="1"/>
  <c r="B486" i="1"/>
  <c r="C486" i="1"/>
  <c r="D486" i="1"/>
  <c r="E486" i="1"/>
  <c r="B487" i="1"/>
  <c r="C487" i="1"/>
  <c r="D487" i="1"/>
  <c r="E487" i="1"/>
  <c r="B488" i="1"/>
  <c r="C488" i="1"/>
  <c r="D488" i="1"/>
  <c r="E488" i="1"/>
  <c r="B489" i="1"/>
  <c r="C489" i="1"/>
  <c r="D489" i="1"/>
  <c r="E489" i="1"/>
  <c r="B490" i="1"/>
  <c r="C490" i="1"/>
  <c r="D490" i="1"/>
  <c r="E490" i="1"/>
  <c r="B491" i="1"/>
  <c r="C491" i="1"/>
  <c r="D491" i="1"/>
  <c r="E491" i="1"/>
  <c r="B492" i="1"/>
  <c r="C492" i="1"/>
  <c r="D492" i="1"/>
  <c r="E492" i="1"/>
  <c r="B493" i="1"/>
  <c r="C493" i="1"/>
  <c r="D493" i="1"/>
  <c r="E493" i="1"/>
  <c r="B494" i="1"/>
  <c r="C494" i="1"/>
  <c r="D494" i="1"/>
  <c r="E494" i="1"/>
  <c r="B476" i="1"/>
  <c r="C476" i="1"/>
  <c r="D476" i="1"/>
  <c r="E476" i="1"/>
  <c r="B477" i="1"/>
  <c r="C477" i="1"/>
  <c r="D477" i="1"/>
  <c r="E477" i="1"/>
  <c r="B478" i="1"/>
  <c r="C478" i="1"/>
  <c r="D478" i="1"/>
  <c r="E478" i="1"/>
  <c r="B479" i="1"/>
  <c r="C479" i="1"/>
  <c r="D479" i="1"/>
  <c r="E479" i="1"/>
  <c r="B480" i="1"/>
  <c r="C480" i="1"/>
  <c r="D480" i="1"/>
  <c r="E480" i="1"/>
  <c r="B481" i="1"/>
  <c r="C481" i="1"/>
  <c r="D481" i="1"/>
  <c r="E481" i="1"/>
  <c r="B482" i="1"/>
  <c r="C482" i="1"/>
  <c r="D482" i="1"/>
  <c r="E482" i="1"/>
  <c r="B483" i="1"/>
  <c r="C483" i="1"/>
  <c r="D483" i="1"/>
  <c r="E483" i="1"/>
  <c r="B484" i="1"/>
  <c r="C484" i="1"/>
  <c r="D484" i="1"/>
  <c r="E484" i="1"/>
  <c r="B466" i="1"/>
  <c r="C466" i="1"/>
  <c r="D466" i="1"/>
  <c r="E466" i="1"/>
  <c r="B467" i="1"/>
  <c r="C467" i="1"/>
  <c r="D467" i="1"/>
  <c r="E467" i="1"/>
  <c r="B468" i="1"/>
  <c r="C468" i="1"/>
  <c r="D468" i="1"/>
  <c r="E468" i="1"/>
  <c r="B469" i="1"/>
  <c r="C469" i="1"/>
  <c r="D469" i="1"/>
  <c r="E469" i="1"/>
  <c r="B470" i="1"/>
  <c r="C470" i="1"/>
  <c r="D470" i="1"/>
  <c r="E470" i="1"/>
  <c r="B471" i="1"/>
  <c r="C471" i="1"/>
  <c r="D471" i="1"/>
  <c r="E471" i="1"/>
  <c r="B472" i="1"/>
  <c r="C472" i="1"/>
  <c r="D472" i="1"/>
  <c r="E472" i="1"/>
  <c r="B473" i="1"/>
  <c r="C473" i="1"/>
  <c r="D473" i="1"/>
  <c r="E473" i="1"/>
  <c r="B474" i="1"/>
  <c r="C474" i="1"/>
  <c r="D474" i="1"/>
  <c r="E474" i="1"/>
  <c r="B475" i="1"/>
  <c r="C475" i="1"/>
  <c r="D475" i="1"/>
  <c r="E475" i="1"/>
  <c r="B457" i="1"/>
  <c r="C457" i="1"/>
  <c r="D457" i="1"/>
  <c r="E457" i="1"/>
  <c r="B458" i="1"/>
  <c r="C458" i="1"/>
  <c r="D458" i="1"/>
  <c r="E458" i="1"/>
  <c r="B459" i="1"/>
  <c r="C459" i="1"/>
  <c r="D459" i="1"/>
  <c r="E459" i="1"/>
  <c r="B460" i="1"/>
  <c r="C460" i="1"/>
  <c r="D460" i="1"/>
  <c r="E460" i="1"/>
  <c r="B461" i="1"/>
  <c r="C461" i="1"/>
  <c r="D461" i="1"/>
  <c r="E461" i="1"/>
  <c r="B462" i="1"/>
  <c r="C462" i="1"/>
  <c r="D462" i="1"/>
  <c r="E462" i="1"/>
  <c r="B463" i="1"/>
  <c r="C463" i="1"/>
  <c r="D463" i="1"/>
  <c r="E463" i="1"/>
  <c r="B464" i="1"/>
  <c r="C464" i="1"/>
  <c r="D464" i="1"/>
  <c r="E464" i="1"/>
  <c r="B465" i="1"/>
  <c r="C465" i="1"/>
  <c r="D465" i="1"/>
  <c r="E465" i="1"/>
  <c r="B447" i="1"/>
  <c r="C447" i="1"/>
  <c r="D447" i="1"/>
  <c r="E447" i="1"/>
  <c r="B448" i="1"/>
  <c r="C448" i="1"/>
  <c r="D448" i="1"/>
  <c r="E448" i="1"/>
  <c r="B449" i="1"/>
  <c r="C449" i="1"/>
  <c r="D449" i="1"/>
  <c r="E449" i="1"/>
  <c r="B450" i="1"/>
  <c r="C450" i="1"/>
  <c r="D450" i="1"/>
  <c r="E450" i="1"/>
  <c r="B451" i="1"/>
  <c r="C451" i="1"/>
  <c r="D451" i="1"/>
  <c r="E451" i="1"/>
  <c r="B452" i="1"/>
  <c r="C452" i="1"/>
  <c r="D452" i="1"/>
  <c r="E452" i="1"/>
  <c r="B453" i="1"/>
  <c r="C453" i="1"/>
  <c r="D453" i="1"/>
  <c r="E453" i="1"/>
  <c r="B454" i="1"/>
  <c r="C454" i="1"/>
  <c r="D454" i="1"/>
  <c r="E454" i="1"/>
  <c r="B455" i="1"/>
  <c r="C455" i="1"/>
  <c r="D455" i="1"/>
  <c r="E455" i="1"/>
  <c r="B456" i="1"/>
  <c r="C456" i="1"/>
  <c r="D456" i="1"/>
  <c r="E456" i="1"/>
  <c r="B437" i="1"/>
  <c r="C437" i="1"/>
  <c r="D437" i="1"/>
  <c r="E437" i="1"/>
  <c r="B438" i="1"/>
  <c r="C438" i="1"/>
  <c r="D438" i="1"/>
  <c r="E438" i="1"/>
  <c r="B439" i="1"/>
  <c r="C439" i="1"/>
  <c r="D439" i="1"/>
  <c r="E439" i="1"/>
  <c r="B440" i="1"/>
  <c r="C440" i="1"/>
  <c r="D440" i="1"/>
  <c r="E440" i="1"/>
  <c r="B441" i="1"/>
  <c r="C441" i="1"/>
  <c r="D441" i="1"/>
  <c r="E441" i="1"/>
  <c r="B442" i="1"/>
  <c r="C442" i="1"/>
  <c r="D442" i="1"/>
  <c r="E442" i="1"/>
  <c r="B443" i="1"/>
  <c r="C443" i="1"/>
  <c r="D443" i="1"/>
  <c r="E443" i="1"/>
  <c r="B444" i="1"/>
  <c r="C444" i="1"/>
  <c r="D444" i="1"/>
  <c r="E444" i="1"/>
  <c r="B445" i="1"/>
  <c r="C445" i="1"/>
  <c r="D445" i="1"/>
  <c r="E445" i="1"/>
  <c r="B446" i="1"/>
  <c r="C446" i="1"/>
  <c r="D446" i="1"/>
  <c r="E446" i="1"/>
  <c r="B427" i="1"/>
  <c r="C427" i="1"/>
  <c r="D427" i="1"/>
  <c r="E427" i="1"/>
  <c r="B428" i="1"/>
  <c r="C428" i="1"/>
  <c r="D428" i="1"/>
  <c r="E428" i="1"/>
  <c r="B429" i="1"/>
  <c r="C429" i="1"/>
  <c r="D429" i="1"/>
  <c r="E429" i="1"/>
  <c r="B430" i="1"/>
  <c r="D430" i="1"/>
  <c r="B431" i="1"/>
  <c r="C431" i="1"/>
  <c r="D431" i="1"/>
  <c r="E431" i="1"/>
  <c r="B432" i="1"/>
  <c r="C432" i="1"/>
  <c r="D432" i="1"/>
  <c r="E432" i="1"/>
  <c r="B433" i="1"/>
  <c r="C433" i="1"/>
  <c r="D433" i="1"/>
  <c r="E433" i="1"/>
  <c r="B434" i="1"/>
  <c r="C434" i="1"/>
  <c r="D434" i="1"/>
  <c r="E434" i="1"/>
  <c r="B435" i="1"/>
  <c r="C435" i="1"/>
  <c r="D435" i="1"/>
  <c r="E435" i="1"/>
  <c r="B436" i="1"/>
  <c r="C436" i="1"/>
  <c r="D436" i="1"/>
  <c r="E436" i="1"/>
  <c r="B417" i="1"/>
  <c r="C417" i="1"/>
  <c r="D417" i="1"/>
  <c r="E417" i="1"/>
  <c r="B418" i="1"/>
  <c r="C418" i="1"/>
  <c r="D418" i="1"/>
  <c r="E418" i="1"/>
  <c r="B419" i="1"/>
  <c r="C419" i="1"/>
  <c r="D419" i="1"/>
  <c r="E419" i="1"/>
  <c r="B420" i="1"/>
  <c r="C420" i="1"/>
  <c r="D420" i="1"/>
  <c r="E420" i="1"/>
  <c r="B421" i="1"/>
  <c r="C421" i="1"/>
  <c r="D421" i="1"/>
  <c r="E421" i="1"/>
  <c r="B422" i="1"/>
  <c r="C422" i="1"/>
  <c r="D422" i="1"/>
  <c r="E422" i="1"/>
  <c r="B423" i="1"/>
  <c r="C423" i="1"/>
  <c r="D423" i="1"/>
  <c r="E423" i="1"/>
  <c r="B424" i="1"/>
  <c r="C424" i="1"/>
  <c r="D424" i="1"/>
  <c r="E424" i="1"/>
  <c r="B425" i="1"/>
  <c r="C425" i="1"/>
  <c r="D425" i="1"/>
  <c r="E425" i="1"/>
  <c r="B426" i="1"/>
  <c r="C426" i="1"/>
  <c r="D426" i="1"/>
  <c r="E426" i="1"/>
  <c r="B407" i="1"/>
  <c r="C407" i="1"/>
  <c r="D407" i="1"/>
  <c r="E407" i="1"/>
  <c r="B408" i="1"/>
  <c r="C408" i="1"/>
  <c r="D408" i="1"/>
  <c r="E408" i="1"/>
  <c r="B409" i="1"/>
  <c r="C409" i="1"/>
  <c r="D409" i="1"/>
  <c r="E409" i="1"/>
  <c r="B410" i="1"/>
  <c r="C410" i="1"/>
  <c r="D410" i="1"/>
  <c r="E410" i="1"/>
  <c r="B411" i="1"/>
  <c r="C411" i="1"/>
  <c r="D411" i="1"/>
  <c r="E411" i="1"/>
  <c r="B412" i="1"/>
  <c r="C412" i="1"/>
  <c r="D412" i="1"/>
  <c r="E412" i="1"/>
  <c r="B413" i="1"/>
  <c r="C413" i="1"/>
  <c r="D413" i="1"/>
  <c r="E413" i="1"/>
  <c r="B414" i="1"/>
  <c r="C414" i="1"/>
  <c r="D414" i="1"/>
  <c r="E414" i="1"/>
  <c r="B415" i="1"/>
  <c r="C415" i="1"/>
  <c r="D415" i="1"/>
  <c r="E415" i="1"/>
  <c r="B416" i="1"/>
  <c r="C416" i="1"/>
  <c r="D416" i="1"/>
  <c r="E416" i="1"/>
  <c r="B397" i="1"/>
  <c r="C397" i="1"/>
  <c r="D397" i="1"/>
  <c r="E397" i="1"/>
  <c r="B398" i="1"/>
  <c r="C398" i="1"/>
  <c r="D398" i="1"/>
  <c r="E398" i="1"/>
  <c r="B399" i="1"/>
  <c r="C399" i="1"/>
  <c r="D399" i="1"/>
  <c r="E399" i="1"/>
  <c r="B400" i="1"/>
  <c r="C400" i="1"/>
  <c r="D400" i="1"/>
  <c r="E400" i="1"/>
  <c r="B401" i="1"/>
  <c r="C401" i="1"/>
  <c r="D401" i="1"/>
  <c r="E401" i="1"/>
  <c r="B402" i="1"/>
  <c r="C402" i="1"/>
  <c r="D402" i="1"/>
  <c r="E402" i="1"/>
  <c r="B403" i="1"/>
  <c r="C403" i="1"/>
  <c r="D403" i="1"/>
  <c r="E403" i="1"/>
  <c r="B404" i="1"/>
  <c r="C404" i="1"/>
  <c r="D404" i="1"/>
  <c r="E404" i="1"/>
  <c r="B405" i="1"/>
  <c r="C405" i="1"/>
  <c r="D405" i="1"/>
  <c r="E405" i="1"/>
  <c r="B406" i="1"/>
  <c r="C406" i="1"/>
  <c r="D406" i="1"/>
  <c r="E406" i="1"/>
  <c r="B387" i="1"/>
  <c r="C387" i="1"/>
  <c r="D387" i="1"/>
  <c r="E387" i="1"/>
  <c r="B388" i="1"/>
  <c r="C388" i="1"/>
  <c r="D388" i="1"/>
  <c r="E388" i="1"/>
  <c r="B389" i="1"/>
  <c r="C389" i="1"/>
  <c r="D389" i="1"/>
  <c r="E389" i="1"/>
  <c r="B390" i="1"/>
  <c r="C390" i="1"/>
  <c r="D390" i="1"/>
  <c r="E390" i="1"/>
  <c r="B391" i="1"/>
  <c r="C391" i="1"/>
  <c r="D391" i="1"/>
  <c r="E391" i="1"/>
  <c r="B392" i="1"/>
  <c r="C392" i="1"/>
  <c r="D392" i="1"/>
  <c r="E392" i="1"/>
  <c r="B393" i="1"/>
  <c r="C393" i="1"/>
  <c r="D393" i="1"/>
  <c r="E393" i="1"/>
  <c r="B394" i="1"/>
  <c r="C394" i="1"/>
  <c r="D394" i="1"/>
  <c r="E394" i="1"/>
  <c r="B395" i="1"/>
  <c r="C395" i="1"/>
  <c r="D395" i="1"/>
  <c r="E395" i="1"/>
  <c r="B396" i="1"/>
  <c r="C396" i="1"/>
  <c r="D396" i="1"/>
  <c r="E396" i="1"/>
  <c r="B377" i="1"/>
  <c r="C377" i="1"/>
  <c r="D377" i="1"/>
  <c r="E377" i="1"/>
  <c r="B378" i="1"/>
  <c r="C378" i="1"/>
  <c r="D378" i="1"/>
  <c r="E378" i="1"/>
  <c r="B379" i="1"/>
  <c r="C379" i="1"/>
  <c r="D379" i="1"/>
  <c r="E379" i="1"/>
  <c r="B380" i="1"/>
  <c r="D380" i="1"/>
  <c r="E380" i="1"/>
  <c r="B381" i="1"/>
  <c r="C381" i="1"/>
  <c r="D381" i="1"/>
  <c r="E381" i="1"/>
  <c r="B382" i="1"/>
  <c r="C382" i="1"/>
  <c r="D382" i="1"/>
  <c r="E382" i="1"/>
  <c r="B383" i="1"/>
  <c r="C383" i="1"/>
  <c r="D383" i="1"/>
  <c r="E383" i="1"/>
  <c r="B384" i="1"/>
  <c r="C384" i="1"/>
  <c r="D384" i="1"/>
  <c r="E384" i="1"/>
  <c r="B385" i="1"/>
  <c r="C385" i="1"/>
  <c r="D385" i="1"/>
  <c r="E385" i="1"/>
  <c r="B386" i="1"/>
  <c r="C386" i="1"/>
  <c r="D386" i="1"/>
  <c r="E386" i="1"/>
  <c r="B367" i="1"/>
  <c r="C367" i="1"/>
  <c r="D367" i="1"/>
  <c r="E367" i="1"/>
  <c r="B368" i="1"/>
  <c r="C368" i="1"/>
  <c r="D368" i="1"/>
  <c r="E368" i="1"/>
  <c r="B369" i="1"/>
  <c r="D369" i="1"/>
  <c r="E369" i="1"/>
  <c r="B370" i="1"/>
  <c r="C370" i="1"/>
  <c r="D370" i="1"/>
  <c r="E370" i="1"/>
  <c r="B371" i="1"/>
  <c r="C371" i="1"/>
  <c r="D371" i="1"/>
  <c r="E371" i="1"/>
  <c r="B372" i="1"/>
  <c r="D372" i="1"/>
  <c r="E372" i="1"/>
  <c r="B373" i="1"/>
  <c r="C373" i="1"/>
  <c r="D373" i="1"/>
  <c r="E373" i="1"/>
  <c r="B374" i="1"/>
  <c r="C374" i="1"/>
  <c r="D374" i="1"/>
  <c r="E374" i="1"/>
  <c r="B375" i="1"/>
  <c r="C375" i="1"/>
  <c r="D375" i="1"/>
  <c r="E375" i="1"/>
  <c r="B376" i="1"/>
  <c r="C376" i="1"/>
  <c r="D376" i="1"/>
  <c r="E376" i="1"/>
  <c r="B357" i="1"/>
  <c r="C357" i="1"/>
  <c r="D357" i="1"/>
  <c r="E357" i="1"/>
  <c r="B358" i="1"/>
  <c r="C358" i="1"/>
  <c r="D358" i="1"/>
  <c r="E358" i="1"/>
  <c r="B359" i="1"/>
  <c r="C359" i="1"/>
  <c r="D359" i="1"/>
  <c r="E359" i="1"/>
  <c r="B360" i="1"/>
  <c r="C360" i="1"/>
  <c r="D360" i="1"/>
  <c r="E360" i="1"/>
  <c r="B361" i="1"/>
  <c r="C361" i="1"/>
  <c r="D361" i="1"/>
  <c r="E361" i="1"/>
  <c r="B362" i="1"/>
  <c r="C362" i="1"/>
  <c r="D362" i="1"/>
  <c r="E362" i="1"/>
  <c r="B363" i="1"/>
  <c r="C363" i="1"/>
  <c r="D363" i="1"/>
  <c r="E363" i="1"/>
  <c r="B364" i="1"/>
  <c r="C364" i="1"/>
  <c r="D364" i="1"/>
  <c r="E364" i="1"/>
  <c r="B365" i="1"/>
  <c r="C365" i="1"/>
  <c r="D365" i="1"/>
  <c r="E365" i="1"/>
  <c r="B366" i="1"/>
  <c r="C366" i="1"/>
  <c r="D366" i="1"/>
  <c r="E366" i="1"/>
  <c r="B348" i="1"/>
  <c r="C348" i="1"/>
  <c r="D348" i="1"/>
  <c r="E348" i="1"/>
  <c r="B349" i="1"/>
  <c r="C349" i="1"/>
  <c r="D349" i="1"/>
  <c r="E349" i="1"/>
  <c r="B350" i="1"/>
  <c r="C350" i="1"/>
  <c r="D350" i="1"/>
  <c r="E350" i="1"/>
  <c r="B351" i="1"/>
  <c r="C351" i="1"/>
  <c r="D351" i="1"/>
  <c r="E351" i="1"/>
  <c r="B352" i="1"/>
  <c r="C352" i="1"/>
  <c r="D352" i="1"/>
  <c r="E352" i="1"/>
  <c r="B353" i="1"/>
  <c r="C353" i="1"/>
  <c r="D353" i="1"/>
  <c r="E353" i="1"/>
  <c r="B354" i="1"/>
  <c r="C354" i="1"/>
  <c r="D354" i="1"/>
  <c r="E354" i="1"/>
  <c r="B355" i="1"/>
  <c r="C355" i="1"/>
  <c r="D355" i="1"/>
  <c r="E355" i="1"/>
  <c r="B356" i="1"/>
  <c r="C356" i="1"/>
  <c r="D356" i="1"/>
  <c r="E356" i="1"/>
  <c r="B338" i="1"/>
  <c r="C338" i="1"/>
  <c r="D338" i="1"/>
  <c r="E338" i="1"/>
  <c r="B339" i="1"/>
  <c r="C339" i="1"/>
  <c r="D339" i="1"/>
  <c r="E339" i="1"/>
  <c r="B340" i="1"/>
  <c r="C340" i="1"/>
  <c r="D340" i="1"/>
  <c r="E340" i="1"/>
  <c r="B341" i="1"/>
  <c r="C341" i="1"/>
  <c r="D341" i="1"/>
  <c r="E341" i="1"/>
  <c r="B342" i="1"/>
  <c r="D342" i="1"/>
  <c r="E342" i="1"/>
  <c r="B343" i="1"/>
  <c r="C343" i="1"/>
  <c r="D343" i="1"/>
  <c r="E343" i="1"/>
  <c r="B344" i="1"/>
  <c r="C344" i="1"/>
  <c r="D344" i="1"/>
  <c r="E344" i="1"/>
  <c r="B345" i="1"/>
  <c r="D345" i="1"/>
  <c r="E345" i="1"/>
  <c r="B346" i="1"/>
  <c r="C346" i="1"/>
  <c r="D346" i="1"/>
  <c r="E346" i="1"/>
  <c r="B347" i="1"/>
  <c r="C347" i="1"/>
  <c r="D347" i="1"/>
  <c r="E347" i="1"/>
  <c r="B328" i="1"/>
  <c r="C328" i="1"/>
  <c r="D328" i="1"/>
  <c r="E328" i="1"/>
  <c r="B329" i="1"/>
  <c r="C329" i="1"/>
  <c r="D329" i="1"/>
  <c r="E329" i="1"/>
  <c r="B330" i="1"/>
  <c r="C330" i="1"/>
  <c r="D330" i="1"/>
  <c r="E330" i="1"/>
  <c r="B331" i="1"/>
  <c r="C331" i="1"/>
  <c r="D331" i="1"/>
  <c r="E331" i="1"/>
  <c r="B332" i="1"/>
  <c r="C332" i="1"/>
  <c r="D332" i="1"/>
  <c r="E332" i="1"/>
  <c r="B333" i="1"/>
  <c r="C333" i="1"/>
  <c r="D333" i="1"/>
  <c r="E333" i="1"/>
  <c r="B334" i="1"/>
  <c r="C334" i="1"/>
  <c r="D334" i="1"/>
  <c r="E334" i="1"/>
  <c r="B335" i="1"/>
  <c r="C335" i="1"/>
  <c r="D335" i="1"/>
  <c r="E335" i="1"/>
  <c r="B336" i="1"/>
  <c r="C336" i="1"/>
  <c r="D336" i="1"/>
  <c r="E336" i="1"/>
  <c r="B337" i="1"/>
  <c r="C337" i="1"/>
  <c r="D337" i="1"/>
  <c r="E337" i="1"/>
  <c r="B319" i="1"/>
  <c r="C319" i="1"/>
  <c r="D319" i="1"/>
  <c r="E319" i="1"/>
  <c r="B320" i="1"/>
  <c r="C320" i="1"/>
  <c r="D320" i="1"/>
  <c r="E320" i="1"/>
  <c r="B321" i="1"/>
  <c r="C321" i="1"/>
  <c r="D321" i="1"/>
  <c r="E321" i="1"/>
  <c r="B322" i="1"/>
  <c r="C322" i="1"/>
  <c r="D322" i="1"/>
  <c r="E322" i="1"/>
  <c r="B323" i="1"/>
  <c r="C323" i="1"/>
  <c r="D323" i="1"/>
  <c r="E323" i="1"/>
  <c r="B324" i="1"/>
  <c r="C324" i="1"/>
  <c r="D324" i="1"/>
  <c r="E324" i="1"/>
  <c r="B325" i="1"/>
  <c r="C325" i="1"/>
  <c r="D325" i="1"/>
  <c r="E325" i="1"/>
  <c r="B326" i="1"/>
  <c r="C326" i="1"/>
  <c r="D326" i="1"/>
  <c r="E326" i="1"/>
  <c r="B327" i="1"/>
  <c r="C327" i="1"/>
  <c r="D327" i="1"/>
  <c r="E327" i="1"/>
  <c r="B309" i="1"/>
  <c r="C309" i="1"/>
  <c r="D309" i="1"/>
  <c r="E309" i="1"/>
  <c r="B310" i="1"/>
  <c r="C310" i="1"/>
  <c r="D310" i="1"/>
  <c r="E310" i="1"/>
  <c r="B311" i="1"/>
  <c r="C311" i="1"/>
  <c r="D311" i="1"/>
  <c r="E311" i="1"/>
  <c r="B312" i="1"/>
  <c r="C312" i="1"/>
  <c r="D312" i="1"/>
  <c r="E312" i="1"/>
  <c r="B313" i="1"/>
  <c r="C313" i="1"/>
  <c r="D313" i="1"/>
  <c r="E313" i="1"/>
  <c r="B314" i="1"/>
  <c r="C314" i="1"/>
  <c r="D314" i="1"/>
  <c r="E314" i="1"/>
  <c r="B315" i="1"/>
  <c r="C315" i="1"/>
  <c r="D315" i="1"/>
  <c r="E315" i="1"/>
  <c r="B316" i="1"/>
  <c r="C316" i="1"/>
  <c r="D316" i="1"/>
  <c r="E316" i="1"/>
  <c r="B317" i="1"/>
  <c r="C317" i="1"/>
  <c r="D317" i="1"/>
  <c r="E317" i="1"/>
  <c r="B318" i="1"/>
  <c r="C318" i="1"/>
  <c r="D318" i="1"/>
  <c r="E318" i="1"/>
  <c r="B299" i="1"/>
  <c r="C299" i="1"/>
  <c r="D299" i="1"/>
  <c r="E299" i="1"/>
  <c r="B300" i="1"/>
  <c r="C300" i="1"/>
  <c r="D300" i="1"/>
  <c r="E300" i="1"/>
  <c r="B301" i="1"/>
  <c r="C301" i="1"/>
  <c r="D301" i="1"/>
  <c r="E301" i="1"/>
  <c r="B302" i="1"/>
  <c r="C302" i="1"/>
  <c r="D302" i="1"/>
  <c r="E302" i="1"/>
  <c r="B303" i="1"/>
  <c r="C303" i="1"/>
  <c r="D303" i="1"/>
  <c r="E303" i="1"/>
  <c r="B304" i="1"/>
  <c r="C304" i="1"/>
  <c r="D304" i="1"/>
  <c r="E304" i="1"/>
  <c r="B305" i="1"/>
  <c r="C305" i="1"/>
  <c r="D305" i="1"/>
  <c r="E305" i="1"/>
  <c r="B306" i="1"/>
  <c r="C306" i="1"/>
  <c r="D306" i="1"/>
  <c r="E306" i="1"/>
  <c r="B307" i="1"/>
  <c r="C307" i="1"/>
  <c r="D307" i="1"/>
  <c r="E307" i="1"/>
  <c r="B308" i="1"/>
  <c r="C308" i="1"/>
  <c r="D308" i="1"/>
  <c r="E308" i="1"/>
  <c r="B289" i="1"/>
  <c r="C289" i="1"/>
  <c r="D289" i="1"/>
  <c r="E289" i="1"/>
  <c r="B290" i="1"/>
  <c r="C290" i="1"/>
  <c r="D290" i="1"/>
  <c r="E290" i="1"/>
  <c r="B291" i="1"/>
  <c r="C291" i="1"/>
  <c r="D291" i="1"/>
  <c r="E291" i="1"/>
  <c r="B292" i="1"/>
  <c r="C292" i="1"/>
  <c r="D292" i="1"/>
  <c r="E292" i="1"/>
  <c r="B293" i="1"/>
  <c r="C293" i="1"/>
  <c r="D293" i="1"/>
  <c r="E293" i="1"/>
  <c r="B294" i="1"/>
  <c r="C294" i="1"/>
  <c r="D294" i="1"/>
  <c r="E294" i="1"/>
  <c r="B295" i="1"/>
  <c r="C295" i="1"/>
  <c r="D295" i="1"/>
  <c r="E295" i="1"/>
  <c r="B296" i="1"/>
  <c r="C296" i="1"/>
  <c r="D296" i="1"/>
  <c r="E296" i="1"/>
  <c r="B297" i="1"/>
  <c r="C297" i="1"/>
  <c r="D297" i="1"/>
  <c r="E297" i="1"/>
  <c r="B298" i="1"/>
  <c r="C298" i="1"/>
  <c r="D298" i="1"/>
  <c r="E298" i="1"/>
  <c r="B279" i="1"/>
  <c r="C279" i="1"/>
  <c r="D279" i="1"/>
  <c r="E279" i="1"/>
  <c r="B280" i="1"/>
  <c r="C280" i="1"/>
  <c r="D280" i="1"/>
  <c r="E280" i="1"/>
  <c r="B281" i="1"/>
  <c r="C281" i="1"/>
  <c r="D281" i="1"/>
  <c r="E281" i="1"/>
  <c r="B282" i="1"/>
  <c r="C282" i="1"/>
  <c r="D282" i="1"/>
  <c r="E282" i="1"/>
  <c r="B283" i="1"/>
  <c r="C283" i="1"/>
  <c r="D283" i="1"/>
  <c r="E283" i="1"/>
  <c r="B284" i="1"/>
  <c r="C284" i="1"/>
  <c r="D284" i="1"/>
  <c r="E284" i="1"/>
  <c r="B285" i="1"/>
  <c r="C285" i="1"/>
  <c r="D285" i="1"/>
  <c r="E285" i="1"/>
  <c r="B286" i="1"/>
  <c r="C286" i="1"/>
  <c r="D286" i="1"/>
  <c r="E286" i="1"/>
  <c r="B287" i="1"/>
  <c r="C287" i="1"/>
  <c r="D287" i="1"/>
  <c r="E287" i="1"/>
  <c r="B288" i="1"/>
  <c r="C288" i="1"/>
  <c r="D288" i="1"/>
  <c r="E288" i="1"/>
  <c r="B269" i="1"/>
  <c r="C269" i="1"/>
  <c r="D269" i="1"/>
  <c r="E269" i="1"/>
  <c r="B270" i="1"/>
  <c r="C270" i="1"/>
  <c r="D270" i="1"/>
  <c r="E270" i="1"/>
  <c r="B271" i="1"/>
  <c r="C271" i="1"/>
  <c r="D271" i="1"/>
  <c r="E271" i="1"/>
  <c r="B272" i="1"/>
  <c r="C272" i="1"/>
  <c r="D272" i="1"/>
  <c r="E272" i="1"/>
  <c r="B273" i="1"/>
  <c r="C273" i="1"/>
  <c r="D273" i="1"/>
  <c r="E273" i="1"/>
  <c r="B274" i="1"/>
  <c r="C274" i="1"/>
  <c r="D274" i="1"/>
  <c r="E274" i="1"/>
  <c r="B275" i="1"/>
  <c r="C275" i="1"/>
  <c r="D275" i="1"/>
  <c r="E275" i="1"/>
  <c r="B276" i="1"/>
  <c r="C276" i="1"/>
  <c r="D276" i="1"/>
  <c r="E276" i="1"/>
  <c r="B277" i="1"/>
  <c r="C277" i="1"/>
  <c r="D277" i="1"/>
  <c r="E277" i="1"/>
  <c r="B278" i="1"/>
  <c r="C278" i="1"/>
  <c r="D278" i="1"/>
  <c r="E278" i="1"/>
  <c r="B259" i="1"/>
  <c r="C259" i="1"/>
  <c r="D259" i="1"/>
  <c r="E259" i="1"/>
  <c r="B260" i="1"/>
  <c r="C260" i="1"/>
  <c r="D260" i="1"/>
  <c r="E260" i="1"/>
  <c r="B261" i="1"/>
  <c r="C261" i="1"/>
  <c r="D261" i="1"/>
  <c r="E261" i="1"/>
  <c r="B262" i="1"/>
  <c r="C262" i="1"/>
  <c r="D262" i="1"/>
  <c r="E262" i="1"/>
  <c r="B263" i="1"/>
  <c r="C263" i="1"/>
  <c r="D263" i="1"/>
  <c r="E263" i="1"/>
  <c r="B264" i="1"/>
  <c r="C264" i="1"/>
  <c r="D264" i="1"/>
  <c r="E264" i="1"/>
  <c r="B265" i="1"/>
  <c r="C265" i="1"/>
  <c r="D265" i="1"/>
  <c r="E265" i="1"/>
  <c r="B266" i="1"/>
  <c r="C266" i="1"/>
  <c r="D266" i="1"/>
  <c r="E266" i="1"/>
  <c r="B267" i="1"/>
  <c r="C267" i="1"/>
  <c r="D267" i="1"/>
  <c r="E267" i="1"/>
  <c r="B268" i="1"/>
  <c r="C268" i="1"/>
  <c r="D268" i="1"/>
  <c r="E268" i="1"/>
  <c r="B249" i="1"/>
  <c r="C249" i="1"/>
  <c r="D249" i="1"/>
  <c r="E249" i="1"/>
  <c r="B250" i="1"/>
  <c r="C250" i="1"/>
  <c r="D250" i="1"/>
  <c r="E250" i="1"/>
  <c r="B251" i="1"/>
  <c r="C251" i="1"/>
  <c r="D251" i="1"/>
  <c r="E251" i="1"/>
  <c r="B252" i="1"/>
  <c r="C252" i="1"/>
  <c r="D252" i="1"/>
  <c r="E252" i="1"/>
  <c r="B253" i="1"/>
  <c r="C253" i="1"/>
  <c r="D253" i="1"/>
  <c r="E253" i="1"/>
  <c r="B254" i="1"/>
  <c r="C254" i="1"/>
  <c r="D254" i="1"/>
  <c r="E254" i="1"/>
  <c r="B255" i="1"/>
  <c r="C255" i="1"/>
  <c r="D255" i="1"/>
  <c r="E255" i="1"/>
  <c r="B256" i="1"/>
  <c r="C256" i="1"/>
  <c r="D256" i="1"/>
  <c r="E256" i="1"/>
  <c r="B257" i="1"/>
  <c r="C257" i="1"/>
  <c r="D257" i="1"/>
  <c r="E257" i="1"/>
  <c r="B258" i="1"/>
  <c r="C258" i="1"/>
  <c r="D258" i="1"/>
  <c r="E258" i="1"/>
  <c r="B239" i="1"/>
  <c r="C239" i="1"/>
  <c r="D239" i="1"/>
  <c r="E239" i="1"/>
  <c r="B240" i="1"/>
  <c r="C240" i="1"/>
  <c r="D240" i="1"/>
  <c r="E240" i="1"/>
  <c r="B241" i="1"/>
  <c r="C241" i="1"/>
  <c r="D241" i="1"/>
  <c r="E241" i="1"/>
  <c r="B242" i="1"/>
  <c r="C242" i="1"/>
  <c r="D242" i="1"/>
  <c r="E242" i="1"/>
  <c r="B243" i="1"/>
  <c r="C243" i="1"/>
  <c r="D243" i="1"/>
  <c r="E243" i="1"/>
  <c r="B244" i="1"/>
  <c r="C244" i="1"/>
  <c r="D244" i="1"/>
  <c r="E244" i="1"/>
  <c r="B245" i="1"/>
  <c r="C245" i="1"/>
  <c r="D245" i="1"/>
  <c r="E245" i="1"/>
  <c r="B246" i="1"/>
  <c r="C246" i="1"/>
  <c r="D246" i="1"/>
  <c r="E246" i="1"/>
  <c r="B247" i="1"/>
  <c r="C247" i="1"/>
  <c r="D247" i="1"/>
  <c r="E247" i="1"/>
  <c r="B248" i="1"/>
  <c r="C248" i="1"/>
  <c r="D248" i="1"/>
  <c r="E248" i="1"/>
  <c r="B229" i="1"/>
  <c r="C229" i="1"/>
  <c r="D229" i="1"/>
  <c r="E229" i="1"/>
  <c r="B230" i="1"/>
  <c r="C230" i="1"/>
  <c r="D230" i="1"/>
  <c r="E230" i="1"/>
  <c r="B231" i="1"/>
  <c r="C231" i="1"/>
  <c r="D231" i="1"/>
  <c r="E231" i="1"/>
  <c r="B232" i="1"/>
  <c r="C232" i="1"/>
  <c r="D232" i="1"/>
  <c r="E232" i="1"/>
  <c r="B233" i="1"/>
  <c r="C233" i="1"/>
  <c r="D233" i="1"/>
  <c r="E233" i="1"/>
  <c r="B234" i="1"/>
  <c r="C234" i="1"/>
  <c r="D234" i="1"/>
  <c r="E234" i="1"/>
  <c r="B235" i="1"/>
  <c r="C235" i="1"/>
  <c r="D235" i="1"/>
  <c r="E235" i="1"/>
  <c r="B236" i="1"/>
  <c r="C236" i="1"/>
  <c r="D236" i="1"/>
  <c r="E236" i="1"/>
  <c r="B237" i="1"/>
  <c r="C237" i="1"/>
  <c r="D237" i="1"/>
  <c r="E237" i="1"/>
  <c r="B238" i="1"/>
  <c r="C238" i="1"/>
  <c r="D238" i="1"/>
  <c r="E238" i="1"/>
  <c r="B219" i="1"/>
  <c r="C219" i="1"/>
  <c r="D219" i="1"/>
  <c r="E219" i="1"/>
  <c r="B220" i="1"/>
  <c r="C220" i="1"/>
  <c r="D220" i="1"/>
  <c r="E220" i="1"/>
  <c r="B221" i="1"/>
  <c r="C221" i="1"/>
  <c r="D221" i="1"/>
  <c r="E221" i="1"/>
  <c r="B222" i="1"/>
  <c r="C222" i="1"/>
  <c r="D222" i="1"/>
  <c r="E222" i="1"/>
  <c r="B223" i="1"/>
  <c r="C223" i="1"/>
  <c r="D223" i="1"/>
  <c r="E223" i="1"/>
  <c r="B224" i="1"/>
  <c r="C224" i="1"/>
  <c r="D224" i="1"/>
  <c r="E224" i="1"/>
  <c r="B225" i="1"/>
  <c r="C225" i="1"/>
  <c r="D225" i="1"/>
  <c r="E225" i="1"/>
  <c r="B226" i="1"/>
  <c r="C226" i="1"/>
  <c r="D226" i="1"/>
  <c r="E226" i="1"/>
  <c r="B227" i="1"/>
  <c r="C227" i="1"/>
  <c r="D227" i="1"/>
  <c r="E227" i="1"/>
  <c r="B228" i="1"/>
  <c r="C228" i="1"/>
  <c r="D228" i="1"/>
  <c r="E228" i="1"/>
  <c r="B210" i="1"/>
  <c r="C210" i="1"/>
  <c r="D210" i="1"/>
  <c r="E210" i="1"/>
  <c r="B211" i="1"/>
  <c r="C211" i="1"/>
  <c r="D211" i="1"/>
  <c r="E211" i="1"/>
  <c r="B212" i="1"/>
  <c r="C212" i="1"/>
  <c r="D212" i="1"/>
  <c r="E212" i="1"/>
  <c r="B213" i="1"/>
  <c r="C213" i="1"/>
  <c r="D213" i="1"/>
  <c r="E213" i="1"/>
  <c r="B214" i="1"/>
  <c r="C214" i="1"/>
  <c r="D214" i="1"/>
  <c r="E214" i="1"/>
  <c r="B215" i="1"/>
  <c r="C215" i="1"/>
  <c r="D215" i="1"/>
  <c r="E215" i="1"/>
  <c r="B216" i="1"/>
  <c r="C216" i="1"/>
  <c r="D216" i="1"/>
  <c r="E216" i="1"/>
  <c r="B217" i="1"/>
  <c r="C217" i="1"/>
  <c r="D217" i="1"/>
  <c r="E217" i="1"/>
  <c r="B218" i="1"/>
  <c r="C218" i="1"/>
  <c r="D218" i="1"/>
  <c r="E218" i="1"/>
  <c r="B200" i="1"/>
  <c r="C200" i="1"/>
  <c r="D200" i="1"/>
  <c r="E200" i="1"/>
  <c r="B201" i="1"/>
  <c r="C201" i="1"/>
  <c r="D201" i="1"/>
  <c r="E201" i="1"/>
  <c r="B202" i="1"/>
  <c r="C202" i="1"/>
  <c r="D202" i="1"/>
  <c r="E202" i="1"/>
  <c r="B203" i="1"/>
  <c r="C203" i="1"/>
  <c r="D203" i="1"/>
  <c r="E203" i="1"/>
  <c r="B204" i="1"/>
  <c r="C204" i="1"/>
  <c r="D204" i="1"/>
  <c r="E204" i="1"/>
  <c r="B205" i="1"/>
  <c r="C205" i="1"/>
  <c r="D205" i="1"/>
  <c r="E205" i="1"/>
  <c r="B206" i="1"/>
  <c r="C206" i="1"/>
  <c r="D206" i="1"/>
  <c r="E206" i="1"/>
  <c r="B207" i="1"/>
  <c r="C207" i="1"/>
  <c r="D207" i="1"/>
  <c r="E207" i="1"/>
  <c r="B208" i="1"/>
  <c r="C208" i="1"/>
  <c r="D208" i="1"/>
  <c r="E208" i="1"/>
  <c r="B209" i="1"/>
  <c r="C209" i="1"/>
  <c r="D209" i="1"/>
  <c r="E209" i="1"/>
  <c r="B190" i="1"/>
  <c r="C190" i="1"/>
  <c r="D190" i="1"/>
  <c r="E190" i="1"/>
  <c r="B191" i="1"/>
  <c r="C191" i="1"/>
  <c r="D191" i="1"/>
  <c r="E191" i="1"/>
  <c r="B192" i="1"/>
  <c r="C192" i="1"/>
  <c r="D192" i="1"/>
  <c r="E192" i="1"/>
  <c r="B193" i="1"/>
  <c r="C193" i="1"/>
  <c r="D193" i="1"/>
  <c r="E193" i="1"/>
  <c r="B194" i="1"/>
  <c r="C194" i="1"/>
  <c r="D194" i="1"/>
  <c r="E194" i="1"/>
  <c r="B195" i="1"/>
  <c r="C195" i="1"/>
  <c r="D195" i="1"/>
  <c r="E195" i="1"/>
  <c r="B196" i="1"/>
  <c r="C196" i="1"/>
  <c r="D196" i="1"/>
  <c r="E196" i="1"/>
  <c r="B197" i="1"/>
  <c r="C197" i="1"/>
  <c r="D197" i="1"/>
  <c r="E197" i="1"/>
  <c r="B198" i="1"/>
  <c r="C198" i="1"/>
  <c r="D198" i="1"/>
  <c r="E198" i="1"/>
  <c r="B199" i="1"/>
  <c r="C199" i="1"/>
  <c r="D199" i="1"/>
  <c r="E199" i="1"/>
  <c r="B180" i="1"/>
  <c r="C180" i="1"/>
  <c r="D180" i="1"/>
  <c r="E180" i="1"/>
  <c r="B181" i="1"/>
  <c r="C181" i="1"/>
  <c r="D181" i="1"/>
  <c r="E181" i="1"/>
  <c r="B182" i="1"/>
  <c r="C182" i="1"/>
  <c r="D182" i="1"/>
  <c r="E182" i="1"/>
  <c r="B183" i="1"/>
  <c r="C183" i="1"/>
  <c r="D183" i="1"/>
  <c r="E183" i="1"/>
  <c r="B184" i="1"/>
  <c r="C184" i="1"/>
  <c r="D184" i="1"/>
  <c r="E184" i="1"/>
  <c r="B185" i="1"/>
  <c r="C185" i="1"/>
  <c r="D185" i="1"/>
  <c r="E185" i="1"/>
  <c r="B186" i="1"/>
  <c r="C186" i="1"/>
  <c r="D186" i="1"/>
  <c r="E186" i="1"/>
  <c r="B187" i="1"/>
  <c r="C187" i="1"/>
  <c r="D187" i="1"/>
  <c r="E187" i="1"/>
  <c r="B188" i="1"/>
  <c r="C188" i="1"/>
  <c r="D188" i="1"/>
  <c r="E188" i="1"/>
  <c r="B189" i="1"/>
  <c r="C189" i="1"/>
  <c r="D189" i="1"/>
  <c r="E189" i="1"/>
  <c r="B171" i="1"/>
  <c r="C171" i="1"/>
  <c r="D171" i="1"/>
  <c r="E171" i="1"/>
  <c r="B172" i="1"/>
  <c r="C172" i="1"/>
  <c r="D172" i="1"/>
  <c r="E172" i="1"/>
  <c r="B173" i="1"/>
  <c r="C173" i="1"/>
  <c r="D173" i="1"/>
  <c r="E173" i="1"/>
  <c r="B174" i="1"/>
  <c r="C174" i="1"/>
  <c r="D174" i="1"/>
  <c r="E174" i="1"/>
  <c r="B175" i="1"/>
  <c r="C175" i="1"/>
  <c r="D175" i="1"/>
  <c r="E175" i="1"/>
  <c r="B176" i="1"/>
  <c r="C176" i="1"/>
  <c r="D176" i="1"/>
  <c r="E176" i="1"/>
  <c r="B177" i="1"/>
  <c r="C177" i="1"/>
  <c r="D177" i="1"/>
  <c r="E177" i="1"/>
  <c r="B178" i="1"/>
  <c r="C178" i="1"/>
  <c r="D178" i="1"/>
  <c r="E178" i="1"/>
  <c r="B179" i="1"/>
  <c r="C179" i="1"/>
  <c r="D179" i="1"/>
  <c r="E179" i="1"/>
  <c r="B162" i="1"/>
  <c r="C162" i="1"/>
  <c r="D162" i="1"/>
  <c r="E162" i="1"/>
  <c r="B163" i="1"/>
  <c r="C163" i="1"/>
  <c r="D163" i="1"/>
  <c r="E163" i="1"/>
  <c r="B164" i="1"/>
  <c r="C164" i="1"/>
  <c r="D164" i="1"/>
  <c r="E164" i="1"/>
  <c r="B165" i="1"/>
  <c r="C165" i="1"/>
  <c r="D165" i="1"/>
  <c r="E165" i="1"/>
  <c r="B166" i="1"/>
  <c r="C166" i="1"/>
  <c r="D166" i="1"/>
  <c r="E166" i="1"/>
  <c r="B167" i="1"/>
  <c r="C167" i="1"/>
  <c r="D167" i="1"/>
  <c r="E167" i="1"/>
  <c r="B168" i="1"/>
  <c r="C168" i="1"/>
  <c r="D168" i="1"/>
  <c r="E168" i="1"/>
  <c r="B169" i="1"/>
  <c r="C169" i="1"/>
  <c r="D169" i="1"/>
  <c r="E169" i="1"/>
  <c r="B170" i="1"/>
  <c r="C170" i="1"/>
  <c r="D170" i="1"/>
  <c r="E170" i="1"/>
  <c r="B152" i="1"/>
  <c r="C152" i="1"/>
  <c r="D152" i="1"/>
  <c r="E152" i="1"/>
  <c r="B153" i="1"/>
  <c r="C153" i="1"/>
  <c r="D153" i="1"/>
  <c r="E153" i="1"/>
  <c r="B154" i="1"/>
  <c r="C154" i="1"/>
  <c r="D154" i="1"/>
  <c r="E154" i="1"/>
  <c r="B155" i="1"/>
  <c r="C155" i="1"/>
  <c r="D155" i="1"/>
  <c r="E155" i="1"/>
  <c r="B156" i="1"/>
  <c r="C156" i="1"/>
  <c r="D156" i="1"/>
  <c r="E156" i="1"/>
  <c r="B157" i="1"/>
  <c r="C157" i="1"/>
  <c r="D157" i="1"/>
  <c r="E157" i="1"/>
  <c r="B158" i="1"/>
  <c r="C158" i="1"/>
  <c r="D158" i="1"/>
  <c r="E158" i="1"/>
  <c r="B159" i="1"/>
  <c r="C159" i="1"/>
  <c r="D159" i="1"/>
  <c r="E159" i="1"/>
  <c r="B160" i="1"/>
  <c r="C160" i="1"/>
  <c r="D160" i="1"/>
  <c r="E160" i="1"/>
  <c r="B161" i="1"/>
  <c r="C161" i="1"/>
  <c r="D161" i="1"/>
  <c r="E161" i="1"/>
  <c r="B142" i="1"/>
  <c r="C142" i="1"/>
  <c r="D142" i="1"/>
  <c r="E142" i="1"/>
  <c r="B143" i="1"/>
  <c r="C143" i="1"/>
  <c r="D143" i="1"/>
  <c r="E143" i="1"/>
  <c r="B144" i="1"/>
  <c r="C144" i="1"/>
  <c r="D144" i="1"/>
  <c r="E144" i="1"/>
  <c r="B145" i="1"/>
  <c r="C145" i="1"/>
  <c r="D145" i="1"/>
  <c r="E145" i="1"/>
  <c r="B146" i="1"/>
  <c r="C146" i="1"/>
  <c r="D146" i="1"/>
  <c r="E146" i="1"/>
  <c r="B147" i="1"/>
  <c r="C147" i="1"/>
  <c r="D147" i="1"/>
  <c r="E147" i="1"/>
  <c r="B148" i="1"/>
  <c r="C148" i="1"/>
  <c r="D148" i="1"/>
  <c r="E148" i="1"/>
  <c r="B149" i="1"/>
  <c r="C149" i="1"/>
  <c r="D149" i="1"/>
  <c r="E149" i="1"/>
  <c r="B150" i="1"/>
  <c r="C150" i="1"/>
  <c r="D150" i="1"/>
  <c r="E150" i="1"/>
  <c r="B151" i="1"/>
  <c r="C151" i="1"/>
  <c r="D151" i="1"/>
  <c r="E151" i="1"/>
  <c r="B133" i="1"/>
  <c r="C133" i="1"/>
  <c r="D133" i="1"/>
  <c r="E133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B138" i="1"/>
  <c r="C138" i="1"/>
  <c r="D138" i="1"/>
  <c r="E138" i="1"/>
  <c r="B139" i="1"/>
  <c r="C139" i="1"/>
  <c r="D139" i="1"/>
  <c r="E139" i="1"/>
  <c r="B140" i="1"/>
  <c r="C140" i="1"/>
  <c r="D140" i="1"/>
  <c r="E140" i="1"/>
  <c r="B141" i="1"/>
  <c r="C141" i="1"/>
  <c r="D141" i="1"/>
  <c r="E141" i="1"/>
  <c r="B123" i="1"/>
  <c r="C123" i="1"/>
  <c r="D123" i="1"/>
  <c r="E123" i="1"/>
  <c r="B124" i="1"/>
  <c r="C124" i="1"/>
  <c r="D124" i="1"/>
  <c r="E124" i="1"/>
  <c r="B125" i="1"/>
  <c r="C125" i="1"/>
  <c r="D125" i="1"/>
  <c r="E125" i="1"/>
  <c r="B126" i="1"/>
  <c r="C126" i="1"/>
  <c r="D126" i="1"/>
  <c r="E126" i="1"/>
  <c r="B127" i="1"/>
  <c r="C127" i="1"/>
  <c r="D127" i="1"/>
  <c r="E127" i="1"/>
  <c r="B128" i="1"/>
  <c r="C128" i="1"/>
  <c r="D128" i="1"/>
  <c r="E128" i="1"/>
  <c r="B129" i="1"/>
  <c r="C129" i="1"/>
  <c r="D129" i="1"/>
  <c r="E129" i="1"/>
  <c r="B130" i="1"/>
  <c r="C130" i="1"/>
  <c r="D130" i="1"/>
  <c r="E130" i="1"/>
  <c r="B131" i="1"/>
  <c r="C131" i="1"/>
  <c r="D131" i="1"/>
  <c r="E131" i="1"/>
  <c r="B132" i="1"/>
  <c r="C132" i="1"/>
  <c r="D132" i="1"/>
  <c r="E132" i="1"/>
  <c r="B113" i="1"/>
  <c r="C113" i="1"/>
  <c r="D113" i="1"/>
  <c r="E113" i="1"/>
  <c r="B114" i="1"/>
  <c r="C114" i="1"/>
  <c r="D114" i="1"/>
  <c r="E114" i="1"/>
  <c r="B115" i="1"/>
  <c r="C115" i="1"/>
  <c r="D115" i="1"/>
  <c r="E115" i="1"/>
  <c r="B116" i="1"/>
  <c r="C116" i="1"/>
  <c r="D116" i="1"/>
  <c r="E116" i="1"/>
  <c r="B117" i="1"/>
  <c r="C117" i="1"/>
  <c r="D117" i="1"/>
  <c r="E117" i="1"/>
  <c r="B118" i="1"/>
  <c r="C118" i="1"/>
  <c r="D118" i="1"/>
  <c r="E118" i="1"/>
  <c r="B119" i="1"/>
  <c r="C119" i="1"/>
  <c r="D119" i="1"/>
  <c r="E119" i="1"/>
  <c r="B120" i="1"/>
  <c r="C120" i="1"/>
  <c r="D120" i="1"/>
  <c r="E120" i="1"/>
  <c r="B121" i="1"/>
  <c r="C121" i="1"/>
  <c r="D121" i="1"/>
  <c r="E121" i="1"/>
  <c r="B122" i="1"/>
  <c r="C122" i="1"/>
  <c r="D122" i="1"/>
  <c r="E12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C111" i="1"/>
  <c r="D111" i="1"/>
  <c r="E111" i="1"/>
  <c r="B112" i="1"/>
  <c r="C112" i="1"/>
  <c r="D112" i="1"/>
  <c r="E11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63" i="1"/>
  <c r="C63" i="1"/>
  <c r="D63" i="1"/>
  <c r="E63" i="1"/>
  <c r="B64" i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3" i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</calcChain>
</file>

<file path=xl/sharedStrings.xml><?xml version="1.0" encoding="utf-8"?>
<sst xmlns="http://schemas.openxmlformats.org/spreadsheetml/2006/main" count="82" uniqueCount="51">
  <si>
    <t>كد كالا</t>
  </si>
  <si>
    <t>عنوان كالا</t>
  </si>
  <si>
    <t>شماره فني</t>
  </si>
  <si>
    <t>واحد سنجش</t>
  </si>
  <si>
    <t>="drive 3/4"--GEDORE"</t>
  </si>
  <si>
    <t>="درايو"1/2"</t>
  </si>
  <si>
    <t>="دستگاه بکس بادي درايو "1"</t>
  </si>
  <si>
    <t>="دستگاه بکس  بادي درايو "3/4"</t>
  </si>
  <si>
    <t>="دستگاه ضربه اي(بکس برقي) درايو "1"</t>
  </si>
  <si>
    <t>="دستگاه ضربه اي(بکس برقي) درايو "3/4"</t>
  </si>
  <si>
    <t>="دستگاه ضربه اي (بکس برقي) درايو "1/2"</t>
  </si>
  <si>
    <t>="1/2"درايو"</t>
  </si>
  <si>
    <t>="درايو1/2""</t>
  </si>
  <si>
    <t>="geniusدرايو 1/2" اينچ"</t>
  </si>
  <si>
    <t>="genius3/4""</t>
  </si>
  <si>
    <t>="DOWIDAT 3/4""</t>
  </si>
  <si>
    <t>="3/4" اينچ"</t>
  </si>
  <si>
    <t>="GEDORE3/4درايو""</t>
  </si>
  <si>
    <t>="M52*5-2" &amp;M52  -A0617BZ"</t>
  </si>
  <si>
    <t>ردیف</t>
  </si>
  <si>
    <t>موجودي</t>
  </si>
  <si>
    <t>فی (ریال)</t>
  </si>
  <si>
    <t xml:space="preserve">ابزار آلات </t>
  </si>
  <si>
    <t xml:space="preserve">جمع کل </t>
  </si>
  <si>
    <t>موجودی انبار  مصرفی</t>
  </si>
  <si>
    <t>موجودی</t>
  </si>
  <si>
    <t>="1-1/2""</t>
  </si>
  <si>
    <t>="DIN"2181- M12- FRA  -PRESTO"</t>
  </si>
  <si>
    <t>=" 2 -3/64"/17""</t>
  </si>
  <si>
    <t>ملزومات</t>
  </si>
  <si>
    <t>جمع</t>
  </si>
  <si>
    <t>="18"-19"-20"--MANO"</t>
  </si>
  <si>
    <t>="برس کاسه اي "5"</t>
  </si>
  <si>
    <t>="5""</t>
  </si>
  <si>
    <t>="برس کاسه اي "3"</t>
  </si>
  <si>
    <t>="3""</t>
  </si>
  <si>
    <t>="واير برس خورشيدي "3"</t>
  </si>
  <si>
    <t>="S61211A-21"--TJG"</t>
  </si>
  <si>
    <t xml:space="preserve">قطعات و لوازم یدکی </t>
  </si>
  <si>
    <t>فی  (ریال)</t>
  </si>
  <si>
    <t>="شيلنگ فشار قوي هوا "1اينچ"</t>
  </si>
  <si>
    <t>="شيلنگ فشار قوي هوا "1/2"</t>
  </si>
  <si>
    <t>اموال</t>
  </si>
  <si>
    <t>جمع کل</t>
  </si>
  <si>
    <t xml:space="preserve">نام انبار </t>
  </si>
  <si>
    <t>مبلغ (ريال)</t>
  </si>
  <si>
    <t xml:space="preserve">انبار ابزار آلات </t>
  </si>
  <si>
    <t>انبار مصرفی</t>
  </si>
  <si>
    <t>انبار ملزومات</t>
  </si>
  <si>
    <t xml:space="preserve">انبار قطعات یدکی </t>
  </si>
  <si>
    <t xml:space="preserve">اموال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</si>
</sst>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sz val="12"/>
      <color theme="1"/>
      <name val="B Nazanin"/>
      <charset val="178"/>
    </font>
    <font>
      <sz val="22"/>
      <color theme="1"/>
      <name val="B Nazanin"/>
      <charset val="178"/>
    </font>
    <font>
      <b/>
      <sz val="16"/>
      <color theme="1"/>
      <name val="B Nazanin"/>
      <charset val="178"/>
    </font>
    <font>
      <sz val="11"/>
      <color theme="1"/>
      <name val="B Nazanin"/>
      <charset val="178"/>
    </font>
    <font>
      <b/>
      <sz val="20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Tahoma"/>
      <family val="2"/>
    </font>
    <font>
      <b/>
      <sz val="22"/>
      <color theme="1"/>
      <name val="B Nazanin"/>
      <charset val="178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sz val="16"/>
      <name val="B Nazanin"/>
      <charset val="178"/>
    </font>
    <font>
      <sz val="16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5" fillId="0" borderId="0" xfId="0" applyNumberFormat="1" applyFont="1"/>
    <xf numFmtId="0" fontId="4" fillId="0" borderId="9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8" xfId="0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0"/>
  <sheetViews>
    <sheetView rightToLeft="1" topLeftCell="A954" zoomScaleNormal="100" zoomScaleSheetLayoutView="115" workbookViewId="0">
      <selection activeCell="H960" sqref="H960"/>
    </sheetView>
  </sheetViews>
  <sheetFormatPr defaultRowHeight="18"/>
  <cols>
    <col min="1" max="1" width="7.5703125" style="1" customWidth="1"/>
    <col min="2" max="2" width="13.140625" style="1" customWidth="1"/>
    <col min="3" max="3" width="56.5703125" style="3" customWidth="1"/>
    <col min="4" max="4" width="45.7109375" style="1" customWidth="1"/>
    <col min="5" max="5" width="15.140625" style="1" customWidth="1"/>
    <col min="6" max="6" width="13" style="1" customWidth="1"/>
    <col min="7" max="7" width="17" style="11" customWidth="1"/>
    <col min="8" max="8" width="21.7109375" style="11" customWidth="1"/>
    <col min="9" max="16384" width="9.140625" style="1"/>
  </cols>
  <sheetData>
    <row r="1" spans="1:8" ht="59.25" customHeight="1" thickBot="1">
      <c r="A1" s="42" t="s">
        <v>22</v>
      </c>
      <c r="B1" s="43"/>
      <c r="C1" s="43"/>
      <c r="D1" s="43"/>
      <c r="E1" s="43"/>
      <c r="F1" s="43"/>
      <c r="G1" s="43"/>
      <c r="H1" s="44"/>
    </row>
    <row r="2" spans="1:8" ht="33.75" customHeight="1" thickBot="1">
      <c r="A2" s="7" t="s">
        <v>19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20</v>
      </c>
      <c r="G2" s="9" t="s">
        <v>21</v>
      </c>
      <c r="H2" s="9" t="s">
        <v>23</v>
      </c>
    </row>
    <row r="3" spans="1:8" s="2" customFormat="1" ht="24" customHeight="1">
      <c r="A3" s="4">
        <v>1</v>
      </c>
      <c r="B3" s="4" t="str">
        <f>"1200000305"</f>
        <v>1200000305</v>
      </c>
      <c r="C3" s="5" t="str">
        <f>"آچار چپقي 1 اينچ"</f>
        <v>آچار چپقي 1 اينچ</v>
      </c>
      <c r="D3" s="4" t="str">
        <f>"FACOM -FARANCE"</f>
        <v>FACOM -FARANCE</v>
      </c>
      <c r="E3" s="4" t="str">
        <f>"عدد"</f>
        <v>عدد</v>
      </c>
      <c r="F3" s="4">
        <v>1</v>
      </c>
      <c r="G3" s="10">
        <v>650000</v>
      </c>
      <c r="H3" s="10">
        <f>F3*G3</f>
        <v>650000</v>
      </c>
    </row>
    <row r="4" spans="1:8" s="2" customFormat="1" ht="24" customHeight="1">
      <c r="A4" s="4">
        <v>2</v>
      </c>
      <c r="B4" s="4" t="str">
        <f>"1200000001"</f>
        <v>1200000001</v>
      </c>
      <c r="C4" s="5" t="str">
        <f>"پانچ اعدادلاتين 10ميليمتر"</f>
        <v>پانچ اعدادلاتين 10ميليمتر</v>
      </c>
      <c r="D4" s="4" t="str">
        <f>"10MM  --  2810 -ست 9عددي   10*10"</f>
        <v>10MM  --  2810 -ست 9عددي   10*10</v>
      </c>
      <c r="E4" s="4" t="str">
        <f>"بسته"</f>
        <v>بسته</v>
      </c>
      <c r="F4" s="4">
        <v>13</v>
      </c>
      <c r="G4" s="10">
        <v>600000</v>
      </c>
      <c r="H4" s="10">
        <f>F4*G4</f>
        <v>7800000</v>
      </c>
    </row>
    <row r="5" spans="1:8" s="2" customFormat="1" ht="24" customHeight="1">
      <c r="A5" s="4">
        <v>3</v>
      </c>
      <c r="B5" s="4" t="str">
        <f>"1200000002"</f>
        <v>1200000002</v>
      </c>
      <c r="C5" s="5" t="str">
        <f>"آچار بکس 6 پر مخصوص 105ميلي متر"</f>
        <v>آچار بکس 6 پر مخصوص 105ميلي متر</v>
      </c>
      <c r="D5" s="4" t="str">
        <f>"drive 2 1/2'' * 135 mm--hytork sweden"</f>
        <v>drive 2 1/2'' * 135 mm--hytork sweden</v>
      </c>
      <c r="E5" s="4" t="str">
        <f t="shared" ref="E5:E34" si="0">"عدد"</f>
        <v>عدد</v>
      </c>
      <c r="F5" s="4">
        <v>2</v>
      </c>
      <c r="G5" s="10">
        <v>850000</v>
      </c>
      <c r="H5" s="10">
        <f>F5*G5</f>
        <v>1700000</v>
      </c>
    </row>
    <row r="6" spans="1:8" s="2" customFormat="1" ht="24" customHeight="1">
      <c r="A6" s="6">
        <v>4</v>
      </c>
      <c r="B6" s="4" t="str">
        <f>"1200000003"</f>
        <v>1200000003</v>
      </c>
      <c r="C6" s="5" t="str">
        <f>"آچار بکس 6 پر مخصوص 100ميلي متر"</f>
        <v>آچار بکس 6 پر مخصوص 100ميلي متر</v>
      </c>
      <c r="D6" s="4" t="str">
        <f t="shared" ref="D6:D11" si="1">"drive 2 1/2'' * 135 mm--hytorc sweden"</f>
        <v>drive 2 1/2'' * 135 mm--hytorc sweden</v>
      </c>
      <c r="E6" s="4" t="str">
        <f t="shared" si="0"/>
        <v>عدد</v>
      </c>
      <c r="F6" s="4">
        <v>2</v>
      </c>
      <c r="G6" s="10">
        <v>800000</v>
      </c>
      <c r="H6" s="10">
        <f t="shared" ref="H6:H69" si="2">F6*G6</f>
        <v>1600000</v>
      </c>
    </row>
    <row r="7" spans="1:8" s="2" customFormat="1" ht="24" customHeight="1">
      <c r="A7" s="4">
        <v>5</v>
      </c>
      <c r="B7" s="4" t="str">
        <f>"1200000004"</f>
        <v>1200000004</v>
      </c>
      <c r="C7" s="5" t="str">
        <f>"آچار بکس 6 پر مخصوص 95ميلي متر"</f>
        <v>آچار بکس 6 پر مخصوص 95ميلي متر</v>
      </c>
      <c r="D7" s="4" t="str">
        <f t="shared" si="1"/>
        <v>drive 2 1/2'' * 135 mm--hytorc sweden</v>
      </c>
      <c r="E7" s="4" t="str">
        <f t="shared" si="0"/>
        <v>عدد</v>
      </c>
      <c r="F7" s="4">
        <v>2</v>
      </c>
      <c r="G7" s="10">
        <v>750000</v>
      </c>
      <c r="H7" s="10">
        <f t="shared" si="2"/>
        <v>1500000</v>
      </c>
    </row>
    <row r="8" spans="1:8" s="2" customFormat="1" ht="24" customHeight="1">
      <c r="A8" s="4">
        <v>6</v>
      </c>
      <c r="B8" s="4" t="str">
        <f>"1200000005"</f>
        <v>1200000005</v>
      </c>
      <c r="C8" s="5" t="str">
        <f>"آچار بکس 6 پر مخصوص 90ميلي متر"</f>
        <v>آچار بکس 6 پر مخصوص 90ميلي متر</v>
      </c>
      <c r="D8" s="4" t="str">
        <f t="shared" si="1"/>
        <v>drive 2 1/2'' * 135 mm--hytorc sweden</v>
      </c>
      <c r="E8" s="4" t="str">
        <f t="shared" si="0"/>
        <v>عدد</v>
      </c>
      <c r="F8" s="4">
        <v>2</v>
      </c>
      <c r="G8" s="10">
        <v>700000</v>
      </c>
      <c r="H8" s="10">
        <f t="shared" si="2"/>
        <v>1400000</v>
      </c>
    </row>
    <row r="9" spans="1:8" s="2" customFormat="1" ht="24" customHeight="1">
      <c r="A9" s="4">
        <v>7</v>
      </c>
      <c r="B9" s="4" t="str">
        <f>"1200000006"</f>
        <v>1200000006</v>
      </c>
      <c r="C9" s="5" t="str">
        <f>"آچار بکس 6 پر مخصوص 85 ميلي متر"</f>
        <v>آچار بکس 6 پر مخصوص 85 ميلي متر</v>
      </c>
      <c r="D9" s="4" t="str">
        <f t="shared" si="1"/>
        <v>drive 2 1/2'' * 135 mm--hytorc sweden</v>
      </c>
      <c r="E9" s="4" t="str">
        <f t="shared" si="0"/>
        <v>عدد</v>
      </c>
      <c r="F9" s="4">
        <v>2</v>
      </c>
      <c r="G9" s="10">
        <v>700000</v>
      </c>
      <c r="H9" s="10">
        <f t="shared" si="2"/>
        <v>1400000</v>
      </c>
    </row>
    <row r="10" spans="1:8" s="2" customFormat="1" ht="24" customHeight="1">
      <c r="A10" s="6">
        <v>8</v>
      </c>
      <c r="B10" s="4" t="str">
        <f>"1200000007"</f>
        <v>1200000007</v>
      </c>
      <c r="C10" s="5" t="str">
        <f>"آچار بکس 6 پر مخصوص 80 ميلي متر"</f>
        <v>آچار بکس 6 پر مخصوص 80 ميلي متر</v>
      </c>
      <c r="D10" s="4" t="str">
        <f t="shared" si="1"/>
        <v>drive 2 1/2'' * 135 mm--hytorc sweden</v>
      </c>
      <c r="E10" s="4" t="str">
        <f t="shared" si="0"/>
        <v>عدد</v>
      </c>
      <c r="F10" s="4">
        <v>2</v>
      </c>
      <c r="G10" s="10">
        <v>680000</v>
      </c>
      <c r="H10" s="10">
        <f t="shared" si="2"/>
        <v>1360000</v>
      </c>
    </row>
    <row r="11" spans="1:8" s="2" customFormat="1" ht="24" customHeight="1">
      <c r="A11" s="4">
        <v>9</v>
      </c>
      <c r="B11" s="4" t="str">
        <f>"1200000008"</f>
        <v>1200000008</v>
      </c>
      <c r="C11" s="5" t="str">
        <f>"آچار بکس 6 پر مخصوص 60 ميلي متر"</f>
        <v>آچار بکس 6 پر مخصوص 60 ميلي متر</v>
      </c>
      <c r="D11" s="4" t="str">
        <f t="shared" si="1"/>
        <v>drive 2 1/2'' * 135 mm--hytorc sweden</v>
      </c>
      <c r="E11" s="4" t="str">
        <f t="shared" si="0"/>
        <v>عدد</v>
      </c>
      <c r="F11" s="4">
        <v>1</v>
      </c>
      <c r="G11" s="10">
        <v>650000</v>
      </c>
      <c r="H11" s="10">
        <f t="shared" si="2"/>
        <v>650000</v>
      </c>
    </row>
    <row r="12" spans="1:8" s="2" customFormat="1" ht="24" customHeight="1">
      <c r="A12" s="4">
        <v>10</v>
      </c>
      <c r="B12" s="4" t="str">
        <f>"1200000009"</f>
        <v>1200000009</v>
      </c>
      <c r="C12" s="5" t="str">
        <f>"آچار بکس 6 پر مخصوص 75 ميلي متر"</f>
        <v>آچار بکس 6 پر مخصوص 75 ميلي متر</v>
      </c>
      <c r="D12" s="4" t="str">
        <f>"drive 1 1/2''--hytorc sweden"</f>
        <v>drive 1 1/2''--hytorc sweden</v>
      </c>
      <c r="E12" s="4" t="str">
        <f t="shared" si="0"/>
        <v>عدد</v>
      </c>
      <c r="F12" s="4">
        <v>2</v>
      </c>
      <c r="G12" s="10">
        <v>700000</v>
      </c>
      <c r="H12" s="10">
        <f t="shared" si="2"/>
        <v>1400000</v>
      </c>
    </row>
    <row r="13" spans="1:8" s="2" customFormat="1" ht="24" customHeight="1">
      <c r="A13" s="4">
        <v>11</v>
      </c>
      <c r="B13" s="4" t="str">
        <f>"1200000010"</f>
        <v>1200000010</v>
      </c>
      <c r="C13" s="5" t="str">
        <f>"آچار بکس 6 پر مخصوص 70 ميلي متر"</f>
        <v>آچار بکس 6 پر مخصوص 70 ميلي متر</v>
      </c>
      <c r="D13" s="4" t="str">
        <f>"drive 1 1/2''--hytorc sweden"</f>
        <v>drive 1 1/2''--hytorc sweden</v>
      </c>
      <c r="E13" s="4" t="str">
        <f t="shared" si="0"/>
        <v>عدد</v>
      </c>
      <c r="F13" s="4">
        <v>2</v>
      </c>
      <c r="G13" s="10">
        <v>680000</v>
      </c>
      <c r="H13" s="10">
        <f t="shared" si="2"/>
        <v>1360000</v>
      </c>
    </row>
    <row r="14" spans="1:8" s="2" customFormat="1" ht="24" customHeight="1">
      <c r="A14" s="6">
        <v>12</v>
      </c>
      <c r="B14" s="4" t="str">
        <f>"1200000011"</f>
        <v>1200000011</v>
      </c>
      <c r="C14" s="5" t="str">
        <f>"آچار بکس 6 پر مخصوص 65 ميلي متر"</f>
        <v>آچار بکس 6 پر مخصوص 65 ميلي متر</v>
      </c>
      <c r="D14" s="4" t="str">
        <f>"drive 1 1/2''--hytorc sweden"</f>
        <v>drive 1 1/2''--hytorc sweden</v>
      </c>
      <c r="E14" s="4" t="str">
        <f t="shared" si="0"/>
        <v>عدد</v>
      </c>
      <c r="F14" s="4">
        <v>3</v>
      </c>
      <c r="G14" s="10">
        <v>600000</v>
      </c>
      <c r="H14" s="10">
        <f t="shared" si="2"/>
        <v>1800000</v>
      </c>
    </row>
    <row r="15" spans="1:8" s="2" customFormat="1" ht="24" customHeight="1">
      <c r="A15" s="4">
        <v>13</v>
      </c>
      <c r="B15" s="4" t="str">
        <f>"1200000012"</f>
        <v>1200000012</v>
      </c>
      <c r="C15" s="5" t="str">
        <f>"آچار بكس 12پر اينچي 15/16درايو 3/4(24ميليمتر)"</f>
        <v>آچار بكس 12پر اينچي 15/16درايو 3/4(24ميليمتر)</v>
      </c>
      <c r="D15" s="4" t="str">
        <f>"درايو 3/4"</f>
        <v>درايو 3/4</v>
      </c>
      <c r="E15" s="4" t="str">
        <f t="shared" si="0"/>
        <v>عدد</v>
      </c>
      <c r="F15" s="4">
        <v>2</v>
      </c>
      <c r="G15" s="10">
        <v>450000</v>
      </c>
      <c r="H15" s="10">
        <f t="shared" si="2"/>
        <v>900000</v>
      </c>
    </row>
    <row r="16" spans="1:8" s="2" customFormat="1" ht="24" customHeight="1">
      <c r="A16" s="4">
        <v>14</v>
      </c>
      <c r="B16" s="4" t="str">
        <f>"1200000013"</f>
        <v>1200000013</v>
      </c>
      <c r="C16" s="5" t="str">
        <f>"آچار بكس 12پر 24ميليمتر درايو 1/2"</f>
        <v>آچار بكس 12پر 24ميليمتر درايو 1/2</v>
      </c>
      <c r="D16" s="4" t="str">
        <f>"درايو 1/2"</f>
        <v>درايو 1/2</v>
      </c>
      <c r="E16" s="4" t="str">
        <f t="shared" si="0"/>
        <v>عدد</v>
      </c>
      <c r="F16" s="4">
        <v>6</v>
      </c>
      <c r="G16" s="10">
        <v>150000</v>
      </c>
      <c r="H16" s="10">
        <f t="shared" si="2"/>
        <v>900000</v>
      </c>
    </row>
    <row r="17" spans="1:8" s="2" customFormat="1" ht="24" customHeight="1">
      <c r="A17" s="4">
        <v>15</v>
      </c>
      <c r="B17" s="4" t="str">
        <f>"1200000014"</f>
        <v>1200000014</v>
      </c>
      <c r="C17" s="5" t="str">
        <f>"آچار بکس 6 پر 75 ميلي متردرايو 1 اينچ"</f>
        <v>آچار بکس 6 پر 75 ميلي متردرايو 1 اينچ</v>
      </c>
      <c r="D17" s="4" t="str">
        <f>"DRIVE 1''--STAHLWILLE"</f>
        <v>DRIVE 1''--STAHLWILLE</v>
      </c>
      <c r="E17" s="4" t="str">
        <f t="shared" si="0"/>
        <v>عدد</v>
      </c>
      <c r="F17" s="4">
        <v>1</v>
      </c>
      <c r="G17" s="10">
        <v>800000</v>
      </c>
      <c r="H17" s="10">
        <f t="shared" si="2"/>
        <v>800000</v>
      </c>
    </row>
    <row r="18" spans="1:8" s="2" customFormat="1" ht="24" customHeight="1">
      <c r="A18" s="6">
        <v>16</v>
      </c>
      <c r="B18" s="4" t="str">
        <f>"1200000015"</f>
        <v>1200000015</v>
      </c>
      <c r="C18" s="5" t="str">
        <f>"آچار بکس 6 پر 70 ميلي متردرايو1 اينچ"</f>
        <v>آچار بکس 6 پر 70 ميلي متردرايو1 اينچ</v>
      </c>
      <c r="D18" s="4" t="str">
        <f>"DRIVE 1''--STAHLWILLE"</f>
        <v>DRIVE 1''--STAHLWILLE</v>
      </c>
      <c r="E18" s="4" t="str">
        <f t="shared" si="0"/>
        <v>عدد</v>
      </c>
      <c r="F18" s="4">
        <v>2</v>
      </c>
      <c r="G18" s="10">
        <v>800000</v>
      </c>
      <c r="H18" s="10">
        <f t="shared" si="2"/>
        <v>1600000</v>
      </c>
    </row>
    <row r="19" spans="1:8" s="2" customFormat="1" ht="24" customHeight="1">
      <c r="A19" s="4">
        <v>17</v>
      </c>
      <c r="B19" s="4" t="str">
        <f>"1200000016"</f>
        <v>1200000016</v>
      </c>
      <c r="C19" s="5" t="str">
        <f>"آچار بکس 12 پر 60 ميلي متردرايو1اينچ"</f>
        <v>آچار بکس 12 پر 60 ميلي متردرايو1اينچ</v>
      </c>
      <c r="D19" s="4" t="str">
        <f>"DRIVE 1''--STAHLWILLE"</f>
        <v>DRIVE 1''--STAHLWILLE</v>
      </c>
      <c r="E19" s="4" t="str">
        <f t="shared" si="0"/>
        <v>عدد</v>
      </c>
      <c r="F19" s="4">
        <v>1</v>
      </c>
      <c r="G19" s="10">
        <v>750000</v>
      </c>
      <c r="H19" s="10">
        <f t="shared" si="2"/>
        <v>750000</v>
      </c>
    </row>
    <row r="20" spans="1:8" s="2" customFormat="1" ht="24" customHeight="1">
      <c r="A20" s="4">
        <v>18</v>
      </c>
      <c r="B20" s="4" t="str">
        <f>"1200000017"</f>
        <v>1200000017</v>
      </c>
      <c r="C20" s="5" t="str">
        <f>"آچار بکس 12 پر 50 ميلي متردرايو 1اينچ"</f>
        <v>آچار بکس 12 پر 50 ميلي متردرايو 1اينچ</v>
      </c>
      <c r="D20" s="4" t="str">
        <f>"DRIVE 1''--STAHLWILLE"</f>
        <v>DRIVE 1''--STAHLWILLE</v>
      </c>
      <c r="E20" s="4" t="str">
        <f t="shared" si="0"/>
        <v>عدد</v>
      </c>
      <c r="F20" s="4">
        <v>2</v>
      </c>
      <c r="G20" s="10">
        <v>600000</v>
      </c>
      <c r="H20" s="10">
        <f t="shared" si="2"/>
        <v>1200000</v>
      </c>
    </row>
    <row r="21" spans="1:8" s="2" customFormat="1" ht="24" customHeight="1">
      <c r="A21" s="4">
        <v>19</v>
      </c>
      <c r="B21" s="4" t="str">
        <f>"1200000018"</f>
        <v>1200000018</v>
      </c>
      <c r="C21" s="5" t="str">
        <f>"آچار بکس 12 پر 65 ميلي متردرايو1 اينچ"</f>
        <v>آچار بکس 12 پر 65 ميلي متردرايو1 اينچ</v>
      </c>
      <c r="D21" s="4" t="str">
        <f>"DRIVE 1''--GEDORE"</f>
        <v>DRIVE 1''--GEDORE</v>
      </c>
      <c r="E21" s="4" t="str">
        <f t="shared" si="0"/>
        <v>عدد</v>
      </c>
      <c r="F21" s="4">
        <v>1</v>
      </c>
      <c r="G21" s="10">
        <v>750000</v>
      </c>
      <c r="H21" s="10">
        <f t="shared" si="2"/>
        <v>750000</v>
      </c>
    </row>
    <row r="22" spans="1:8" s="2" customFormat="1" ht="24" customHeight="1">
      <c r="A22" s="6">
        <v>20</v>
      </c>
      <c r="B22" s="4" t="str">
        <f>"1200000019"</f>
        <v>1200000019</v>
      </c>
      <c r="C22" s="5" t="str">
        <f>"آچار بکس  85 ميلي مترمخصوص دنده اي"</f>
        <v>آچار بکس  85 ميلي مترمخصوص دنده اي</v>
      </c>
      <c r="D22" s="4" t="str">
        <f>"drive 1 1/2''--HYTORC"</f>
        <v>drive 1 1/2''--HYTORC</v>
      </c>
      <c r="E22" s="4" t="str">
        <f t="shared" si="0"/>
        <v>عدد</v>
      </c>
      <c r="F22" s="4">
        <v>2</v>
      </c>
      <c r="G22" s="10">
        <v>900000</v>
      </c>
      <c r="H22" s="10">
        <f t="shared" si="2"/>
        <v>1800000</v>
      </c>
    </row>
    <row r="23" spans="1:8" s="2" customFormat="1" ht="24" customHeight="1">
      <c r="A23" s="4">
        <v>21</v>
      </c>
      <c r="B23" s="4" t="str">
        <f>"1200000020"</f>
        <v>1200000020</v>
      </c>
      <c r="C23" s="5" t="str">
        <f>"آچار بکس  80 ميلي متر مخصوص دنده اي"</f>
        <v>آچار بکس  80 ميلي متر مخصوص دنده اي</v>
      </c>
      <c r="D23" s="4" t="str">
        <f>"drive 1 1/2''--HYTORC"</f>
        <v>drive 1 1/2''--HYTORC</v>
      </c>
      <c r="E23" s="4" t="str">
        <f t="shared" si="0"/>
        <v>عدد</v>
      </c>
      <c r="F23" s="4">
        <v>2</v>
      </c>
      <c r="G23" s="10">
        <v>800000</v>
      </c>
      <c r="H23" s="10">
        <f t="shared" si="2"/>
        <v>1600000</v>
      </c>
    </row>
    <row r="24" spans="1:8" s="2" customFormat="1" ht="24" customHeight="1">
      <c r="A24" s="4">
        <v>22</v>
      </c>
      <c r="B24" s="4" t="str">
        <f>"1200000021"</f>
        <v>1200000021</v>
      </c>
      <c r="C24" s="5" t="str">
        <f>"آچار بکس  70 ميلي متر مخصوص دنده اي"</f>
        <v>آچار بکس  70 ميلي متر مخصوص دنده اي</v>
      </c>
      <c r="D24" s="4" t="str">
        <f>"drive 1 1/2''--HYTORC"</f>
        <v>drive 1 1/2''--HYTORC</v>
      </c>
      <c r="E24" s="4" t="str">
        <f t="shared" si="0"/>
        <v>عدد</v>
      </c>
      <c r="F24" s="4">
        <v>2</v>
      </c>
      <c r="G24" s="10">
        <v>700000</v>
      </c>
      <c r="H24" s="10">
        <f t="shared" si="2"/>
        <v>1400000</v>
      </c>
    </row>
    <row r="25" spans="1:8" s="2" customFormat="1" ht="24" customHeight="1">
      <c r="A25" s="4">
        <v>23</v>
      </c>
      <c r="B25" s="4" t="str">
        <f>"1200000023"</f>
        <v>1200000023</v>
      </c>
      <c r="C25" s="5" t="str">
        <f>"آچار بکس 6 پر19 ميلي متردرايو 3/4فشار قوي"</f>
        <v>آچار بکس 6 پر19 ميلي متردرايو 3/4فشار قوي</v>
      </c>
      <c r="D25" s="4" t="str">
        <f>"drive 3/4''-GEDORE"</f>
        <v>drive 3/4''-GEDORE</v>
      </c>
      <c r="E25" s="4" t="str">
        <f t="shared" si="0"/>
        <v>عدد</v>
      </c>
      <c r="F25" s="4">
        <v>1</v>
      </c>
      <c r="G25" s="10">
        <v>250000</v>
      </c>
      <c r="H25" s="10">
        <f t="shared" si="2"/>
        <v>250000</v>
      </c>
    </row>
    <row r="26" spans="1:8" s="2" customFormat="1" ht="24" customHeight="1">
      <c r="A26" s="6">
        <v>24</v>
      </c>
      <c r="B26" s="4" t="str">
        <f>"1200000024"</f>
        <v>1200000024</v>
      </c>
      <c r="C26" s="5" t="str">
        <f>"آچار بکس 6 پر 50 ميلي متردرايو3/4"</f>
        <v>آچار بکس 6 پر 50 ميلي متردرايو3/4</v>
      </c>
      <c r="D26" s="4" t="str">
        <f>"drive 3/4''--HAZET"</f>
        <v>drive 3/4''--HAZET</v>
      </c>
      <c r="E26" s="4" t="str">
        <f t="shared" si="0"/>
        <v>عدد</v>
      </c>
      <c r="F26" s="4">
        <v>4</v>
      </c>
      <c r="G26" s="10">
        <v>480000</v>
      </c>
      <c r="H26" s="10">
        <f t="shared" si="2"/>
        <v>1920000</v>
      </c>
    </row>
    <row r="27" spans="1:8" s="2" customFormat="1" ht="24" customHeight="1">
      <c r="A27" s="4">
        <v>25</v>
      </c>
      <c r="B27" s="4" t="str">
        <f>"1200000025"</f>
        <v>1200000025</v>
      </c>
      <c r="C27" s="5" t="str">
        <f>"آچار بکس 6 پر 46 ميلي متردرايو3/4"</f>
        <v>آچار بکس 6 پر 46 ميلي متردرايو3/4</v>
      </c>
      <c r="D27" s="4" t="str">
        <f>"drive 3/4''--HAZET"</f>
        <v>drive 3/4''--HAZET</v>
      </c>
      <c r="E27" s="4" t="str">
        <f t="shared" si="0"/>
        <v>عدد</v>
      </c>
      <c r="F27" s="4">
        <v>5</v>
      </c>
      <c r="G27" s="10">
        <v>480000</v>
      </c>
      <c r="H27" s="10">
        <f t="shared" si="2"/>
        <v>2400000</v>
      </c>
    </row>
    <row r="28" spans="1:8" s="2" customFormat="1" ht="24" customHeight="1">
      <c r="A28" s="4">
        <v>26</v>
      </c>
      <c r="B28" s="4" t="str">
        <f>"1200000026"</f>
        <v>1200000026</v>
      </c>
      <c r="C28" s="5" t="str">
        <f>"آچار بکس 12 پر 19 ميلي متردرايو1/2"</f>
        <v>آچار بکس 12 پر 19 ميلي متردرايو1/2</v>
      </c>
      <c r="D28" s="4" t="str">
        <f>"drive 1/2''--GEDORE"</f>
        <v>drive 1/2''--GEDORE</v>
      </c>
      <c r="E28" s="4" t="str">
        <f t="shared" si="0"/>
        <v>عدد</v>
      </c>
      <c r="F28" s="4">
        <v>5</v>
      </c>
      <c r="G28" s="10">
        <v>80000</v>
      </c>
      <c r="H28" s="10">
        <f t="shared" si="2"/>
        <v>400000</v>
      </c>
    </row>
    <row r="29" spans="1:8" s="2" customFormat="1" ht="24" customHeight="1">
      <c r="A29" s="4">
        <v>27</v>
      </c>
      <c r="B29" s="4" t="str">
        <f>"1200000027"</f>
        <v>1200000027</v>
      </c>
      <c r="C29" s="5" t="str">
        <f>"آچار بکس 6 پر 41ميلي متر درايو3/4"</f>
        <v>آچار بکس 6 پر 41ميلي متر درايو3/4</v>
      </c>
      <c r="D29" s="4" t="s">
        <v>4</v>
      </c>
      <c r="E29" s="4" t="str">
        <f t="shared" si="0"/>
        <v>عدد</v>
      </c>
      <c r="F29" s="4">
        <v>2</v>
      </c>
      <c r="G29" s="10">
        <v>400000</v>
      </c>
      <c r="H29" s="10">
        <f t="shared" si="2"/>
        <v>800000</v>
      </c>
    </row>
    <row r="30" spans="1:8" s="2" customFormat="1" ht="24" customHeight="1">
      <c r="A30" s="6">
        <v>28</v>
      </c>
      <c r="B30" s="4" t="str">
        <f>"1200000029"</f>
        <v>1200000029</v>
      </c>
      <c r="C30" s="5" t="str">
        <f>"آچار بکس 12پراينچي1/2-1اينچ درايو3/4(38ميليمتر)"</f>
        <v>آچار بکس 12پراينچي1/2-1اينچ درايو3/4(38ميليمتر)</v>
      </c>
      <c r="D30" s="4" t="str">
        <f>"drive 3/4''--FACOM"</f>
        <v>drive 3/4''--FACOM</v>
      </c>
      <c r="E30" s="4" t="str">
        <f t="shared" si="0"/>
        <v>عدد</v>
      </c>
      <c r="F30" s="4">
        <v>1</v>
      </c>
      <c r="G30" s="10">
        <v>500000</v>
      </c>
      <c r="H30" s="10">
        <f t="shared" si="2"/>
        <v>500000</v>
      </c>
    </row>
    <row r="31" spans="1:8" s="2" customFormat="1" ht="24" customHeight="1">
      <c r="A31" s="4">
        <v>29</v>
      </c>
      <c r="B31" s="4" t="str">
        <f>"1200000030"</f>
        <v>1200000030</v>
      </c>
      <c r="C31" s="5" t="str">
        <f>"آچار بکس 12پراينچي7/8-1اينچ درايو3/4(48ميليمتر)"</f>
        <v>آچار بکس 12پراينچي7/8-1اينچ درايو3/4(48ميليمتر)</v>
      </c>
      <c r="D31" s="4" t="str">
        <f>"drive 3/4''--facom"</f>
        <v>drive 3/4''--facom</v>
      </c>
      <c r="E31" s="4" t="str">
        <f t="shared" si="0"/>
        <v>عدد</v>
      </c>
      <c r="F31" s="4">
        <v>1</v>
      </c>
      <c r="G31" s="10">
        <v>550000</v>
      </c>
      <c r="H31" s="10">
        <f t="shared" si="2"/>
        <v>550000</v>
      </c>
    </row>
    <row r="32" spans="1:8" s="2" customFormat="1" ht="24" customHeight="1">
      <c r="A32" s="4">
        <v>30</v>
      </c>
      <c r="B32" s="4" t="str">
        <f>"1200000031"</f>
        <v>1200000031</v>
      </c>
      <c r="C32" s="5" t="str">
        <f>"آچار بکس 12 پر 34 ميلي متردرايو 3/4"</f>
        <v>آچار بکس 12 پر 34 ميلي متردرايو 3/4</v>
      </c>
      <c r="D32" s="4" t="str">
        <f>"drive  اينچ3/4--koken"</f>
        <v>drive  اينچ3/4--koken</v>
      </c>
      <c r="E32" s="4" t="str">
        <f t="shared" si="0"/>
        <v>عدد</v>
      </c>
      <c r="F32" s="4">
        <v>3</v>
      </c>
      <c r="G32" s="10">
        <v>400000</v>
      </c>
      <c r="H32" s="10">
        <f t="shared" si="2"/>
        <v>1200000</v>
      </c>
    </row>
    <row r="33" spans="1:8" s="2" customFormat="1" ht="24" customHeight="1">
      <c r="A33" s="4">
        <v>31</v>
      </c>
      <c r="B33" s="4" t="str">
        <f>"1200000032"</f>
        <v>1200000032</v>
      </c>
      <c r="C33" s="5" t="str">
        <f>"آچار بکس 12 پر 33 ميلي متر درايو3/4"</f>
        <v>آچار بکس 12 پر 33 ميلي متر درايو3/4</v>
      </c>
      <c r="D33" s="4" t="str">
        <f>"drive اينچ3/4--vbw"</f>
        <v>drive اينچ3/4--vbw</v>
      </c>
      <c r="E33" s="4" t="str">
        <f t="shared" si="0"/>
        <v>عدد</v>
      </c>
      <c r="F33" s="4">
        <v>2</v>
      </c>
      <c r="G33" s="10">
        <v>380000</v>
      </c>
      <c r="H33" s="10">
        <f t="shared" si="2"/>
        <v>760000</v>
      </c>
    </row>
    <row r="34" spans="1:8" s="2" customFormat="1" ht="24" customHeight="1">
      <c r="A34" s="6">
        <v>32</v>
      </c>
      <c r="B34" s="4" t="str">
        <f>"1200000033"</f>
        <v>1200000033</v>
      </c>
      <c r="C34" s="5" t="str">
        <f>"آچار بکس 12پر 1 اينچ درايو3/4(25ميليمتر)"</f>
        <v>آچار بکس 12پر 1 اينچ درايو3/4(25ميليمتر)</v>
      </c>
      <c r="D34" s="4" t="str">
        <f>"drive  3/4  اينچ--gedore   germany"</f>
        <v>drive  3/4  اينچ--gedore   germany</v>
      </c>
      <c r="E34" s="4" t="str">
        <f t="shared" si="0"/>
        <v>عدد</v>
      </c>
      <c r="F34" s="4">
        <v>3</v>
      </c>
      <c r="G34" s="10">
        <v>300000</v>
      </c>
      <c r="H34" s="10">
        <f t="shared" si="2"/>
        <v>900000</v>
      </c>
    </row>
    <row r="35" spans="1:8" s="2" customFormat="1" ht="24" customHeight="1">
      <c r="A35" s="4">
        <v>33</v>
      </c>
      <c r="B35" s="4" t="str">
        <f>"1200000034"</f>
        <v>1200000034</v>
      </c>
      <c r="C35" s="5" t="str">
        <f>"آچار بکس 6 پر30 ميلي متردرايو1/2"</f>
        <v>آچار بکس 6 پر30 ميلي متردرايو1/2</v>
      </c>
      <c r="D35" s="4" t="str">
        <f>"drive   1/2  -no.19--dowidat"</f>
        <v>drive   1/2  -no.19--dowidat</v>
      </c>
      <c r="E35" s="4" t="str">
        <f t="shared" ref="E35:E64" si="3">"عدد"</f>
        <v>عدد</v>
      </c>
      <c r="F35" s="4">
        <v>3</v>
      </c>
      <c r="G35" s="10">
        <v>350000</v>
      </c>
      <c r="H35" s="10">
        <f t="shared" si="2"/>
        <v>1050000</v>
      </c>
    </row>
    <row r="36" spans="1:8" s="2" customFormat="1" ht="24" customHeight="1">
      <c r="A36" s="4">
        <v>34</v>
      </c>
      <c r="B36" s="4" t="str">
        <f>"1200000035"</f>
        <v>1200000035</v>
      </c>
      <c r="C36" s="5" t="str">
        <f>"رابط گيربکس  دار   1 اينچ"</f>
        <v>رابط گيربکس  دار   1 اينچ</v>
      </c>
      <c r="D36" s="4" t="str">
        <f>"no.754-06--rahsol germany"</f>
        <v>no.754-06--rahsol germany</v>
      </c>
      <c r="E36" s="4" t="str">
        <f t="shared" si="3"/>
        <v>عدد</v>
      </c>
      <c r="F36" s="4">
        <v>2</v>
      </c>
      <c r="G36" s="10">
        <v>1500000</v>
      </c>
      <c r="H36" s="10">
        <f t="shared" si="2"/>
        <v>3000000</v>
      </c>
    </row>
    <row r="37" spans="1:8" s="2" customFormat="1" ht="24" customHeight="1">
      <c r="A37" s="4">
        <v>35</v>
      </c>
      <c r="B37" s="4" t="str">
        <f>"1200000036"</f>
        <v>1200000036</v>
      </c>
      <c r="C37" s="5" t="str">
        <f>"رايط گيربکس دار 3/4 اينچ"</f>
        <v>رايط گيربکس دار 3/4 اينچ</v>
      </c>
      <c r="D37" s="4" t="str">
        <f>"no.754 - 04--rahsol germany"</f>
        <v>no.754 - 04--rahsol germany</v>
      </c>
      <c r="E37" s="4" t="str">
        <f t="shared" si="3"/>
        <v>عدد</v>
      </c>
      <c r="F37" s="4">
        <v>1</v>
      </c>
      <c r="G37" s="10">
        <v>1300000</v>
      </c>
      <c r="H37" s="10">
        <f t="shared" si="2"/>
        <v>1300000</v>
      </c>
    </row>
    <row r="38" spans="1:8" s="2" customFormat="1" ht="24" customHeight="1">
      <c r="A38" s="6">
        <v>36</v>
      </c>
      <c r="B38" s="4" t="str">
        <f>"1200000037"</f>
        <v>1200000037</v>
      </c>
      <c r="C38" s="5" t="str">
        <f>"تبديل (رابط بکس )نري به مادگي   1اينچ  -  3/4 اينچ"</f>
        <v>تبديل (رابط بکس )نري به مادگي   1اينچ  -  3/4 اينچ</v>
      </c>
      <c r="D38" s="4" t="str">
        <f>"no32132--gedore  germany"</f>
        <v>no32132--gedore  germany</v>
      </c>
      <c r="E38" s="4" t="str">
        <f t="shared" si="3"/>
        <v>عدد</v>
      </c>
      <c r="F38" s="4">
        <v>3</v>
      </c>
      <c r="G38" s="10">
        <v>500000</v>
      </c>
      <c r="H38" s="10">
        <f t="shared" si="2"/>
        <v>1500000</v>
      </c>
    </row>
    <row r="39" spans="1:8" s="2" customFormat="1" ht="24" customHeight="1">
      <c r="A39" s="4">
        <v>37</v>
      </c>
      <c r="B39" s="4" t="str">
        <f>"1200000038"</f>
        <v>1200000038</v>
      </c>
      <c r="C39" s="5" t="str">
        <f>"آچار بكس 6 پر19ميليمتري درايو1/2فشار قوي"</f>
        <v>آچار بكس 6 پر19ميليمتري درايو1/2فشار قوي</v>
      </c>
      <c r="D39" s="4" t="s">
        <v>5</v>
      </c>
      <c r="E39" s="4" t="str">
        <f t="shared" si="3"/>
        <v>عدد</v>
      </c>
      <c r="F39" s="4">
        <v>1</v>
      </c>
      <c r="G39" s="10">
        <v>80000</v>
      </c>
      <c r="H39" s="10">
        <f t="shared" si="2"/>
        <v>80000</v>
      </c>
    </row>
    <row r="40" spans="1:8" s="2" customFormat="1" ht="24" customHeight="1">
      <c r="A40" s="4">
        <v>38</v>
      </c>
      <c r="B40" s="4" t="str">
        <f>"1200000039"</f>
        <v>1200000039</v>
      </c>
      <c r="C40" s="5" t="str">
        <f>"آچار دو سر رينگي30_27ميليمتر"</f>
        <v>آچار دو سر رينگي30_27ميليمتر</v>
      </c>
      <c r="D40" s="4" t="str">
        <f>"chrom vandium--hazet germany"</f>
        <v>chrom vandium--hazet germany</v>
      </c>
      <c r="E40" s="4" t="str">
        <f t="shared" si="3"/>
        <v>عدد</v>
      </c>
      <c r="F40" s="4">
        <v>2</v>
      </c>
      <c r="G40" s="10">
        <v>400000</v>
      </c>
      <c r="H40" s="10">
        <f t="shared" si="2"/>
        <v>800000</v>
      </c>
    </row>
    <row r="41" spans="1:8" s="2" customFormat="1" ht="24" customHeight="1">
      <c r="A41" s="4">
        <v>39</v>
      </c>
      <c r="B41" s="4" t="str">
        <f>"1200000040"</f>
        <v>1200000040</v>
      </c>
      <c r="C41" s="5" t="str">
        <f>"آچار دو سر رينگي32_27ميليمتر"</f>
        <v>آچار دو سر رينگي32_27ميليمتر</v>
      </c>
      <c r="D41" s="4" t="str">
        <f>"NO .802--PADRE  GERMANY"</f>
        <v>NO .802--PADRE  GERMANY</v>
      </c>
      <c r="E41" s="4" t="str">
        <f t="shared" si="3"/>
        <v>عدد</v>
      </c>
      <c r="F41" s="4">
        <v>6</v>
      </c>
      <c r="G41" s="10">
        <v>400000</v>
      </c>
      <c r="H41" s="10">
        <f t="shared" si="2"/>
        <v>2400000</v>
      </c>
    </row>
    <row r="42" spans="1:8" s="2" customFormat="1" ht="24" customHeight="1">
      <c r="A42" s="6">
        <v>40</v>
      </c>
      <c r="B42" s="4" t="str">
        <f>"1200000041"</f>
        <v>1200000041</v>
      </c>
      <c r="C42" s="5" t="str">
        <f>"آچار دو سر رينگي28_25ميليمتر"</f>
        <v>آچار دو سر رينگي28_25ميليمتر</v>
      </c>
      <c r="D42" s="4" t="str">
        <f>"NO .2--GEDORE GERMANY"</f>
        <v>NO .2--GEDORE GERMANY</v>
      </c>
      <c r="E42" s="4" t="str">
        <f t="shared" si="3"/>
        <v>عدد</v>
      </c>
      <c r="F42" s="4">
        <v>11</v>
      </c>
      <c r="G42" s="10">
        <v>400000</v>
      </c>
      <c r="H42" s="10">
        <f t="shared" si="2"/>
        <v>4400000</v>
      </c>
    </row>
    <row r="43" spans="1:8" s="2" customFormat="1" ht="24" customHeight="1">
      <c r="A43" s="4">
        <v>41</v>
      </c>
      <c r="B43" s="4" t="str">
        <f>"1200000042"</f>
        <v>1200000042</v>
      </c>
      <c r="C43" s="5" t="str">
        <f>"آچار دو سر رينگي36_30ميليمتر"</f>
        <v>آچار دو سر رينگي36_30ميليمتر</v>
      </c>
      <c r="D43" s="4" t="str">
        <f>"NO.475--HEYCO W.GERMANY"</f>
        <v>NO.475--HEYCO W.GERMANY</v>
      </c>
      <c r="E43" s="4" t="str">
        <f t="shared" si="3"/>
        <v>عدد</v>
      </c>
      <c r="F43" s="4">
        <v>1</v>
      </c>
      <c r="G43" s="10">
        <v>700000</v>
      </c>
      <c r="H43" s="10">
        <f t="shared" si="2"/>
        <v>700000</v>
      </c>
    </row>
    <row r="44" spans="1:8" s="2" customFormat="1" ht="24" customHeight="1">
      <c r="A44" s="4">
        <v>42</v>
      </c>
      <c r="B44" s="4" t="str">
        <f>"1200000043"</f>
        <v>1200000043</v>
      </c>
      <c r="C44" s="5" t="str">
        <f>"آچار دو سر رينگي32_30 ميليمتر"</f>
        <v>آچار دو سر رينگي32_30 ميليمتر</v>
      </c>
      <c r="D44" s="4" t="str">
        <f>"NO.2--GEDORE  GERMANY"</f>
        <v>NO.2--GEDORE  GERMANY</v>
      </c>
      <c r="E44" s="4" t="str">
        <f t="shared" si="3"/>
        <v>عدد</v>
      </c>
      <c r="F44" s="4">
        <v>29</v>
      </c>
      <c r="G44" s="10">
        <v>450000</v>
      </c>
      <c r="H44" s="10">
        <f t="shared" si="2"/>
        <v>13050000</v>
      </c>
    </row>
    <row r="45" spans="1:8" s="2" customFormat="1" ht="24" customHeight="1">
      <c r="A45" s="4">
        <v>43</v>
      </c>
      <c r="B45" s="4" t="str">
        <f>"1200000044"</f>
        <v>1200000044</v>
      </c>
      <c r="C45" s="5" t="str">
        <f>"آچار دو سر رينگي36_32ميليمتر"</f>
        <v>آچار دو سر رينگي36_32ميليمتر</v>
      </c>
      <c r="D45" s="4" t="str">
        <f>"NO . 1--RAHSOL  GERMANY"</f>
        <v>NO . 1--RAHSOL  GERMANY</v>
      </c>
      <c r="E45" s="4" t="str">
        <f t="shared" si="3"/>
        <v>عدد</v>
      </c>
      <c r="F45" s="4">
        <v>5</v>
      </c>
      <c r="G45" s="10">
        <v>750000</v>
      </c>
      <c r="H45" s="10">
        <f t="shared" si="2"/>
        <v>3750000</v>
      </c>
    </row>
    <row r="46" spans="1:8" s="2" customFormat="1" ht="24" customHeight="1">
      <c r="A46" s="6">
        <v>44</v>
      </c>
      <c r="B46" s="4" t="str">
        <f>"1200000045"</f>
        <v>1200000045</v>
      </c>
      <c r="C46" s="5" t="str">
        <f>"آچار دو سر رينگي27- 24ميليمتر"</f>
        <v>آچار دو سر رينگي27- 24ميليمتر</v>
      </c>
      <c r="D46" s="4" t="str">
        <f>"NO.2--HAZET"</f>
        <v>NO.2--HAZET</v>
      </c>
      <c r="E46" s="4" t="str">
        <f t="shared" si="3"/>
        <v>عدد</v>
      </c>
      <c r="F46" s="4">
        <v>3</v>
      </c>
      <c r="G46" s="10">
        <v>350000</v>
      </c>
      <c r="H46" s="10">
        <f t="shared" si="2"/>
        <v>1050000</v>
      </c>
    </row>
    <row r="47" spans="1:8" s="2" customFormat="1" ht="24" customHeight="1">
      <c r="A47" s="4">
        <v>45</v>
      </c>
      <c r="B47" s="4" t="str">
        <f>"1200000046"</f>
        <v>1200000046</v>
      </c>
      <c r="C47" s="5" t="str">
        <f>"آچار دو سر رينگي11-10ميليمتر"</f>
        <v>آچار دو سر رينگي11-10ميليمتر</v>
      </c>
      <c r="D47" s="4" t="str">
        <f>"110--ELORA"</f>
        <v>110--ELORA</v>
      </c>
      <c r="E47" s="4" t="str">
        <f t="shared" si="3"/>
        <v>عدد</v>
      </c>
      <c r="F47" s="4">
        <v>5</v>
      </c>
      <c r="G47" s="10">
        <v>100000</v>
      </c>
      <c r="H47" s="10">
        <f t="shared" si="2"/>
        <v>500000</v>
      </c>
    </row>
    <row r="48" spans="1:8" s="2" customFormat="1" ht="24" customHeight="1">
      <c r="A48" s="4">
        <v>46</v>
      </c>
      <c r="B48" s="4" t="str">
        <f>"1200000047"</f>
        <v>1200000047</v>
      </c>
      <c r="C48" s="5" t="str">
        <f>"آچار دو سر رينگي1/4_1_7/16_1(36-32ميليمتر)"</f>
        <v>آچار دو سر رينگي1/4_1_7/16_1(36-32ميليمتر)</v>
      </c>
      <c r="D48" s="4" t="str">
        <f>"630--HAZET"</f>
        <v>630--HAZET</v>
      </c>
      <c r="E48" s="4" t="str">
        <f t="shared" si="3"/>
        <v>عدد</v>
      </c>
      <c r="F48" s="4">
        <v>1</v>
      </c>
      <c r="G48" s="10">
        <v>450000</v>
      </c>
      <c r="H48" s="10">
        <f t="shared" si="2"/>
        <v>450000</v>
      </c>
    </row>
    <row r="49" spans="1:8" s="2" customFormat="1" ht="24" customHeight="1">
      <c r="A49" s="4">
        <v>47</v>
      </c>
      <c r="B49" s="4" t="str">
        <f>"1200000048"</f>
        <v>1200000048</v>
      </c>
      <c r="C49" s="5" t="str">
        <f>"آچار دو سر رينگي1/4-1_3/8-1(35-32ميليمتر)"</f>
        <v>آچار دو سر رينگي1/4-1_3/8-1(35-32ميليمتر)</v>
      </c>
      <c r="D49" s="4" t="str">
        <f>"GEDORE"</f>
        <v>GEDORE</v>
      </c>
      <c r="E49" s="4" t="str">
        <f t="shared" si="3"/>
        <v>عدد</v>
      </c>
      <c r="F49" s="4">
        <v>2</v>
      </c>
      <c r="G49" s="10">
        <v>500000</v>
      </c>
      <c r="H49" s="10">
        <f t="shared" si="2"/>
        <v>1000000</v>
      </c>
    </row>
    <row r="50" spans="1:8" s="2" customFormat="1" ht="24" customHeight="1">
      <c r="A50" s="6">
        <v>48</v>
      </c>
      <c r="B50" s="4" t="str">
        <f>"1200000049"</f>
        <v>1200000049</v>
      </c>
      <c r="C50" s="5" t="str">
        <f>"آچار دو سر رينگي1/2-1_3/8-1(38_35ميليمتر)"</f>
        <v>آچار دو سر رينگي1/2-1_3/8-1(38_35ميليمتر)</v>
      </c>
      <c r="D50" s="4" t="str">
        <f>"430--SNAP-ON  USA"</f>
        <v>430--SNAP-ON  USA</v>
      </c>
      <c r="E50" s="4" t="str">
        <f t="shared" si="3"/>
        <v>عدد</v>
      </c>
      <c r="F50" s="4">
        <v>1</v>
      </c>
      <c r="G50" s="10">
        <v>500000</v>
      </c>
      <c r="H50" s="10">
        <f t="shared" si="2"/>
        <v>500000</v>
      </c>
    </row>
    <row r="51" spans="1:8" s="2" customFormat="1" ht="24" customHeight="1">
      <c r="A51" s="4">
        <v>49</v>
      </c>
      <c r="B51" s="4" t="str">
        <f>"1200000050"</f>
        <v>1200000050</v>
      </c>
      <c r="C51" s="5" t="str">
        <f>"آچار دو سر رينگي7/16-1_ 5/8-1(41-36ميليمتر)"</f>
        <v>آچار دو سر رينگي7/16-1_ 5/8-1(41-36ميليمتر)</v>
      </c>
      <c r="D51" s="4" t="str">
        <f>"XV4652--SNAP-ON"</f>
        <v>XV4652--SNAP-ON</v>
      </c>
      <c r="E51" s="4" t="str">
        <f t="shared" si="3"/>
        <v>عدد</v>
      </c>
      <c r="F51" s="4">
        <v>3</v>
      </c>
      <c r="G51" s="10">
        <v>500000</v>
      </c>
      <c r="H51" s="10">
        <f t="shared" si="2"/>
        <v>1500000</v>
      </c>
    </row>
    <row r="52" spans="1:8" s="2" customFormat="1" ht="24" customHeight="1">
      <c r="A52" s="4">
        <v>50</v>
      </c>
      <c r="B52" s="4" t="str">
        <f>"1200000051"</f>
        <v>1200000051</v>
      </c>
      <c r="C52" s="5" t="str">
        <f>"آچار يکسرتخت يكسر رينگي 34ميليمتر"</f>
        <v>آچار يکسرتخت يكسر رينگي 34ميليمتر</v>
      </c>
      <c r="D52" s="4" t="str">
        <f>"DROP   FORGED"</f>
        <v>DROP   FORGED</v>
      </c>
      <c r="E52" s="4" t="str">
        <f t="shared" si="3"/>
        <v>عدد</v>
      </c>
      <c r="F52" s="4">
        <v>5</v>
      </c>
      <c r="G52" s="10">
        <v>900000</v>
      </c>
      <c r="H52" s="10">
        <f t="shared" si="2"/>
        <v>4500000</v>
      </c>
    </row>
    <row r="53" spans="1:8" s="2" customFormat="1" ht="24" customHeight="1">
      <c r="A53" s="4">
        <v>51</v>
      </c>
      <c r="B53" s="4" t="str">
        <f>"1200000052"</f>
        <v>1200000052</v>
      </c>
      <c r="C53" s="5" t="str">
        <f>"آچار يکسرتخت يكسر رينگي 36ميليمتر"</f>
        <v>آچار يکسرتخت يكسر رينگي 36ميليمتر</v>
      </c>
      <c r="D53" s="4" t="str">
        <f>"CHROME VANDIUM--KINGROY"</f>
        <v>CHROME VANDIUM--KINGROY</v>
      </c>
      <c r="E53" s="4" t="str">
        <f t="shared" si="3"/>
        <v>عدد</v>
      </c>
      <c r="F53" s="4">
        <v>2</v>
      </c>
      <c r="G53" s="10">
        <v>1300000</v>
      </c>
      <c r="H53" s="10">
        <f t="shared" si="2"/>
        <v>2600000</v>
      </c>
    </row>
    <row r="54" spans="1:8" s="2" customFormat="1" ht="24" customHeight="1">
      <c r="A54" s="6">
        <v>52</v>
      </c>
      <c r="B54" s="4" t="str">
        <f>"1200000053"</f>
        <v>1200000053</v>
      </c>
      <c r="C54" s="5" t="str">
        <f>"آچار يکسرتخت يكسر رينگي 32ميليمتر"</f>
        <v>آچار يکسرتخت يكسر رينگي 32ميليمتر</v>
      </c>
      <c r="D54" s="4" t="str">
        <f>"CHROME  VANDIUM--ATA"</f>
        <v>CHROME  VANDIUM--ATA</v>
      </c>
      <c r="E54" s="4" t="str">
        <f t="shared" si="3"/>
        <v>عدد</v>
      </c>
      <c r="F54" s="4">
        <v>40</v>
      </c>
      <c r="G54" s="10">
        <v>400000</v>
      </c>
      <c r="H54" s="10">
        <f t="shared" si="2"/>
        <v>16000000</v>
      </c>
    </row>
    <row r="55" spans="1:8" s="2" customFormat="1" ht="24" customHeight="1">
      <c r="A55" s="4">
        <v>53</v>
      </c>
      <c r="B55" s="4" t="str">
        <f>"1200000054"</f>
        <v>1200000054</v>
      </c>
      <c r="C55" s="5" t="str">
        <f>"آچار رينگي دسته کوتاه  30ميليمتر"</f>
        <v>آچار رينگي دسته کوتاه  30ميليمتر</v>
      </c>
      <c r="D55" s="4" t="str">
        <f>"CHROME VANIDUM--HEYCO"</f>
        <v>CHROME VANIDUM--HEYCO</v>
      </c>
      <c r="E55" s="4" t="str">
        <f t="shared" si="3"/>
        <v>عدد</v>
      </c>
      <c r="F55" s="4">
        <v>1</v>
      </c>
      <c r="G55" s="10">
        <v>750000</v>
      </c>
      <c r="H55" s="10">
        <f t="shared" si="2"/>
        <v>750000</v>
      </c>
    </row>
    <row r="56" spans="1:8" s="2" customFormat="1" ht="24" customHeight="1">
      <c r="A56" s="4">
        <v>54</v>
      </c>
      <c r="B56" s="4" t="str">
        <f>"1200000057"</f>
        <v>1200000057</v>
      </c>
      <c r="C56" s="5" t="str">
        <f>"آچار رينگي دسته کوتاه  50ميليمتر"</f>
        <v>آچار رينگي دسته کوتاه  50ميليمتر</v>
      </c>
      <c r="D56" s="4" t="str">
        <f>""</f>
        <v/>
      </c>
      <c r="E56" s="4" t="str">
        <f t="shared" si="3"/>
        <v>عدد</v>
      </c>
      <c r="F56" s="4">
        <v>1</v>
      </c>
      <c r="G56" s="10">
        <v>1000000</v>
      </c>
      <c r="H56" s="10">
        <f t="shared" si="2"/>
        <v>1000000</v>
      </c>
    </row>
    <row r="57" spans="1:8" s="2" customFormat="1" ht="24" customHeight="1">
      <c r="A57" s="4">
        <v>55</v>
      </c>
      <c r="B57" s="4" t="str">
        <f>"1200000058"</f>
        <v>1200000058</v>
      </c>
      <c r="C57" s="5" t="str">
        <f>"آچار رينگي دسته کوتاه  55ميليمتر"</f>
        <v>آچار رينگي دسته کوتاه  55ميليمتر</v>
      </c>
      <c r="D57" s="4" t="str">
        <f>" no .2A--gedore germany"</f>
        <v xml:space="preserve"> no .2A--gedore germany</v>
      </c>
      <c r="E57" s="4" t="str">
        <f t="shared" si="3"/>
        <v>عدد</v>
      </c>
      <c r="F57" s="4">
        <v>1</v>
      </c>
      <c r="G57" s="10">
        <v>1200000</v>
      </c>
      <c r="H57" s="10">
        <f t="shared" si="2"/>
        <v>1200000</v>
      </c>
    </row>
    <row r="58" spans="1:8" s="2" customFormat="1" ht="24" customHeight="1">
      <c r="A58" s="6">
        <v>56</v>
      </c>
      <c r="B58" s="4" t="str">
        <f>"1200000059"</f>
        <v>1200000059</v>
      </c>
      <c r="C58" s="5" t="str">
        <f>"آچار رينگي دسته کوتاه  60ميليمتر"</f>
        <v>آچار رينگي دسته کوتاه  60ميليمتر</v>
      </c>
      <c r="D58" s="4" t="str">
        <f>"CHROM VANDIUM--HEYCO GERMANY"</f>
        <v>CHROM VANDIUM--HEYCO GERMANY</v>
      </c>
      <c r="E58" s="4" t="str">
        <f t="shared" si="3"/>
        <v>عدد</v>
      </c>
      <c r="F58" s="4">
        <v>1</v>
      </c>
      <c r="G58" s="10">
        <v>1350000</v>
      </c>
      <c r="H58" s="10">
        <f t="shared" si="2"/>
        <v>1350000</v>
      </c>
    </row>
    <row r="59" spans="1:8" s="2" customFormat="1" ht="24" customHeight="1">
      <c r="A59" s="4">
        <v>57</v>
      </c>
      <c r="B59" s="4" t="str">
        <f>"1200000060"</f>
        <v>1200000060</v>
      </c>
      <c r="C59" s="5" t="str">
        <f>"آچار رينگي دسته کوتاه  65ميليمتر"</f>
        <v>آچار رينگي دسته کوتاه  65ميليمتر</v>
      </c>
      <c r="D59" s="4" t="str">
        <f>"GEDORE GERMANY"</f>
        <v>GEDORE GERMANY</v>
      </c>
      <c r="E59" s="4" t="str">
        <f t="shared" si="3"/>
        <v>عدد</v>
      </c>
      <c r="F59" s="4">
        <v>1</v>
      </c>
      <c r="G59" s="10">
        <v>1400000</v>
      </c>
      <c r="H59" s="10">
        <f t="shared" si="2"/>
        <v>1400000</v>
      </c>
    </row>
    <row r="60" spans="1:8" s="2" customFormat="1" ht="24" customHeight="1">
      <c r="A60" s="4">
        <v>58</v>
      </c>
      <c r="B60" s="4" t="str">
        <f>"1200000061"</f>
        <v>1200000061</v>
      </c>
      <c r="C60" s="5" t="str">
        <f>"آچار رينگي دسته کوتاه  70ميليمتر"</f>
        <v>آچار رينگي دسته کوتاه  70ميليمتر</v>
      </c>
      <c r="D60" s="4" t="str">
        <f>"GEDORE GERMANY"</f>
        <v>GEDORE GERMANY</v>
      </c>
      <c r="E60" s="4" t="str">
        <f t="shared" si="3"/>
        <v>عدد</v>
      </c>
      <c r="F60" s="4">
        <v>1</v>
      </c>
      <c r="G60" s="10">
        <v>1500000</v>
      </c>
      <c r="H60" s="10">
        <f t="shared" si="2"/>
        <v>1500000</v>
      </c>
    </row>
    <row r="61" spans="1:8" s="2" customFormat="1" ht="24" customHeight="1">
      <c r="A61" s="4">
        <v>59</v>
      </c>
      <c r="B61" s="4" t="str">
        <f>"1200000062"</f>
        <v>1200000062</v>
      </c>
      <c r="C61" s="5" t="str">
        <f>"آچار رينگي دسته کوتاه  75ميليمتر"</f>
        <v>آچار رينگي دسته کوتاه  75ميليمتر</v>
      </c>
      <c r="D61" s="4" t="str">
        <f>"GEDORE GERMANY"</f>
        <v>GEDORE GERMANY</v>
      </c>
      <c r="E61" s="4" t="str">
        <f t="shared" si="3"/>
        <v>عدد</v>
      </c>
      <c r="F61" s="4">
        <v>1</v>
      </c>
      <c r="G61" s="10">
        <v>1600000</v>
      </c>
      <c r="H61" s="10">
        <f t="shared" si="2"/>
        <v>1600000</v>
      </c>
    </row>
    <row r="62" spans="1:8" s="2" customFormat="1" ht="24" customHeight="1">
      <c r="A62" s="6">
        <v>60</v>
      </c>
      <c r="B62" s="4" t="str">
        <f>"1200000063"</f>
        <v>1200000063</v>
      </c>
      <c r="C62" s="5" t="str">
        <f>"آچار رينگي دسته كوتاه  80ميليمتر"</f>
        <v>آچار رينگي دسته كوتاه  80ميليمتر</v>
      </c>
      <c r="D62" s="4" t="str">
        <f>"NO .2A--GEDORE germany"</f>
        <v>NO .2A--GEDORE germany</v>
      </c>
      <c r="E62" s="4" t="str">
        <f t="shared" si="3"/>
        <v>عدد</v>
      </c>
      <c r="F62" s="4">
        <v>2</v>
      </c>
      <c r="G62" s="10">
        <v>1800000</v>
      </c>
      <c r="H62" s="10">
        <f t="shared" si="2"/>
        <v>3600000</v>
      </c>
    </row>
    <row r="63" spans="1:8" s="2" customFormat="1" ht="24" customHeight="1">
      <c r="A63" s="4">
        <v>61</v>
      </c>
      <c r="B63" s="4" t="str">
        <f>"1200000064"</f>
        <v>1200000064</v>
      </c>
      <c r="C63" s="5" t="str">
        <f>"آچار بكس12پراينچي31/32درايو 1/2(24ميليمتر)"</f>
        <v>آچار بكس12پراينچي31/32درايو 1/2(24ميليمتر)</v>
      </c>
      <c r="D63" s="4" t="str">
        <f>"gedore  درايو2/1"</f>
        <v>gedore  درايو2/1</v>
      </c>
      <c r="E63" s="4" t="str">
        <f t="shared" si="3"/>
        <v>عدد</v>
      </c>
      <c r="F63" s="4">
        <v>7</v>
      </c>
      <c r="G63" s="10">
        <v>200000</v>
      </c>
      <c r="H63" s="10">
        <f t="shared" si="2"/>
        <v>1400000</v>
      </c>
    </row>
    <row r="64" spans="1:8" s="2" customFormat="1" ht="24" customHeight="1">
      <c r="A64" s="4">
        <v>62</v>
      </c>
      <c r="B64" s="4" t="str">
        <f>"1200000065"</f>
        <v>1200000065</v>
      </c>
      <c r="C64" s="5" t="str">
        <f>"آچار بكس12پراينچي1/16-1درايو1/2(27ميليمتر)"</f>
        <v>آچار بكس12پراينچي1/16-1درايو1/2(27ميليمتر)</v>
      </c>
      <c r="D64" s="4" t="str">
        <f>"gedore درايو1/2"</f>
        <v>gedore درايو1/2</v>
      </c>
      <c r="E64" s="4" t="str">
        <f t="shared" si="3"/>
        <v>عدد</v>
      </c>
      <c r="F64" s="4">
        <v>5</v>
      </c>
      <c r="G64" s="10">
        <v>200000</v>
      </c>
      <c r="H64" s="10">
        <f t="shared" si="2"/>
        <v>1000000</v>
      </c>
    </row>
    <row r="65" spans="1:8" s="2" customFormat="1" ht="24" customHeight="1">
      <c r="A65" s="4">
        <v>63</v>
      </c>
      <c r="B65" s="4" t="str">
        <f>"1200000066"</f>
        <v>1200000066</v>
      </c>
      <c r="C65" s="5" t="str">
        <f>"دستگاه بکس بادي  درايو  1/2"</f>
        <v>دستگاه بکس بادي  درايو  1/2</v>
      </c>
      <c r="D65" s="4" t="str">
        <f>"S.N:562-2006-M3-160HM--3127Y1"</f>
        <v>S.N:562-2006-M3-160HM--3127Y1</v>
      </c>
      <c r="E65" s="4" t="str">
        <f>"دستگاه"</f>
        <v>دستگاه</v>
      </c>
      <c r="F65" s="4">
        <v>7</v>
      </c>
      <c r="G65" s="10">
        <v>5000000</v>
      </c>
      <c r="H65" s="10">
        <f t="shared" si="2"/>
        <v>35000000</v>
      </c>
    </row>
    <row r="66" spans="1:8" s="2" customFormat="1" ht="24" customHeight="1">
      <c r="A66" s="6">
        <v>64</v>
      </c>
      <c r="B66" s="4" t="str">
        <f>"1200000067"</f>
        <v>1200000067</v>
      </c>
      <c r="C66" s="5" t="str">
        <f>"آچار دو سر رينگي80_75ميليمتر"</f>
        <v>آچار دو سر رينگي80_75ميليمتر</v>
      </c>
      <c r="D66" s="4" t="str">
        <f>"CHROM-VANDIUM--DOWIDAT"</f>
        <v>CHROM-VANDIUM--DOWIDAT</v>
      </c>
      <c r="E66" s="4" t="str">
        <f t="shared" ref="E66:E103" si="4">"عدد"</f>
        <v>عدد</v>
      </c>
      <c r="F66" s="4">
        <v>1</v>
      </c>
      <c r="G66" s="10">
        <v>1200000</v>
      </c>
      <c r="H66" s="10">
        <f t="shared" si="2"/>
        <v>1200000</v>
      </c>
    </row>
    <row r="67" spans="1:8" s="2" customFormat="1" ht="24" customHeight="1">
      <c r="A67" s="4">
        <v>65</v>
      </c>
      <c r="B67" s="4" t="str">
        <f>"1200000068"</f>
        <v>1200000068</v>
      </c>
      <c r="C67" s="5" t="str">
        <f>"آچار دو سر رينگي15/16-2_1/8-3(80-75ميليمتر)"</f>
        <v>آچار دو سر رينگي15/16-2_1/8-3(80-75ميليمتر)</v>
      </c>
      <c r="D67" s="4" t="str">
        <f>"CHROM VANDIUM--HEYCO"</f>
        <v>CHROM VANDIUM--HEYCO</v>
      </c>
      <c r="E67" s="4" t="str">
        <f t="shared" si="4"/>
        <v>عدد</v>
      </c>
      <c r="F67" s="4">
        <v>1</v>
      </c>
      <c r="G67" s="10">
        <v>1200000</v>
      </c>
      <c r="H67" s="10">
        <f t="shared" si="2"/>
        <v>1200000</v>
      </c>
    </row>
    <row r="68" spans="1:8" s="2" customFormat="1" ht="24" customHeight="1">
      <c r="A68" s="4">
        <v>66</v>
      </c>
      <c r="B68" s="4" t="str">
        <f>"1200000069"</f>
        <v>1200000069</v>
      </c>
      <c r="C68" s="5" t="str">
        <f>"آچار يکسرتخت يکسر رينگي 65ميليمتر"</f>
        <v>آچار يکسرتخت يکسر رينگي 65ميليمتر</v>
      </c>
      <c r="D68" s="4" t="str">
        <f>"CHROM VANDIUM"</f>
        <v>CHROM VANDIUM</v>
      </c>
      <c r="E68" s="4" t="str">
        <f t="shared" si="4"/>
        <v>عدد</v>
      </c>
      <c r="F68" s="4">
        <v>1</v>
      </c>
      <c r="G68" s="10">
        <v>1500000</v>
      </c>
      <c r="H68" s="10">
        <f t="shared" si="2"/>
        <v>1500000</v>
      </c>
    </row>
    <row r="69" spans="1:8" s="2" customFormat="1" ht="24" customHeight="1">
      <c r="A69" s="4">
        <v>67</v>
      </c>
      <c r="B69" s="4" t="str">
        <f>"1200000071"</f>
        <v>1200000071</v>
      </c>
      <c r="C69" s="5" t="str">
        <f>"آچار يکسر تخت يکسر جغجغه 45ميليمتر"</f>
        <v>آچار يکسر تخت يکسر جغجغه 45ميليمتر</v>
      </c>
      <c r="D69" s="4" t="str">
        <f>"CHROM VANDIUM--LICOTA"</f>
        <v>CHROM VANDIUM--LICOTA</v>
      </c>
      <c r="E69" s="4" t="str">
        <f t="shared" si="4"/>
        <v>عدد</v>
      </c>
      <c r="F69" s="4">
        <v>6</v>
      </c>
      <c r="G69" s="10">
        <v>2500000</v>
      </c>
      <c r="H69" s="10">
        <f t="shared" si="2"/>
        <v>15000000</v>
      </c>
    </row>
    <row r="70" spans="1:8" s="2" customFormat="1" ht="24" customHeight="1">
      <c r="A70" s="6">
        <v>68</v>
      </c>
      <c r="B70" s="4" t="str">
        <f>"1200000072"</f>
        <v>1200000072</v>
      </c>
      <c r="C70" s="5" t="str">
        <f>"آچار يکسر تخت يکسر جغجغه 27 ميليمتر"</f>
        <v>آچار يکسر تخت يکسر جغجغه 27 ميليمتر</v>
      </c>
      <c r="D70" s="4" t="str">
        <f>"CHROM VANDIUM--LICOTA"</f>
        <v>CHROM VANDIUM--LICOTA</v>
      </c>
      <c r="E70" s="4" t="str">
        <f t="shared" si="4"/>
        <v>عدد</v>
      </c>
      <c r="F70" s="4">
        <v>30</v>
      </c>
      <c r="G70" s="10">
        <v>550000</v>
      </c>
      <c r="H70" s="10">
        <f t="shared" ref="H70:H133" si="5">F70*G70</f>
        <v>16500000</v>
      </c>
    </row>
    <row r="71" spans="1:8" s="2" customFormat="1" ht="24" customHeight="1">
      <c r="A71" s="4">
        <v>69</v>
      </c>
      <c r="B71" s="4" t="str">
        <f>"1200000073"</f>
        <v>1200000073</v>
      </c>
      <c r="C71" s="5" t="str">
        <f>"آچار يکسر تخت يکسر جغجغه 24ميليمتر"</f>
        <v>آچار يکسر تخت يکسر جغجغه 24ميليمتر</v>
      </c>
      <c r="D71" s="4" t="str">
        <f>"CHROM VANDIUM--LICOTA"</f>
        <v>CHROM VANDIUM--LICOTA</v>
      </c>
      <c r="E71" s="4" t="str">
        <f t="shared" si="4"/>
        <v>عدد</v>
      </c>
      <c r="F71" s="4">
        <v>29</v>
      </c>
      <c r="G71" s="10">
        <v>400000</v>
      </c>
      <c r="H71" s="10">
        <f t="shared" si="5"/>
        <v>11600000</v>
      </c>
    </row>
    <row r="72" spans="1:8" s="2" customFormat="1" ht="24" customHeight="1">
      <c r="A72" s="4">
        <v>70</v>
      </c>
      <c r="B72" s="4" t="str">
        <f>"1200000074"</f>
        <v>1200000074</v>
      </c>
      <c r="C72" s="5" t="str">
        <f>"آچار يکسر تخت يکسر جغجغه 23ميليمتر"</f>
        <v>آچار يکسر تخت يکسر جغجغه 23ميليمتر</v>
      </c>
      <c r="D72" s="4" t="str">
        <f>"CHROM VANDIUM--LICOTA"</f>
        <v>CHROM VANDIUM--LICOTA</v>
      </c>
      <c r="E72" s="4" t="str">
        <f t="shared" si="4"/>
        <v>عدد</v>
      </c>
      <c r="F72" s="4">
        <v>30</v>
      </c>
      <c r="G72" s="10">
        <v>400000</v>
      </c>
      <c r="H72" s="10">
        <f t="shared" si="5"/>
        <v>12000000</v>
      </c>
    </row>
    <row r="73" spans="1:8" s="2" customFormat="1" ht="24" customHeight="1">
      <c r="A73" s="4">
        <v>71</v>
      </c>
      <c r="B73" s="4" t="str">
        <f>"1200000075"</f>
        <v>1200000075</v>
      </c>
      <c r="C73" s="5" t="str">
        <f>"آچار يکسر تخت يکسر جغجغه 30ميليمتر"</f>
        <v>آچار يکسر تخت يکسر جغجغه 30ميليمتر</v>
      </c>
      <c r="D73" s="4" t="str">
        <f>"CHROM VANDIUM--licota"</f>
        <v>CHROM VANDIUM--licota</v>
      </c>
      <c r="E73" s="4" t="str">
        <f t="shared" si="4"/>
        <v>عدد</v>
      </c>
      <c r="F73" s="4">
        <v>31</v>
      </c>
      <c r="G73" s="10">
        <v>600000</v>
      </c>
      <c r="H73" s="10">
        <f t="shared" si="5"/>
        <v>18600000</v>
      </c>
    </row>
    <row r="74" spans="1:8" s="2" customFormat="1" ht="24" customHeight="1">
      <c r="A74" s="6">
        <v>72</v>
      </c>
      <c r="B74" s="4" t="str">
        <f>"1200000076"</f>
        <v>1200000076</v>
      </c>
      <c r="C74" s="5" t="str">
        <f>"آچار يکسر تخت يکسر جغجغه 32ميليمتر"</f>
        <v>آچار يکسر تخت يکسر جغجغه 32ميليمتر</v>
      </c>
      <c r="D74" s="4" t="str">
        <f>"CHROM VANDIUM--LICOTA"</f>
        <v>CHROM VANDIUM--LICOTA</v>
      </c>
      <c r="E74" s="4" t="str">
        <f t="shared" si="4"/>
        <v>عدد</v>
      </c>
      <c r="F74" s="4">
        <v>30</v>
      </c>
      <c r="G74" s="10">
        <v>600000</v>
      </c>
      <c r="H74" s="10">
        <f t="shared" si="5"/>
        <v>18000000</v>
      </c>
    </row>
    <row r="75" spans="1:8" s="2" customFormat="1" ht="24" customHeight="1">
      <c r="A75" s="4">
        <v>73</v>
      </c>
      <c r="B75" s="4" t="str">
        <f>"1200000077"</f>
        <v>1200000077</v>
      </c>
      <c r="C75" s="5" t="str">
        <f>"آچار يکسر تخت يکسر جغجغه 21ميليمتر"</f>
        <v>آچار يکسر تخت يکسر جغجغه 21ميليمتر</v>
      </c>
      <c r="D75" s="4" t="str">
        <f>"1700.21--CAROLUS"</f>
        <v>1700.21--CAROLUS</v>
      </c>
      <c r="E75" s="4" t="str">
        <f t="shared" si="4"/>
        <v>عدد</v>
      </c>
      <c r="F75" s="4">
        <v>9</v>
      </c>
      <c r="G75" s="10">
        <v>380000</v>
      </c>
      <c r="H75" s="10">
        <f t="shared" si="5"/>
        <v>3420000</v>
      </c>
    </row>
    <row r="76" spans="1:8" s="2" customFormat="1" ht="24" customHeight="1">
      <c r="A76" s="4">
        <v>74</v>
      </c>
      <c r="B76" s="4" t="str">
        <f>"1200000078"</f>
        <v>1200000078</v>
      </c>
      <c r="C76" s="5" t="str">
        <f>"آچار يکسر تخت يکسر جغجغه 21 ميليمتر"</f>
        <v>آچار يکسر تخت يکسر جغجغه 21 ميليمتر</v>
      </c>
      <c r="D76" s="4" t="str">
        <f>"NO .7R--GEDORE"</f>
        <v>NO .7R--GEDORE</v>
      </c>
      <c r="E76" s="4" t="str">
        <f t="shared" si="4"/>
        <v>عدد</v>
      </c>
      <c r="F76" s="4">
        <v>1</v>
      </c>
      <c r="G76" s="10">
        <v>380000</v>
      </c>
      <c r="H76" s="10">
        <f t="shared" si="5"/>
        <v>380000</v>
      </c>
    </row>
    <row r="77" spans="1:8" s="2" customFormat="1" ht="24" customHeight="1">
      <c r="A77" s="4">
        <v>75</v>
      </c>
      <c r="B77" s="4" t="str">
        <f>"1200000079"</f>
        <v>1200000079</v>
      </c>
      <c r="C77" s="5" t="str">
        <f>"آچار دو سر جغجغه رينگي 20-19ميليمتر"</f>
        <v>آچار دو سر جغجغه رينگي 20-19ميليمتر</v>
      </c>
      <c r="D77" s="4" t="str">
        <f>"RBM-1920 PATNO.2.500835--WILLIAMS"</f>
        <v>RBM-1920 PATNO.2.500835--WILLIAMS</v>
      </c>
      <c r="E77" s="4" t="str">
        <f t="shared" si="4"/>
        <v>عدد</v>
      </c>
      <c r="F77" s="4">
        <v>2</v>
      </c>
      <c r="G77" s="10">
        <v>450000</v>
      </c>
      <c r="H77" s="10">
        <f t="shared" si="5"/>
        <v>900000</v>
      </c>
    </row>
    <row r="78" spans="1:8" s="2" customFormat="1" ht="24" customHeight="1">
      <c r="A78" s="6">
        <v>76</v>
      </c>
      <c r="B78" s="4" t="str">
        <f>"1200000080"</f>
        <v>1200000080</v>
      </c>
      <c r="C78" s="5" t="str">
        <f>"آچار دو سر جغجغه رينگي 16-18ميليمتر"</f>
        <v>آچار دو سر جغجغه رينگي 16-18ميليمتر</v>
      </c>
      <c r="D78" s="4" t="str">
        <f>"RBM -16/8  PATNO 2.500835--WILLIAMS"</f>
        <v>RBM -16/8  PATNO 2.500835--WILLIAMS</v>
      </c>
      <c r="E78" s="4" t="str">
        <f t="shared" si="4"/>
        <v>عدد</v>
      </c>
      <c r="F78" s="4">
        <v>2</v>
      </c>
      <c r="G78" s="10">
        <v>400000</v>
      </c>
      <c r="H78" s="10">
        <f t="shared" si="5"/>
        <v>800000</v>
      </c>
    </row>
    <row r="79" spans="1:8" s="2" customFormat="1" ht="24" customHeight="1">
      <c r="A79" s="4">
        <v>77</v>
      </c>
      <c r="B79" s="4" t="str">
        <f>"1200000081"</f>
        <v>1200000081</v>
      </c>
      <c r="C79" s="5" t="str">
        <f>"آچار دو سر جغجغه رينگي 15-17ميليمتر"</f>
        <v>آچار دو سر جغجغه رينگي 15-17ميليمتر</v>
      </c>
      <c r="D79" s="4" t="str">
        <f>"RBM -1517  PATNO2.500835--WILLIAMS"</f>
        <v>RBM -1517  PATNO2.500835--WILLIAMS</v>
      </c>
      <c r="E79" s="4" t="str">
        <f t="shared" si="4"/>
        <v>عدد</v>
      </c>
      <c r="F79" s="4">
        <v>2</v>
      </c>
      <c r="G79" s="10">
        <v>400000</v>
      </c>
      <c r="H79" s="10">
        <f t="shared" si="5"/>
        <v>800000</v>
      </c>
    </row>
    <row r="80" spans="1:8" s="2" customFormat="1" ht="24" customHeight="1">
      <c r="A80" s="4">
        <v>78</v>
      </c>
      <c r="B80" s="4" t="str">
        <f>"1200000082"</f>
        <v>1200000082</v>
      </c>
      <c r="C80" s="5" t="str">
        <f>"آچار دو سر جغجغه رينگي 11-12ميليمتر"</f>
        <v>آچار دو سر جغجغه رينگي 11-12ميليمتر</v>
      </c>
      <c r="D80" s="4" t="str">
        <f>"RBM-1112  PAYNO  2.500835--WILLIAMS"</f>
        <v>RBM-1112  PAYNO  2.500835--WILLIAMS</v>
      </c>
      <c r="E80" s="4" t="str">
        <f t="shared" si="4"/>
        <v>عدد</v>
      </c>
      <c r="F80" s="4">
        <v>2</v>
      </c>
      <c r="G80" s="10">
        <v>380000</v>
      </c>
      <c r="H80" s="10">
        <f t="shared" si="5"/>
        <v>760000</v>
      </c>
    </row>
    <row r="81" spans="1:8" s="2" customFormat="1" ht="24" customHeight="1">
      <c r="A81" s="4">
        <v>79</v>
      </c>
      <c r="B81" s="4" t="str">
        <f>"1200000083"</f>
        <v>1200000083</v>
      </c>
      <c r="C81" s="5" t="str">
        <f>"آچار دو سر جغجغه رينگي 13-14ميليمتر"</f>
        <v>آچار دو سر جغجغه رينگي 13-14ميليمتر</v>
      </c>
      <c r="D81" s="4" t="str">
        <f>"RBM-1314  PATNO 2.500835--WILLIAMS"</f>
        <v>RBM-1314  PATNO 2.500835--WILLIAMS</v>
      </c>
      <c r="E81" s="4" t="str">
        <f t="shared" si="4"/>
        <v>عدد</v>
      </c>
      <c r="F81" s="4">
        <v>2</v>
      </c>
      <c r="G81" s="10">
        <v>380000</v>
      </c>
      <c r="H81" s="10">
        <f t="shared" si="5"/>
        <v>760000</v>
      </c>
    </row>
    <row r="82" spans="1:8" s="2" customFormat="1" ht="24" customHeight="1">
      <c r="A82" s="6">
        <v>80</v>
      </c>
      <c r="B82" s="4" t="str">
        <f>"1200000084"</f>
        <v>1200000084</v>
      </c>
      <c r="C82" s="5" t="str">
        <f>"آچار دو سر جغجغه رينگي 9-10ميليمتر"</f>
        <v>آچار دو سر جغجغه رينگي 9-10ميليمتر</v>
      </c>
      <c r="D82" s="4" t="str">
        <f>"RBM 0910  PATNO 2.500835--WILLIAMS"</f>
        <v>RBM 0910  PATNO 2.500835--WILLIAMS</v>
      </c>
      <c r="E82" s="4" t="str">
        <f t="shared" si="4"/>
        <v>عدد</v>
      </c>
      <c r="F82" s="4">
        <v>2</v>
      </c>
      <c r="G82" s="10">
        <v>350000</v>
      </c>
      <c r="H82" s="10">
        <f t="shared" si="5"/>
        <v>700000</v>
      </c>
    </row>
    <row r="83" spans="1:8" s="2" customFormat="1" ht="24" customHeight="1">
      <c r="A83" s="4">
        <v>81</v>
      </c>
      <c r="B83" s="4" t="str">
        <f>"1200000085"</f>
        <v>1200000085</v>
      </c>
      <c r="C83" s="5" t="str">
        <f>"آچار دو سر جغجغه رينگي 7-8ميليمتر"</f>
        <v>آچار دو سر جغجغه رينگي 7-8ميليمتر</v>
      </c>
      <c r="D83" s="4" t="str">
        <f>"WILLIAMS   USA"</f>
        <v>WILLIAMS   USA</v>
      </c>
      <c r="E83" s="4" t="str">
        <f t="shared" si="4"/>
        <v>عدد</v>
      </c>
      <c r="F83" s="4">
        <v>2</v>
      </c>
      <c r="G83" s="10">
        <v>300000</v>
      </c>
      <c r="H83" s="10">
        <f t="shared" si="5"/>
        <v>600000</v>
      </c>
    </row>
    <row r="84" spans="1:8" s="2" customFormat="1" ht="24" customHeight="1">
      <c r="A84" s="4">
        <v>82</v>
      </c>
      <c r="B84" s="4" t="str">
        <f>"1200000086"</f>
        <v>1200000086</v>
      </c>
      <c r="C84" s="5" t="str">
        <f>"چکش پلاستيکي دسته چوبي (کوچک)"</f>
        <v>چکش پلاستيکي دسته چوبي (کوچک)</v>
      </c>
      <c r="D84" s="4" t="str">
        <f>"200GR DIN:5128-60--IRAN POTK"</f>
        <v>200GR DIN:5128-60--IRAN POTK</v>
      </c>
      <c r="E84" s="4" t="str">
        <f t="shared" si="4"/>
        <v>عدد</v>
      </c>
      <c r="F84" s="4">
        <v>31</v>
      </c>
      <c r="G84" s="10">
        <v>150000</v>
      </c>
      <c r="H84" s="10">
        <f t="shared" si="5"/>
        <v>4650000</v>
      </c>
    </row>
    <row r="85" spans="1:8" s="2" customFormat="1" ht="24" customHeight="1">
      <c r="A85" s="4">
        <v>83</v>
      </c>
      <c r="B85" s="4" t="str">
        <f>"1200000087"</f>
        <v>1200000087</v>
      </c>
      <c r="C85" s="5" t="str">
        <f>"چکش پلاستيکي دسته چوبي متوسط"</f>
        <v>چکش پلاستيکي دسته چوبي متوسط</v>
      </c>
      <c r="D85" s="4" t="str">
        <f>"400 GR   DIN:5128-60--IRAN POTK"</f>
        <v>400 GR   DIN:5128-60--IRAN POTK</v>
      </c>
      <c r="E85" s="4" t="str">
        <f t="shared" si="4"/>
        <v>عدد</v>
      </c>
      <c r="F85" s="4">
        <v>1</v>
      </c>
      <c r="G85" s="10">
        <v>200000</v>
      </c>
      <c r="H85" s="10">
        <f t="shared" si="5"/>
        <v>200000</v>
      </c>
    </row>
    <row r="86" spans="1:8" s="2" customFormat="1" ht="24" customHeight="1">
      <c r="A86" s="6">
        <v>84</v>
      </c>
      <c r="B86" s="4" t="str">
        <f>"1200000088"</f>
        <v>1200000088</v>
      </c>
      <c r="C86" s="5" t="str">
        <f>"چکش پلاستيکي دسته چوبي (بزرگ)"</f>
        <v>چکش پلاستيکي دسته چوبي (بزرگ)</v>
      </c>
      <c r="D86" s="4" t="str">
        <f>"600 GR  DIN:5128-60--IRAN POTK"</f>
        <v>600 GR  DIN:5128-60--IRAN POTK</v>
      </c>
      <c r="E86" s="4" t="str">
        <f t="shared" si="4"/>
        <v>عدد</v>
      </c>
      <c r="F86" s="4">
        <v>1</v>
      </c>
      <c r="G86" s="10">
        <v>280000</v>
      </c>
      <c r="H86" s="10">
        <f t="shared" si="5"/>
        <v>280000</v>
      </c>
    </row>
    <row r="87" spans="1:8" s="2" customFormat="1" ht="24" customHeight="1">
      <c r="A87" s="4">
        <v>85</v>
      </c>
      <c r="B87" s="4" t="str">
        <f>"1200000089"</f>
        <v>1200000089</v>
      </c>
      <c r="C87" s="5" t="str">
        <f>"چکش چوبي دسته دار"</f>
        <v>چکش چوبي دسته دار</v>
      </c>
      <c r="D87" s="4" t="str">
        <f>"IRANPOTK"</f>
        <v>IRANPOTK</v>
      </c>
      <c r="E87" s="4" t="str">
        <f t="shared" si="4"/>
        <v>عدد</v>
      </c>
      <c r="F87" s="4">
        <v>2</v>
      </c>
      <c r="G87" s="10">
        <v>300000</v>
      </c>
      <c r="H87" s="10">
        <f t="shared" si="5"/>
        <v>600000</v>
      </c>
    </row>
    <row r="88" spans="1:8" s="2" customFormat="1" ht="24" customHeight="1">
      <c r="A88" s="4">
        <v>86</v>
      </c>
      <c r="B88" s="4" t="str">
        <f>"1200000090"</f>
        <v>1200000090</v>
      </c>
      <c r="C88" s="5" t="str">
        <f>"چکش مسي /دسته پلاستيکي"</f>
        <v>چکش مسي /دسته پلاستيکي</v>
      </c>
      <c r="D88" s="4" t="str">
        <f>"SAM"</f>
        <v>SAM</v>
      </c>
      <c r="E88" s="4" t="str">
        <f t="shared" si="4"/>
        <v>عدد</v>
      </c>
      <c r="F88" s="4">
        <v>4</v>
      </c>
      <c r="G88" s="10">
        <v>650000</v>
      </c>
      <c r="H88" s="10">
        <f t="shared" si="5"/>
        <v>2600000</v>
      </c>
    </row>
    <row r="89" spans="1:8" s="2" customFormat="1" ht="24" customHeight="1">
      <c r="A89" s="4">
        <v>87</v>
      </c>
      <c r="B89" s="4" t="str">
        <f>"1200000091"</f>
        <v>1200000091</v>
      </c>
      <c r="C89" s="5" t="str">
        <f>"چکش زرد  (برنزي )همراه با دسته"</f>
        <v>چکش زرد  (برنزي )همراه با دسته</v>
      </c>
      <c r="D89" s="4" t="str">
        <f>"1/2  AP/LB--SAM"</f>
        <v>1/2  AP/LB--SAM</v>
      </c>
      <c r="E89" s="4" t="str">
        <f t="shared" si="4"/>
        <v>عدد</v>
      </c>
      <c r="F89" s="4">
        <v>19</v>
      </c>
      <c r="G89" s="10">
        <v>700000</v>
      </c>
      <c r="H89" s="10">
        <f t="shared" si="5"/>
        <v>13300000</v>
      </c>
    </row>
    <row r="90" spans="1:8" s="2" customFormat="1" ht="24" customHeight="1">
      <c r="A90" s="6">
        <v>88</v>
      </c>
      <c r="B90" s="4" t="str">
        <f>"1200000092"</f>
        <v>1200000092</v>
      </c>
      <c r="C90" s="5" t="str">
        <f>"پتک 5کيلويي-دسته چوبي"</f>
        <v>پتک 5کيلويي-دسته چوبي</v>
      </c>
      <c r="D90" s="4" t="str">
        <f>"5/6 KG -2-800MM  ISIRI 8118--IRAN POTK"</f>
        <v>5/6 KG -2-800MM  ISIRI 8118--IRAN POTK</v>
      </c>
      <c r="E90" s="4" t="str">
        <f t="shared" si="4"/>
        <v>عدد</v>
      </c>
      <c r="F90" s="4">
        <v>18</v>
      </c>
      <c r="G90" s="10">
        <v>900000</v>
      </c>
      <c r="H90" s="10">
        <f t="shared" si="5"/>
        <v>16200000</v>
      </c>
    </row>
    <row r="91" spans="1:8" s="2" customFormat="1" ht="24" customHeight="1">
      <c r="A91" s="4">
        <v>89</v>
      </c>
      <c r="B91" s="4" t="str">
        <f>"1200000093"</f>
        <v>1200000093</v>
      </c>
      <c r="C91" s="5" t="str">
        <f>"آچار دو سر رينگي11/16-1_7/8-1(42-48ميليمتر)"</f>
        <v>آچار دو سر رينگي11/16-1_7/8-1(42-48ميليمتر)</v>
      </c>
      <c r="D91" s="4" t="str">
        <f>""</f>
        <v/>
      </c>
      <c r="E91" s="4" t="str">
        <f t="shared" si="4"/>
        <v>عدد</v>
      </c>
      <c r="F91" s="4">
        <v>1</v>
      </c>
      <c r="G91" s="10">
        <v>500000</v>
      </c>
      <c r="H91" s="10">
        <f t="shared" si="5"/>
        <v>500000</v>
      </c>
    </row>
    <row r="92" spans="1:8" s="2" customFormat="1" ht="24" customHeight="1">
      <c r="A92" s="4">
        <v>90</v>
      </c>
      <c r="B92" s="4" t="str">
        <f>"1200000094"</f>
        <v>1200000094</v>
      </c>
      <c r="C92" s="5" t="str">
        <f>"چکش 1 کيلويي دسته چوبي"</f>
        <v>چکش 1 کيلويي دسته چوبي</v>
      </c>
      <c r="D92" s="4" t="str">
        <f>"1000 GR -2 - 360MM--IRAN POTK"</f>
        <v>1000 GR -2 - 360MM--IRAN POTK</v>
      </c>
      <c r="E92" s="4" t="str">
        <f t="shared" si="4"/>
        <v>عدد</v>
      </c>
      <c r="F92" s="4">
        <v>17</v>
      </c>
      <c r="G92" s="10">
        <v>300000</v>
      </c>
      <c r="H92" s="10">
        <f t="shared" si="5"/>
        <v>5100000</v>
      </c>
    </row>
    <row r="93" spans="1:8" s="2" customFormat="1" ht="24" customHeight="1">
      <c r="A93" s="4">
        <v>91</v>
      </c>
      <c r="B93" s="4" t="str">
        <f>"1200000095"</f>
        <v>1200000095</v>
      </c>
      <c r="C93" s="5" t="str">
        <f>"چکش نيم کيلويي دسته چوبي"</f>
        <v>چکش نيم کيلويي دسته چوبي</v>
      </c>
      <c r="D93" s="4" t="str">
        <f>"500  GR 2-3620MM--IRAN POTK"</f>
        <v>500  GR 2-3620MM--IRAN POTK</v>
      </c>
      <c r="E93" s="4" t="str">
        <f t="shared" si="4"/>
        <v>عدد</v>
      </c>
      <c r="F93" s="4">
        <v>13</v>
      </c>
      <c r="G93" s="10">
        <v>200000</v>
      </c>
      <c r="H93" s="10">
        <f t="shared" si="5"/>
        <v>2600000</v>
      </c>
    </row>
    <row r="94" spans="1:8" s="2" customFormat="1" ht="24" customHeight="1">
      <c r="A94" s="6">
        <v>92</v>
      </c>
      <c r="B94" s="4" t="str">
        <f>"1200000096"</f>
        <v>1200000096</v>
      </c>
      <c r="C94" s="5" t="str">
        <f>"چکش 300 گرمي دسته چوبي"</f>
        <v>چکش 300 گرمي دسته چوبي</v>
      </c>
      <c r="D94" s="4" t="str">
        <f>"300 GR  2- 300MM--IRAN POTK"</f>
        <v>300 GR  2- 300MM--IRAN POTK</v>
      </c>
      <c r="E94" s="4" t="str">
        <f t="shared" si="4"/>
        <v>عدد</v>
      </c>
      <c r="F94" s="4">
        <v>13</v>
      </c>
      <c r="G94" s="10">
        <v>150000</v>
      </c>
      <c r="H94" s="10">
        <f t="shared" si="5"/>
        <v>1950000</v>
      </c>
    </row>
    <row r="95" spans="1:8" s="2" customFormat="1" ht="24" customHeight="1">
      <c r="A95" s="4">
        <v>93</v>
      </c>
      <c r="B95" s="4" t="str">
        <f>"1200000097"</f>
        <v>1200000097</v>
      </c>
      <c r="C95" s="5" t="str">
        <f>"چکش دو سرگل زن جوشكاري"</f>
        <v>چکش دو سرگل زن جوشكاري</v>
      </c>
      <c r="D95" s="4" t="str">
        <f>"500   GR--PICARD"</f>
        <v>500   GR--PICARD</v>
      </c>
      <c r="E95" s="4" t="str">
        <f t="shared" si="4"/>
        <v>عدد</v>
      </c>
      <c r="F95" s="4">
        <v>2</v>
      </c>
      <c r="G95" s="10">
        <v>330000</v>
      </c>
      <c r="H95" s="10">
        <f t="shared" si="5"/>
        <v>660000</v>
      </c>
    </row>
    <row r="96" spans="1:8" s="2" customFormat="1" ht="24" customHeight="1">
      <c r="A96" s="4">
        <v>94</v>
      </c>
      <c r="B96" s="4" t="str">
        <f>"1200000098"</f>
        <v>1200000098</v>
      </c>
      <c r="C96" s="5" t="str">
        <f>"آچار بکس 6 پر 80 ميليمتردرايو 1اينچ"</f>
        <v>آچار بکس 6 پر 80 ميليمتردرايو 1اينچ</v>
      </c>
      <c r="D96" s="4" t="str">
        <f>"80 MM  DRIVE   1 اينچ--STAHLWILL  GERMANY"</f>
        <v>80 MM  DRIVE   1 اينچ--STAHLWILL  GERMANY</v>
      </c>
      <c r="E96" s="4" t="str">
        <f t="shared" si="4"/>
        <v>عدد</v>
      </c>
      <c r="F96" s="4">
        <v>2</v>
      </c>
      <c r="G96" s="10">
        <v>1200000</v>
      </c>
      <c r="H96" s="10">
        <f t="shared" si="5"/>
        <v>2400000</v>
      </c>
    </row>
    <row r="97" spans="1:8" s="2" customFormat="1" ht="24" customHeight="1">
      <c r="A97" s="4">
        <v>95</v>
      </c>
      <c r="B97" s="4" t="str">
        <f>"1200000099"</f>
        <v>1200000099</v>
      </c>
      <c r="C97" s="5" t="str">
        <f>"آچار بکس 6 پر50ميليمتر درايو1/2_1"</f>
        <v>آچار بکس 6 پر50ميليمتر درايو1/2_1</v>
      </c>
      <c r="D97" s="4" t="str">
        <f>"50 MM -DRIVE 1   1/2--HYTORK"</f>
        <v>50 MM -DRIVE 1   1/2--HYTORK</v>
      </c>
      <c r="E97" s="4" t="str">
        <f t="shared" si="4"/>
        <v>عدد</v>
      </c>
      <c r="F97" s="4">
        <v>1</v>
      </c>
      <c r="G97" s="10">
        <v>1000000</v>
      </c>
      <c r="H97" s="10">
        <f t="shared" si="5"/>
        <v>1000000</v>
      </c>
    </row>
    <row r="98" spans="1:8" s="2" customFormat="1" ht="24" customHeight="1">
      <c r="A98" s="6">
        <v>96</v>
      </c>
      <c r="B98" s="4" t="str">
        <f>"1200000100"</f>
        <v>1200000100</v>
      </c>
      <c r="C98" s="5" t="str">
        <f>"آچار لوله گير شلاقي 3 اينچ"</f>
        <v>آچار لوله گير شلاقي 3 اينچ</v>
      </c>
      <c r="D98" s="4" t="str">
        <f>" CHROM VANDIUM--IRAN POTK"</f>
        <v xml:space="preserve"> CHROM VANDIUM--IRAN POTK</v>
      </c>
      <c r="E98" s="4" t="str">
        <f t="shared" si="4"/>
        <v>عدد</v>
      </c>
      <c r="F98" s="4">
        <v>18</v>
      </c>
      <c r="G98" s="10">
        <v>2500000</v>
      </c>
      <c r="H98" s="10">
        <f t="shared" si="5"/>
        <v>45000000</v>
      </c>
    </row>
    <row r="99" spans="1:8" s="2" customFormat="1" ht="24" customHeight="1">
      <c r="A99" s="4">
        <v>97</v>
      </c>
      <c r="B99" s="4" t="str">
        <f>"1200000101"</f>
        <v>1200000101</v>
      </c>
      <c r="C99" s="5" t="str">
        <f>"آچار لوله گير شلاقي  2 اينچ ايران پتک"</f>
        <v>آچار لوله گير شلاقي  2 اينچ ايران پتک</v>
      </c>
      <c r="D99" s="4" t="str">
        <f>"CHROM VANDIUM--IRAN POTK"</f>
        <v>CHROM VANDIUM--IRAN POTK</v>
      </c>
      <c r="E99" s="4" t="str">
        <f t="shared" si="4"/>
        <v>عدد</v>
      </c>
      <c r="F99" s="4">
        <v>12</v>
      </c>
      <c r="G99" s="10">
        <v>1300000</v>
      </c>
      <c r="H99" s="10">
        <f t="shared" si="5"/>
        <v>15600000</v>
      </c>
    </row>
    <row r="100" spans="1:8" s="2" customFormat="1" ht="24" customHeight="1">
      <c r="A100" s="4">
        <v>98</v>
      </c>
      <c r="B100" s="4" t="str">
        <f>"1200000102"</f>
        <v>1200000102</v>
      </c>
      <c r="C100" s="5" t="str">
        <f>"آچار دو سربكس22-19 ميليمتر"</f>
        <v>آچار دو سربكس22-19 ميليمتر</v>
      </c>
      <c r="D100" s="4" t="str">
        <f>"CHROM VANDIUMQ-GEDORE"</f>
        <v>CHROM VANDIUMQ-GEDORE</v>
      </c>
      <c r="E100" s="4" t="str">
        <f t="shared" si="4"/>
        <v>عدد</v>
      </c>
      <c r="F100" s="4">
        <v>6</v>
      </c>
      <c r="G100" s="10">
        <v>500000</v>
      </c>
      <c r="H100" s="10">
        <f t="shared" si="5"/>
        <v>3000000</v>
      </c>
    </row>
    <row r="101" spans="1:8" s="2" customFormat="1" ht="24" customHeight="1">
      <c r="A101" s="4">
        <v>99</v>
      </c>
      <c r="B101" s="4" t="str">
        <f>"1200000103"</f>
        <v>1200000103</v>
      </c>
      <c r="C101" s="5" t="str">
        <f>"آچار لوله گير شلاقي 1 اينچ"</f>
        <v>آچار لوله گير شلاقي 1 اينچ</v>
      </c>
      <c r="D101" s="4" t="str">
        <f>"CHROM VANDIUM--IRAN POTK"</f>
        <v>CHROM VANDIUM--IRAN POTK</v>
      </c>
      <c r="E101" s="4" t="str">
        <f t="shared" si="4"/>
        <v>عدد</v>
      </c>
      <c r="F101" s="4">
        <v>7</v>
      </c>
      <c r="G101" s="10">
        <v>600000</v>
      </c>
      <c r="H101" s="10">
        <f t="shared" si="5"/>
        <v>4200000</v>
      </c>
    </row>
    <row r="102" spans="1:8" s="2" customFormat="1" ht="24" customHeight="1">
      <c r="A102" s="6">
        <v>100</v>
      </c>
      <c r="B102" s="4" t="str">
        <f>"1200000104"</f>
        <v>1200000104</v>
      </c>
      <c r="C102" s="5" t="str">
        <f>"لوله بر  1/8  -  2اينچ"</f>
        <v>لوله بر  1/8  -  2اينچ</v>
      </c>
      <c r="D102" s="4" t="str">
        <f>"2010      1/2 - 2 اينچ--stahlwill"</f>
        <v>2010      1/2 - 2 اينچ--stahlwill</v>
      </c>
      <c r="E102" s="4" t="str">
        <f t="shared" si="4"/>
        <v>عدد</v>
      </c>
      <c r="F102" s="4">
        <v>4</v>
      </c>
      <c r="G102" s="10">
        <v>1200000</v>
      </c>
      <c r="H102" s="10">
        <f t="shared" si="5"/>
        <v>4800000</v>
      </c>
    </row>
    <row r="103" spans="1:8" s="2" customFormat="1" ht="24" customHeight="1">
      <c r="A103" s="4">
        <v>101</v>
      </c>
      <c r="B103" s="4" t="str">
        <f>"1200000105"</f>
        <v>1200000105</v>
      </c>
      <c r="C103" s="5" t="str">
        <f>"لوله بر 1/8   -   1/4-1 اينچ"</f>
        <v>لوله بر 1/8   -   1/4-1 اينچ</v>
      </c>
      <c r="D103" s="4" t="str">
        <f>"1/8-1   1/4 اينچ   DROP FORGED--ZENTEN"</f>
        <v>1/8-1   1/4 اينچ   DROP FORGED--ZENTEN</v>
      </c>
      <c r="E103" s="4" t="str">
        <f t="shared" si="4"/>
        <v>عدد</v>
      </c>
      <c r="F103" s="4">
        <v>5</v>
      </c>
      <c r="G103" s="10">
        <v>500000</v>
      </c>
      <c r="H103" s="10">
        <f t="shared" si="5"/>
        <v>2500000</v>
      </c>
    </row>
    <row r="104" spans="1:8" s="2" customFormat="1" ht="24" customHeight="1">
      <c r="A104" s="4">
        <v>102</v>
      </c>
      <c r="B104" s="4" t="str">
        <f>"1200000106"</f>
        <v>1200000106</v>
      </c>
      <c r="C104" s="5" t="str">
        <f>"لوله پخ كن اکسپندر 3/4 - 3/16 (8عددي)"</f>
        <v>لوله پخ كن اکسپندر 3/4 - 3/16 (8عددي)</v>
      </c>
      <c r="D104" s="4" t="str">
        <f>"32MM   -1   1/4--GEDPRE GERMANY"</f>
        <v>32MM   -1   1/4--GEDPRE GERMANY</v>
      </c>
      <c r="E104" s="4" t="str">
        <f>"ست"</f>
        <v>ست</v>
      </c>
      <c r="F104" s="4">
        <v>2</v>
      </c>
      <c r="G104" s="10">
        <v>900000</v>
      </c>
      <c r="H104" s="10">
        <f t="shared" si="5"/>
        <v>1800000</v>
      </c>
    </row>
    <row r="105" spans="1:8" s="2" customFormat="1" ht="24" customHeight="1">
      <c r="A105" s="4">
        <v>103</v>
      </c>
      <c r="B105" s="4" t="str">
        <f>"1200000107"</f>
        <v>1200000107</v>
      </c>
      <c r="C105" s="5" t="str">
        <f>"انبر قفلي معمولي مدل آمريکايي 10 اينچ"</f>
        <v>انبر قفلي معمولي مدل آمريکايي 10 اينچ</v>
      </c>
      <c r="D105" s="4" t="str">
        <f>"10اينچ  -GRIP  PLIER--IRAN POTK"</f>
        <v>10اينچ  -GRIP  PLIER--IRAN POTK</v>
      </c>
      <c r="E105" s="4" t="str">
        <f t="shared" ref="E105:E118" si="6">"عدد"</f>
        <v>عدد</v>
      </c>
      <c r="F105" s="4">
        <v>4</v>
      </c>
      <c r="G105" s="10">
        <v>350000</v>
      </c>
      <c r="H105" s="10">
        <f t="shared" si="5"/>
        <v>1400000</v>
      </c>
    </row>
    <row r="106" spans="1:8" s="2" customFormat="1" ht="24" customHeight="1">
      <c r="A106" s="6">
        <v>104</v>
      </c>
      <c r="B106" s="4" t="str">
        <f>"1200000108"</f>
        <v>1200000108</v>
      </c>
      <c r="C106" s="5" t="str">
        <f>"آچار بكس 6 پر 27ميليمتر درايو3/4"</f>
        <v>آچار بكس 6 پر 27ميليمتر درايو3/4</v>
      </c>
      <c r="D106" s="4" t="str">
        <f>"درايو 3/4 GEDORE"</f>
        <v>درايو 3/4 GEDORE</v>
      </c>
      <c r="E106" s="4" t="str">
        <f t="shared" si="6"/>
        <v>عدد</v>
      </c>
      <c r="F106" s="4">
        <v>1</v>
      </c>
      <c r="G106" s="10">
        <v>300000</v>
      </c>
      <c r="H106" s="10">
        <f t="shared" si="5"/>
        <v>300000</v>
      </c>
    </row>
    <row r="107" spans="1:8" s="2" customFormat="1" ht="24" customHeight="1">
      <c r="A107" s="4">
        <v>105</v>
      </c>
      <c r="B107" s="4" t="str">
        <f>"1200000109"</f>
        <v>1200000109</v>
      </c>
      <c r="C107" s="5" t="str">
        <f>"انبرقفلي 10 اينچ  معمولي"</f>
        <v>انبرقفلي 10 اينچ  معمولي</v>
      </c>
      <c r="D107" s="4" t="str">
        <f>"CR-V--ARCA"</f>
        <v>CR-V--ARCA</v>
      </c>
      <c r="E107" s="4" t="str">
        <f t="shared" si="6"/>
        <v>عدد</v>
      </c>
      <c r="F107" s="4">
        <v>7</v>
      </c>
      <c r="G107" s="10">
        <v>350000</v>
      </c>
      <c r="H107" s="10">
        <f t="shared" si="5"/>
        <v>2450000</v>
      </c>
    </row>
    <row r="108" spans="1:8" s="2" customFormat="1" ht="24" customHeight="1">
      <c r="A108" s="4">
        <v>106</v>
      </c>
      <c r="B108" s="4" t="str">
        <f>"1200000110"</f>
        <v>1200000110</v>
      </c>
      <c r="C108" s="5" t="str">
        <f>"انبر قفلي بزرگ"</f>
        <v>انبر قفلي بزرگ</v>
      </c>
      <c r="D108" s="4" t="str">
        <f>"CHROM VANDIUM"</f>
        <v>CHROM VANDIUM</v>
      </c>
      <c r="E108" s="4" t="str">
        <f t="shared" si="6"/>
        <v>عدد</v>
      </c>
      <c r="F108" s="4">
        <v>1</v>
      </c>
      <c r="G108" s="10">
        <v>350000</v>
      </c>
      <c r="H108" s="10">
        <f t="shared" si="5"/>
        <v>350000</v>
      </c>
    </row>
    <row r="109" spans="1:8" s="2" customFormat="1" ht="24" customHeight="1">
      <c r="A109" s="4">
        <v>107</v>
      </c>
      <c r="B109" s="4" t="str">
        <f>"1200000111"</f>
        <v>1200000111</v>
      </c>
      <c r="C109" s="5" t="str">
        <f>"آچار دو سر رينگي 90-85 ميليمتر"</f>
        <v>آچار دو سر رينگي 90-85 ميليمتر</v>
      </c>
      <c r="D109" s="4" t="str">
        <f>"CHROM VANDIUM--ACEZA"</f>
        <v>CHROM VANDIUM--ACEZA</v>
      </c>
      <c r="E109" s="4" t="str">
        <f t="shared" si="6"/>
        <v>عدد</v>
      </c>
      <c r="F109" s="4">
        <v>2</v>
      </c>
      <c r="G109" s="10">
        <v>1500000</v>
      </c>
      <c r="H109" s="10">
        <f t="shared" si="5"/>
        <v>3000000</v>
      </c>
    </row>
    <row r="110" spans="1:8" s="2" customFormat="1" ht="24" customHeight="1">
      <c r="A110" s="6">
        <v>108</v>
      </c>
      <c r="B110" s="4" t="str">
        <f>"1200000112"</f>
        <v>1200000112</v>
      </c>
      <c r="C110" s="5" t="str">
        <f>"آچار دو سر رينگي 70-65 ميليمتر"</f>
        <v>آچار دو سر رينگي 70-65 ميليمتر</v>
      </c>
      <c r="D110" s="4" t="str">
        <f>"CHROM VANDIUM--ACEZA"</f>
        <v>CHROM VANDIUM--ACEZA</v>
      </c>
      <c r="E110" s="4" t="str">
        <f t="shared" si="6"/>
        <v>عدد</v>
      </c>
      <c r="F110" s="4">
        <v>8</v>
      </c>
      <c r="G110" s="10">
        <v>1300000</v>
      </c>
      <c r="H110" s="10">
        <f t="shared" si="5"/>
        <v>10400000</v>
      </c>
    </row>
    <row r="111" spans="1:8" s="2" customFormat="1" ht="24" customHeight="1">
      <c r="A111" s="4">
        <v>109</v>
      </c>
      <c r="B111" s="4" t="str">
        <f>"1200000113"</f>
        <v>1200000113</v>
      </c>
      <c r="C111" s="5" t="str">
        <f>"آچار دو سر رينگي24_19يليمتر"</f>
        <v>آچار دو سر رينگي24_19يليمتر</v>
      </c>
      <c r="D111" s="4" t="str">
        <f>"CHROM VANDIUM--SALTUS"</f>
        <v>CHROM VANDIUM--SALTUS</v>
      </c>
      <c r="E111" s="4" t="str">
        <f t="shared" si="6"/>
        <v>عدد</v>
      </c>
      <c r="F111" s="4">
        <v>1</v>
      </c>
      <c r="G111" s="10">
        <v>250000</v>
      </c>
      <c r="H111" s="10">
        <f t="shared" si="5"/>
        <v>250000</v>
      </c>
    </row>
    <row r="112" spans="1:8" s="2" customFormat="1" ht="24" customHeight="1">
      <c r="A112" s="4">
        <v>110</v>
      </c>
      <c r="B112" s="4" t="str">
        <f>"1200000114"</f>
        <v>1200000114</v>
      </c>
      <c r="C112" s="5" t="str">
        <f>"آچار دو سر رينگي60-55ميليمتر"</f>
        <v>آچار دو سر رينگي60-55ميليمتر</v>
      </c>
      <c r="D112" s="4" t="str">
        <f>"CHROM VANDIUM--ACEZA"</f>
        <v>CHROM VANDIUM--ACEZA</v>
      </c>
      <c r="E112" s="4" t="str">
        <f t="shared" si="6"/>
        <v>عدد</v>
      </c>
      <c r="F112" s="4">
        <v>9</v>
      </c>
      <c r="G112" s="10">
        <v>1300000</v>
      </c>
      <c r="H112" s="10">
        <f t="shared" si="5"/>
        <v>11700000</v>
      </c>
    </row>
    <row r="113" spans="1:8" s="2" customFormat="1" ht="24" customHeight="1">
      <c r="A113" s="4">
        <v>111</v>
      </c>
      <c r="B113" s="4" t="str">
        <f>"1200000115"</f>
        <v>1200000115</v>
      </c>
      <c r="C113" s="5" t="str">
        <f>"آچار دو سر رينگي46-41 ميليمتر"</f>
        <v>آچار دو سر رينگي46-41 ميليمتر</v>
      </c>
      <c r="D113" s="4" t="str">
        <f>"CHROM VANDIUM--WAGENER"</f>
        <v>CHROM VANDIUM--WAGENER</v>
      </c>
      <c r="E113" s="4" t="str">
        <f t="shared" si="6"/>
        <v>عدد</v>
      </c>
      <c r="F113" s="4">
        <v>2</v>
      </c>
      <c r="G113" s="10">
        <v>800000</v>
      </c>
      <c r="H113" s="10">
        <f t="shared" si="5"/>
        <v>1600000</v>
      </c>
    </row>
    <row r="114" spans="1:8" s="2" customFormat="1" ht="24" customHeight="1">
      <c r="A114" s="6">
        <v>112</v>
      </c>
      <c r="B114" s="4" t="str">
        <f>"1200000116"</f>
        <v>1200000116</v>
      </c>
      <c r="C114" s="5" t="str">
        <f>"آچار دو سر رينگي50_46 ميليمتر"</f>
        <v>آچار دو سر رينگي50_46 ميليمتر</v>
      </c>
      <c r="D114" s="4" t="str">
        <f>"CHROM VANDIUM--WAGENER"</f>
        <v>CHROM VANDIUM--WAGENER</v>
      </c>
      <c r="E114" s="4" t="str">
        <f t="shared" si="6"/>
        <v>عدد</v>
      </c>
      <c r="F114" s="4">
        <v>9</v>
      </c>
      <c r="G114" s="10">
        <v>900000</v>
      </c>
      <c r="H114" s="10">
        <f t="shared" si="5"/>
        <v>8100000</v>
      </c>
    </row>
    <row r="115" spans="1:8" s="2" customFormat="1" ht="24" customHeight="1">
      <c r="A115" s="4">
        <v>113</v>
      </c>
      <c r="B115" s="4" t="str">
        <f>"1200000117"</f>
        <v>1200000117</v>
      </c>
      <c r="C115" s="5" t="str">
        <f>"آچار دو سر رينگي21_19ميليمتر"</f>
        <v>آچار دو سر رينگي21_19ميليمتر</v>
      </c>
      <c r="D115" s="4" t="str">
        <f>"CHROM VANDIUM--MATADOR"</f>
        <v>CHROM VANDIUM--MATADOR</v>
      </c>
      <c r="E115" s="4" t="str">
        <f t="shared" si="6"/>
        <v>عدد</v>
      </c>
      <c r="F115" s="4">
        <v>3</v>
      </c>
      <c r="G115" s="10">
        <v>230000</v>
      </c>
      <c r="H115" s="10">
        <f t="shared" si="5"/>
        <v>690000</v>
      </c>
    </row>
    <row r="116" spans="1:8" s="2" customFormat="1" ht="24" customHeight="1">
      <c r="A116" s="4">
        <v>114</v>
      </c>
      <c r="B116" s="4" t="str">
        <f>"1200000118"</f>
        <v>1200000118</v>
      </c>
      <c r="C116" s="5" t="str">
        <f>"آچار دو سر رينگي 41_36ميليمتر"</f>
        <v>آچار دو سر رينگي 41_36ميليمتر</v>
      </c>
      <c r="D116" s="4" t="str">
        <f>"CHROM VANDIUM--RAHSOL"</f>
        <v>CHROM VANDIUM--RAHSOL</v>
      </c>
      <c r="E116" s="4" t="str">
        <f t="shared" si="6"/>
        <v>عدد</v>
      </c>
      <c r="F116" s="4">
        <v>17</v>
      </c>
      <c r="G116" s="10">
        <v>1300000</v>
      </c>
      <c r="H116" s="10">
        <f t="shared" si="5"/>
        <v>22100000</v>
      </c>
    </row>
    <row r="117" spans="1:8" s="2" customFormat="1" ht="24" customHeight="1">
      <c r="A117" s="4">
        <v>115</v>
      </c>
      <c r="B117" s="4" t="str">
        <f>"1200000119"</f>
        <v>1200000119</v>
      </c>
      <c r="C117" s="5" t="str">
        <f>"آچار دو سر رينگي 41_36ميليمتر-مسي"</f>
        <v>آچار دو سر رينگي 41_36ميليمتر-مسي</v>
      </c>
      <c r="D117" s="4" t="str">
        <f>"CHROM  VANDIUM--"</f>
        <v>CHROM  VANDIUM--</v>
      </c>
      <c r="E117" s="4" t="str">
        <f t="shared" si="6"/>
        <v>عدد</v>
      </c>
      <c r="F117" s="4">
        <v>3</v>
      </c>
      <c r="G117" s="10">
        <v>1300000</v>
      </c>
      <c r="H117" s="10">
        <f t="shared" si="5"/>
        <v>3900000</v>
      </c>
    </row>
    <row r="118" spans="1:8" s="2" customFormat="1" ht="24" customHeight="1">
      <c r="A118" s="6">
        <v>116</v>
      </c>
      <c r="B118" s="4" t="str">
        <f>"1200000120"</f>
        <v>1200000120</v>
      </c>
      <c r="C118" s="5" t="str">
        <f>"آچار دو سر رينگي1/4-1_5/16-1(32-34ميليمتر)"</f>
        <v>آچار دو سر رينگي1/4-1_5/16-1(32-34ميليمتر)</v>
      </c>
      <c r="D118" s="4" t="str">
        <f>"CHROM VANDIUM--WAGENER"</f>
        <v>CHROM VANDIUM--WAGENER</v>
      </c>
      <c r="E118" s="4" t="str">
        <f t="shared" si="6"/>
        <v>عدد</v>
      </c>
      <c r="F118" s="4">
        <v>1</v>
      </c>
      <c r="G118" s="10">
        <v>1250000</v>
      </c>
      <c r="H118" s="10">
        <f t="shared" si="5"/>
        <v>1250000</v>
      </c>
    </row>
    <row r="119" spans="1:8" s="2" customFormat="1" ht="24" customHeight="1">
      <c r="A119" s="4">
        <v>117</v>
      </c>
      <c r="B119" s="4" t="str">
        <f>"1200000121"</f>
        <v>1200000121</v>
      </c>
      <c r="C119" s="5" t="str">
        <f>"آچار يکسرتخت يکسر رينگ از    8 -32 ميليمتر"</f>
        <v>آچار يکسرتخت يکسر رينگ از    8 -32 ميليمتر</v>
      </c>
      <c r="D119" s="4" t="str">
        <f>"8-9-10-11-12-...-32 ARCA--RACA TAIWAN"</f>
        <v>8-9-10-11-12-...-32 ARCA--RACA TAIWAN</v>
      </c>
      <c r="E119" s="4" t="str">
        <f>"ست"</f>
        <v>ست</v>
      </c>
      <c r="F119" s="4">
        <v>43</v>
      </c>
      <c r="G119" s="10">
        <v>3500000</v>
      </c>
      <c r="H119" s="10">
        <f t="shared" si="5"/>
        <v>150500000</v>
      </c>
    </row>
    <row r="120" spans="1:8" s="2" customFormat="1" ht="24" customHeight="1">
      <c r="A120" s="4">
        <v>118</v>
      </c>
      <c r="B120" s="4" t="str">
        <f>"1200000122"</f>
        <v>1200000122</v>
      </c>
      <c r="C120" s="5" t="str">
        <f>"آچار دو سر رينگي 8-9ميليمتري"</f>
        <v>آچار دو سر رينگي 8-9ميليمتري</v>
      </c>
      <c r="D120" s="4" t="str">
        <f>"8-9  RAHSOL-"</f>
        <v>8-9  RAHSOL-</v>
      </c>
      <c r="E120" s="4" t="str">
        <f>"عدد"</f>
        <v>عدد</v>
      </c>
      <c r="F120" s="4">
        <v>5</v>
      </c>
      <c r="G120" s="10">
        <v>120000</v>
      </c>
      <c r="H120" s="10">
        <f t="shared" si="5"/>
        <v>600000</v>
      </c>
    </row>
    <row r="121" spans="1:8" s="2" customFormat="1" ht="24" customHeight="1">
      <c r="A121" s="4">
        <v>119</v>
      </c>
      <c r="B121" s="4" t="str">
        <f>"1200000123"</f>
        <v>1200000123</v>
      </c>
      <c r="C121" s="5" t="str">
        <f>"آچار دو سر رينگي34_32ميليمتر"</f>
        <v>آچار دو سر رينگي34_32ميليمتر</v>
      </c>
      <c r="D121" s="4" t="str">
        <f>"CHROM VANDIUM NO.2--DOWIDAT"</f>
        <v>CHROM VANDIUM NO.2--DOWIDAT</v>
      </c>
      <c r="E121" s="4" t="str">
        <f>"عدد"</f>
        <v>عدد</v>
      </c>
      <c r="F121" s="4">
        <v>8</v>
      </c>
      <c r="G121" s="10">
        <v>350000</v>
      </c>
      <c r="H121" s="10">
        <f t="shared" si="5"/>
        <v>2800000</v>
      </c>
    </row>
    <row r="122" spans="1:8" s="2" customFormat="1" ht="24" customHeight="1">
      <c r="A122" s="6">
        <v>120</v>
      </c>
      <c r="B122" s="4" t="str">
        <f>"1200000124"</f>
        <v>1200000124</v>
      </c>
      <c r="C122" s="5" t="str">
        <f>"آچار يکسر تخت عايق دار  از شماره 32-6    15 عددي"</f>
        <v>آچار يکسر تخت عايق دار  از شماره 32-6    15 عددي</v>
      </c>
      <c r="D122" s="4" t="str">
        <f>"NO.VDE  894-1000V   (6-7-...-32)GEDORE"</f>
        <v>NO.VDE  894-1000V   (6-7-...-32)GEDORE</v>
      </c>
      <c r="E122" s="4" t="str">
        <f>"ست"</f>
        <v>ست</v>
      </c>
      <c r="F122" s="4">
        <v>75</v>
      </c>
      <c r="G122" s="10">
        <v>4500000</v>
      </c>
      <c r="H122" s="10">
        <f t="shared" si="5"/>
        <v>337500000</v>
      </c>
    </row>
    <row r="123" spans="1:8" s="2" customFormat="1" ht="24" customHeight="1">
      <c r="A123" s="4">
        <v>121</v>
      </c>
      <c r="B123" s="4" t="str">
        <f>"1200000125"</f>
        <v>1200000125</v>
      </c>
      <c r="C123" s="5" t="str">
        <f>"آچار يکسر رينگي عايق دار 15 عددي از شماره8-32"</f>
        <v>آچار يکسر رينگي عايق دار 15 عددي از شماره8-32</v>
      </c>
      <c r="D123" s="4" t="str">
        <f>"8-9-10-...-32GEDORE"</f>
        <v>8-9-10-...-32GEDORE</v>
      </c>
      <c r="E123" s="4" t="str">
        <f>"ست"</f>
        <v>ست</v>
      </c>
      <c r="F123" s="4">
        <v>75</v>
      </c>
      <c r="G123" s="10">
        <v>5000000</v>
      </c>
      <c r="H123" s="10">
        <f t="shared" si="5"/>
        <v>375000000</v>
      </c>
    </row>
    <row r="124" spans="1:8" s="2" customFormat="1" ht="24" customHeight="1">
      <c r="A124" s="4">
        <v>122</v>
      </c>
      <c r="B124" s="4" t="str">
        <f>"1200000126"</f>
        <v>1200000126</v>
      </c>
      <c r="C124" s="5" t="str">
        <f>"آچار دو سر تخت   13-12ميليمتر"</f>
        <v>آچار دو سر تخت   13-12ميليمتر</v>
      </c>
      <c r="D124" s="4" t="str">
        <f>"CHROMVANDIUM"</f>
        <v>CHROMVANDIUM</v>
      </c>
      <c r="E124" s="4" t="str">
        <f t="shared" ref="E124:E135" si="7">"عدد"</f>
        <v>عدد</v>
      </c>
      <c r="F124" s="4">
        <v>16</v>
      </c>
      <c r="G124" s="10">
        <v>150000</v>
      </c>
      <c r="H124" s="10">
        <f t="shared" si="5"/>
        <v>2400000</v>
      </c>
    </row>
    <row r="125" spans="1:8" s="2" customFormat="1" ht="24" customHeight="1">
      <c r="A125" s="4">
        <v>123</v>
      </c>
      <c r="B125" s="4" t="str">
        <f>"1200000127"</f>
        <v>1200000127</v>
      </c>
      <c r="C125" s="5" t="str">
        <f>"آچار يکسرتخت يکسر رينگي 22ميليمتر"</f>
        <v>آچار يکسرتخت يکسر رينگي 22ميليمتر</v>
      </c>
      <c r="D125" s="4" t="str">
        <f>"--PADRE  GERMANY"</f>
        <v>--PADRE  GERMANY</v>
      </c>
      <c r="E125" s="4" t="str">
        <f t="shared" si="7"/>
        <v>عدد</v>
      </c>
      <c r="F125" s="4">
        <v>39</v>
      </c>
      <c r="G125" s="10">
        <v>200000</v>
      </c>
      <c r="H125" s="10">
        <f t="shared" si="5"/>
        <v>7800000</v>
      </c>
    </row>
    <row r="126" spans="1:8" s="2" customFormat="1" ht="24" customHeight="1">
      <c r="A126" s="6">
        <v>124</v>
      </c>
      <c r="B126" s="4" t="str">
        <f>"1200000128"</f>
        <v>1200000128</v>
      </c>
      <c r="C126" s="5" t="str">
        <f>"سوهان تخت  25سانتي"</f>
        <v>سوهان تخت  25سانتي</v>
      </c>
      <c r="D126" s="4" t="str">
        <f>"L= 25MM   10اينچ--IRAN POTK"</f>
        <v>L= 25MM   10اينچ--IRAN POTK</v>
      </c>
      <c r="E126" s="4" t="str">
        <f t="shared" si="7"/>
        <v>عدد</v>
      </c>
      <c r="F126" s="4">
        <v>17</v>
      </c>
      <c r="G126" s="10">
        <v>250000</v>
      </c>
      <c r="H126" s="10">
        <f t="shared" si="5"/>
        <v>4250000</v>
      </c>
    </row>
    <row r="127" spans="1:8" s="2" customFormat="1" ht="24" customHeight="1">
      <c r="A127" s="4">
        <v>125</v>
      </c>
      <c r="B127" s="4" t="str">
        <f>"1200000129"</f>
        <v>1200000129</v>
      </c>
      <c r="C127" s="5" t="str">
        <f>"سوهان گرد 25سانتي"</f>
        <v>سوهان گرد 25سانتي</v>
      </c>
      <c r="D127" s="4" t="str">
        <f>"L=25MM   10 اينچ--IRAN POTK"</f>
        <v>L=25MM   10 اينچ--IRAN POTK</v>
      </c>
      <c r="E127" s="4" t="str">
        <f t="shared" si="7"/>
        <v>عدد</v>
      </c>
      <c r="F127" s="4">
        <v>12</v>
      </c>
      <c r="G127" s="10">
        <v>300000</v>
      </c>
      <c r="H127" s="10">
        <f t="shared" si="5"/>
        <v>3600000</v>
      </c>
    </row>
    <row r="128" spans="1:8" s="2" customFormat="1" ht="24" customHeight="1">
      <c r="A128" s="4">
        <v>126</v>
      </c>
      <c r="B128" s="4" t="str">
        <f>"1200000130"</f>
        <v>1200000130</v>
      </c>
      <c r="C128" s="5" t="str">
        <f>"سوهان نيم گرد -15سانتي"</f>
        <v>سوهان نيم گرد -15سانتي</v>
      </c>
      <c r="D128" s="4" t="str">
        <f>"L=150MM      6اينچ--IRAN POTK"</f>
        <v>L=150MM      6اينچ--IRAN POTK</v>
      </c>
      <c r="E128" s="4" t="str">
        <f t="shared" si="7"/>
        <v>عدد</v>
      </c>
      <c r="F128" s="4">
        <v>6</v>
      </c>
      <c r="G128" s="10">
        <v>200000</v>
      </c>
      <c r="H128" s="10">
        <f t="shared" si="5"/>
        <v>1200000</v>
      </c>
    </row>
    <row r="129" spans="1:8" s="2" customFormat="1" ht="24" customHeight="1">
      <c r="A129" s="4">
        <v>127</v>
      </c>
      <c r="B129" s="4" t="str">
        <f>"1200000131"</f>
        <v>1200000131</v>
      </c>
      <c r="C129" s="5" t="str">
        <f>"سوهان گرد -15سانتي"</f>
        <v>سوهان گرد -15سانتي</v>
      </c>
      <c r="D129" s="4" t="str">
        <f>"L=150MM     6 اينچ--IRAN POTK"</f>
        <v>L=150MM     6 اينچ--IRAN POTK</v>
      </c>
      <c r="E129" s="4" t="str">
        <f t="shared" si="7"/>
        <v>عدد</v>
      </c>
      <c r="F129" s="4">
        <v>9</v>
      </c>
      <c r="G129" s="10">
        <v>200000</v>
      </c>
      <c r="H129" s="10">
        <f t="shared" si="5"/>
        <v>1800000</v>
      </c>
    </row>
    <row r="130" spans="1:8" s="2" customFormat="1" ht="24" customHeight="1">
      <c r="A130" s="6">
        <v>128</v>
      </c>
      <c r="B130" s="4" t="str">
        <f>"1200000132"</f>
        <v>1200000132</v>
      </c>
      <c r="C130" s="5" t="str">
        <f>"سوهان نيم گرد -25سانتي"</f>
        <v>سوهان نيم گرد -25سانتي</v>
      </c>
      <c r="D130" s="4" t="str">
        <f>"L=250MM   10 اينچ--IRAN POTK"</f>
        <v>L=250MM   10 اينچ--IRAN POTK</v>
      </c>
      <c r="E130" s="4" t="str">
        <f t="shared" si="7"/>
        <v>عدد</v>
      </c>
      <c r="F130" s="4">
        <v>7</v>
      </c>
      <c r="G130" s="10">
        <v>250000</v>
      </c>
      <c r="H130" s="10">
        <f t="shared" si="5"/>
        <v>1750000</v>
      </c>
    </row>
    <row r="131" spans="1:8" s="2" customFormat="1" ht="24" customHeight="1">
      <c r="A131" s="4">
        <v>129</v>
      </c>
      <c r="B131" s="4" t="str">
        <f>"1200000133"</f>
        <v>1200000133</v>
      </c>
      <c r="C131" s="5" t="str">
        <f>"سوهان تخت 20سانتي"</f>
        <v>سوهان تخت 20سانتي</v>
      </c>
      <c r="D131" s="4" t="str">
        <f>"L=200MM   8اينچ--IRAN POTK"</f>
        <v>L=200MM   8اينچ--IRAN POTK</v>
      </c>
      <c r="E131" s="4" t="str">
        <f t="shared" si="7"/>
        <v>عدد</v>
      </c>
      <c r="F131" s="4">
        <v>62</v>
      </c>
      <c r="G131" s="10">
        <v>200000</v>
      </c>
      <c r="H131" s="10">
        <f t="shared" si="5"/>
        <v>12400000</v>
      </c>
    </row>
    <row r="132" spans="1:8" s="2" customFormat="1" ht="24" customHeight="1">
      <c r="A132" s="4">
        <v>130</v>
      </c>
      <c r="B132" s="4" t="str">
        <f>"1200000134"</f>
        <v>1200000134</v>
      </c>
      <c r="C132" s="5" t="str">
        <f>"سوهان گرد -20سانتي"</f>
        <v>سوهان گرد -20سانتي</v>
      </c>
      <c r="D132" s="4" t="str">
        <f>"L=200MM   8اينچ--IRAN POTK"</f>
        <v>L=200MM   8اينچ--IRAN POTK</v>
      </c>
      <c r="E132" s="4" t="str">
        <f t="shared" si="7"/>
        <v>عدد</v>
      </c>
      <c r="F132" s="4">
        <v>63</v>
      </c>
      <c r="G132" s="10">
        <v>200000</v>
      </c>
      <c r="H132" s="10">
        <f t="shared" si="5"/>
        <v>12600000</v>
      </c>
    </row>
    <row r="133" spans="1:8" s="2" customFormat="1" ht="24" customHeight="1">
      <c r="A133" s="4">
        <v>131</v>
      </c>
      <c r="B133" s="4" t="str">
        <f>"1200000135"</f>
        <v>1200000135</v>
      </c>
      <c r="C133" s="5" t="str">
        <f>"سوهان سه گوش -20سانتي"</f>
        <v>سوهان سه گوش -20سانتي</v>
      </c>
      <c r="D133" s="4" t="str">
        <f>"L=200MM   8اينچ--IRAN POTK"</f>
        <v>L=200MM   8اينچ--IRAN POTK</v>
      </c>
      <c r="E133" s="4" t="str">
        <f t="shared" si="7"/>
        <v>عدد</v>
      </c>
      <c r="F133" s="4">
        <v>53</v>
      </c>
      <c r="G133" s="10">
        <v>200000</v>
      </c>
      <c r="H133" s="10">
        <f t="shared" si="5"/>
        <v>10600000</v>
      </c>
    </row>
    <row r="134" spans="1:8" s="2" customFormat="1" ht="24" customHeight="1">
      <c r="A134" s="6">
        <v>132</v>
      </c>
      <c r="B134" s="4" t="str">
        <f>"1200000136"</f>
        <v>1200000136</v>
      </c>
      <c r="C134" s="5" t="str">
        <f>"سوهان نيم گرد-20سانتي"</f>
        <v>سوهان نيم گرد-20سانتي</v>
      </c>
      <c r="D134" s="4" t="str">
        <f>"L=200MM   8 اينچ--IRAN POTK"</f>
        <v>L=200MM   8 اينچ--IRAN POTK</v>
      </c>
      <c r="E134" s="4" t="str">
        <f t="shared" si="7"/>
        <v>عدد</v>
      </c>
      <c r="F134" s="4">
        <v>43</v>
      </c>
      <c r="G134" s="10">
        <v>20000</v>
      </c>
      <c r="H134" s="10">
        <f t="shared" ref="H134:H196" si="8">F134*G134</f>
        <v>860000</v>
      </c>
    </row>
    <row r="135" spans="1:8" s="2" customFormat="1" ht="24" customHeight="1">
      <c r="A135" s="4">
        <v>133</v>
      </c>
      <c r="B135" s="4" t="str">
        <f>"1200000137"</f>
        <v>1200000137</v>
      </c>
      <c r="C135" s="5" t="str">
        <f>"سنگ تيز کن"</f>
        <v>سنگ تيز کن</v>
      </c>
      <c r="D135" s="4" t="str">
        <f>"SHARPENING  STONE   8اينچ--COMBINATION"</f>
        <v>SHARPENING  STONE   8اينچ--COMBINATION</v>
      </c>
      <c r="E135" s="4" t="str">
        <f t="shared" si="7"/>
        <v>عدد</v>
      </c>
      <c r="F135" s="4">
        <v>1</v>
      </c>
      <c r="G135" s="10">
        <v>80000</v>
      </c>
      <c r="H135" s="10">
        <f t="shared" si="8"/>
        <v>80000</v>
      </c>
    </row>
    <row r="136" spans="1:8" s="2" customFormat="1" ht="24" customHeight="1">
      <c r="A136" s="4">
        <v>135</v>
      </c>
      <c r="B136" s="4" t="str">
        <f>"1200000139"</f>
        <v>1200000139</v>
      </c>
      <c r="C136" s="5" t="str">
        <f>"شگل قلاب"</f>
        <v>شگل قلاب</v>
      </c>
      <c r="D136" s="4" t="str">
        <f>"1  TON--W.U.1  TON"</f>
        <v>1  TON--W.U.1  TON</v>
      </c>
      <c r="E136" s="4" t="str">
        <f t="shared" ref="E136:E142" si="9">"عدد"</f>
        <v>عدد</v>
      </c>
      <c r="F136" s="4">
        <v>19</v>
      </c>
      <c r="G136" s="10">
        <v>100000</v>
      </c>
      <c r="H136" s="10">
        <f t="shared" si="8"/>
        <v>1900000</v>
      </c>
    </row>
    <row r="137" spans="1:8" s="2" customFormat="1" ht="24" customHeight="1">
      <c r="A137" s="6">
        <v>136</v>
      </c>
      <c r="B137" s="4" t="str">
        <f>"1200000140"</f>
        <v>1200000140</v>
      </c>
      <c r="C137" s="5" t="str">
        <f>"آچار چکش خور رينگي 90 ميلي متر"</f>
        <v>آچار چکش خور رينگي 90 ميلي متر</v>
      </c>
      <c r="D137" s="4" t="str">
        <f>"NO .184--UNIOR"</f>
        <v>NO .184--UNIOR</v>
      </c>
      <c r="E137" s="4" t="str">
        <f t="shared" si="9"/>
        <v>عدد</v>
      </c>
      <c r="F137" s="4">
        <v>7</v>
      </c>
      <c r="G137" s="10">
        <v>2000000</v>
      </c>
      <c r="H137" s="10">
        <f t="shared" si="8"/>
        <v>14000000</v>
      </c>
    </row>
    <row r="138" spans="1:8" s="2" customFormat="1" ht="24" customHeight="1">
      <c r="A138" s="4">
        <v>137</v>
      </c>
      <c r="B138" s="4" t="str">
        <f>"1200000141"</f>
        <v>1200000141</v>
      </c>
      <c r="C138" s="5" t="str">
        <f>"آچار چکش خور رينگي 90  ميلي متر"</f>
        <v>آچار چکش خور رينگي 90  ميلي متر</v>
      </c>
      <c r="D138" s="4" t="str">
        <f>"GEDORE"</f>
        <v>GEDORE</v>
      </c>
      <c r="E138" s="4" t="str">
        <f t="shared" si="9"/>
        <v>عدد</v>
      </c>
      <c r="F138" s="4">
        <v>9</v>
      </c>
      <c r="G138" s="10">
        <v>2000000</v>
      </c>
      <c r="H138" s="10">
        <f t="shared" si="8"/>
        <v>18000000</v>
      </c>
    </row>
    <row r="139" spans="1:8" s="2" customFormat="1" ht="24" customHeight="1">
      <c r="A139" s="4">
        <v>138</v>
      </c>
      <c r="B139" s="4" t="str">
        <f>"1200000142"</f>
        <v>1200000142</v>
      </c>
      <c r="C139" s="5" t="str">
        <f>"آچار چکش خور رينگي100ميليمتر"</f>
        <v>آچار چکش خور رينگي100ميليمتر</v>
      </c>
      <c r="D139" s="4" t="str">
        <f>"STAHLWILLE"</f>
        <v>STAHLWILLE</v>
      </c>
      <c r="E139" s="4" t="str">
        <f t="shared" si="9"/>
        <v>عدد</v>
      </c>
      <c r="F139" s="4">
        <v>10</v>
      </c>
      <c r="G139" s="10">
        <v>2300000</v>
      </c>
      <c r="H139" s="10">
        <f t="shared" si="8"/>
        <v>23000000</v>
      </c>
    </row>
    <row r="140" spans="1:8" s="2" customFormat="1" ht="24" customHeight="1">
      <c r="A140" s="4">
        <v>139</v>
      </c>
      <c r="B140" s="4" t="str">
        <f>"1200000143"</f>
        <v>1200000143</v>
      </c>
      <c r="C140" s="5" t="str">
        <f>"آچار يك سرتخت 120ميليمتر"</f>
        <v>آچار يك سرتخت 120ميليمتر</v>
      </c>
      <c r="D140" s="4" t="str">
        <f>"DOWIDART"</f>
        <v>DOWIDART</v>
      </c>
      <c r="E140" s="4" t="str">
        <f t="shared" si="9"/>
        <v>عدد</v>
      </c>
      <c r="F140" s="4">
        <v>1</v>
      </c>
      <c r="G140" s="10">
        <v>1800000</v>
      </c>
      <c r="H140" s="10">
        <f t="shared" si="8"/>
        <v>1800000</v>
      </c>
    </row>
    <row r="141" spans="1:8" s="2" customFormat="1" ht="24" customHeight="1">
      <c r="A141" s="6">
        <v>140</v>
      </c>
      <c r="B141" s="4" t="str">
        <f>"1200000144"</f>
        <v>1200000144</v>
      </c>
      <c r="C141" s="5" t="str">
        <f>"جک مكانيكي عمودي 5 تني (هندلي)"</f>
        <v>جک مكانيكي عمودي 5 تني (هندلي)</v>
      </c>
      <c r="D141" s="4" t="str">
        <f>"5    تن--OSAKA"</f>
        <v>5    تن--OSAKA</v>
      </c>
      <c r="E141" s="4" t="str">
        <f t="shared" si="9"/>
        <v>عدد</v>
      </c>
      <c r="F141" s="4">
        <v>2</v>
      </c>
      <c r="G141" s="10">
        <v>3000000</v>
      </c>
      <c r="H141" s="10">
        <f t="shared" si="8"/>
        <v>6000000</v>
      </c>
    </row>
    <row r="142" spans="1:8" s="2" customFormat="1" ht="24" customHeight="1">
      <c r="A142" s="4">
        <v>141</v>
      </c>
      <c r="B142" s="4" t="str">
        <f>"1200000145"</f>
        <v>1200000145</v>
      </c>
      <c r="C142" s="5" t="str">
        <f>"آچار يکسر تخت يکسر جغجغه 22ميليمتر"</f>
        <v>آچار يکسر تخت يکسر جغجغه 22ميليمتر</v>
      </c>
      <c r="D142" s="4" t="str">
        <f>"CHROM VANDIUM--LICOTA"</f>
        <v>CHROM VANDIUM--LICOTA</v>
      </c>
      <c r="E142" s="4" t="str">
        <f t="shared" si="9"/>
        <v>عدد</v>
      </c>
      <c r="F142" s="4">
        <v>29</v>
      </c>
      <c r="G142" s="10">
        <v>400000</v>
      </c>
      <c r="H142" s="10">
        <f t="shared" si="8"/>
        <v>11600000</v>
      </c>
    </row>
    <row r="143" spans="1:8" s="2" customFormat="1" ht="24" customHeight="1">
      <c r="A143" s="4">
        <v>142</v>
      </c>
      <c r="B143" s="4" t="str">
        <f>"1200000146"</f>
        <v>1200000146</v>
      </c>
      <c r="C143" s="5" t="str">
        <f>"جعبه بکس درايو 1/2 اينچ    24عددي"</f>
        <v>جعبه بکس درايو 1/2 اينچ    24عددي</v>
      </c>
      <c r="D143" s="4" t="str">
        <f>"SLIDING.TBAR  10 اينچ--ARCA"</f>
        <v>SLIDING.TBAR  10 اينچ--ARCA</v>
      </c>
      <c r="E143" s="4" t="str">
        <f>"ست"</f>
        <v>ست</v>
      </c>
      <c r="F143" s="4">
        <v>24</v>
      </c>
      <c r="G143" s="10">
        <v>3500000</v>
      </c>
      <c r="H143" s="10">
        <f t="shared" si="8"/>
        <v>84000000</v>
      </c>
    </row>
    <row r="144" spans="1:8" s="2" customFormat="1" ht="24" customHeight="1">
      <c r="A144" s="4">
        <v>143</v>
      </c>
      <c r="B144" s="4" t="str">
        <f>"1200000147"</f>
        <v>1200000147</v>
      </c>
      <c r="C144" s="5" t="str">
        <f>"جعبه بکس درايو 3/8  22عددي"</f>
        <v>جعبه بکس درايو 3/8  22عددي</v>
      </c>
      <c r="D144" s="4" t="str">
        <f>"EXTENTION  BAR  ( 3اينچ و 6 اينچ  (15عددبکس 7دسته بکس و رابط--ARCA"</f>
        <v>EXTENTION  BAR  ( 3اينچ و 6 اينچ  (15عددبکس 7دسته بکس و رابط--ARCA</v>
      </c>
      <c r="E144" s="4" t="str">
        <f>"ست"</f>
        <v>ست</v>
      </c>
      <c r="F144" s="4">
        <v>47</v>
      </c>
      <c r="G144" s="10">
        <v>1600000</v>
      </c>
      <c r="H144" s="10">
        <f t="shared" si="8"/>
        <v>75200000</v>
      </c>
    </row>
    <row r="145" spans="1:8" s="2" customFormat="1" ht="24" customHeight="1">
      <c r="A145" s="6">
        <v>144</v>
      </c>
      <c r="B145" s="4" t="str">
        <f>"1200000148"</f>
        <v>1200000148</v>
      </c>
      <c r="C145" s="5" t="str">
        <f>"جعبه بکس درايو 1/4 اينچ  17عددي"</f>
        <v>جعبه بکس درايو 1/4 اينچ  17عددي</v>
      </c>
      <c r="D145" s="4" t="str">
        <f>"EXTENTION  BAR( 4اينچ   و6اينچ   (11عددبکس 6عدددسته بکس ورابط--ARCA"</f>
        <v>EXTENTION  BAR( 4اينچ   و6اينچ   (11عددبکس 6عدددسته بکس ورابط--ARCA</v>
      </c>
      <c r="E145" s="4" t="str">
        <f>"ست"</f>
        <v>ست</v>
      </c>
      <c r="F145" s="4">
        <v>7</v>
      </c>
      <c r="G145" s="10">
        <v>100000</v>
      </c>
      <c r="H145" s="10">
        <f t="shared" si="8"/>
        <v>700000</v>
      </c>
    </row>
    <row r="146" spans="1:8" s="2" customFormat="1" ht="24" customHeight="1">
      <c r="A146" s="4">
        <v>145</v>
      </c>
      <c r="B146" s="4" t="str">
        <f>"1200000149"</f>
        <v>1200000149</v>
      </c>
      <c r="C146" s="5" t="str">
        <f>"آچار آلن (سري 9تايي)"</f>
        <v>آچار آلن (سري 9تايي)</v>
      </c>
      <c r="D146" s="4" t="str">
        <f>"1.5 , 2 ,...,10--ARCA"</f>
        <v>1.5 , 2 ,...,10--ARCA</v>
      </c>
      <c r="E146" s="4" t="str">
        <f>"ست"</f>
        <v>ست</v>
      </c>
      <c r="F146" s="4">
        <v>1</v>
      </c>
      <c r="G146" s="10">
        <v>750000</v>
      </c>
      <c r="H146" s="10">
        <f t="shared" si="8"/>
        <v>750000</v>
      </c>
    </row>
    <row r="147" spans="1:8" s="2" customFormat="1" ht="24" customHeight="1">
      <c r="A147" s="4">
        <v>146</v>
      </c>
      <c r="B147" s="4" t="str">
        <f>"1200000150"</f>
        <v>1200000150</v>
      </c>
      <c r="C147" s="5" t="str">
        <f>"آچار آلن بكس ست9عددي(4-5-6----19)"</f>
        <v>آچار آلن بكس ست9عددي(4-5-6----19)</v>
      </c>
      <c r="D147" s="4" t="str">
        <f>"از شماره الي4 -5 - 6 - 8 - 10 - 12 - 14 -17 - 19"</f>
        <v>از شماره الي4 -5 - 6 - 8 - 10 - 12 - 14 -17 - 19</v>
      </c>
      <c r="E147" s="4" t="str">
        <f>"ست"</f>
        <v>ست</v>
      </c>
      <c r="F147" s="4">
        <v>2</v>
      </c>
      <c r="G147" s="10">
        <v>450000</v>
      </c>
      <c r="H147" s="10">
        <f t="shared" si="8"/>
        <v>900000</v>
      </c>
    </row>
    <row r="148" spans="1:8" s="2" customFormat="1" ht="24" customHeight="1">
      <c r="A148" s="4">
        <v>147</v>
      </c>
      <c r="B148" s="4" t="str">
        <f>"1200000151"</f>
        <v>1200000151</v>
      </c>
      <c r="C148" s="5" t="str">
        <f>"آچار آلن 5/8 اينچ   16ميليمتر"</f>
        <v>آچار آلن 5/8 اينچ   16ميليمتر</v>
      </c>
      <c r="D148" s="4" t="str">
        <f>"16MM   5/8--EIGHT  JAPAN"</f>
        <v>16MM   5/8--EIGHT  JAPAN</v>
      </c>
      <c r="E148" s="4" t="str">
        <f t="shared" ref="E148:E154" si="10">"عدد"</f>
        <v>عدد</v>
      </c>
      <c r="F148" s="4">
        <v>17</v>
      </c>
      <c r="G148" s="10">
        <v>600000</v>
      </c>
      <c r="H148" s="10">
        <f t="shared" si="8"/>
        <v>10200000</v>
      </c>
    </row>
    <row r="149" spans="1:8" s="2" customFormat="1" ht="24" customHeight="1">
      <c r="A149" s="6">
        <v>148</v>
      </c>
      <c r="B149" s="4" t="str">
        <f>"1200000152"</f>
        <v>1200000152</v>
      </c>
      <c r="C149" s="5" t="str">
        <f>"آچار آلن 15ميليمتر"</f>
        <v>آچار آلن 15ميليمتر</v>
      </c>
      <c r="D149" s="4" t="str">
        <f>"15MM--EIGHT"</f>
        <v>15MM--EIGHT</v>
      </c>
      <c r="E149" s="4" t="str">
        <f t="shared" si="10"/>
        <v>عدد</v>
      </c>
      <c r="F149" s="4">
        <v>16</v>
      </c>
      <c r="G149" s="10">
        <v>600000</v>
      </c>
      <c r="H149" s="10">
        <f t="shared" si="8"/>
        <v>9600000</v>
      </c>
    </row>
    <row r="150" spans="1:8" s="2" customFormat="1" ht="24" customHeight="1">
      <c r="A150" s="4">
        <v>149</v>
      </c>
      <c r="B150" s="4" t="str">
        <f>"1200000153"</f>
        <v>1200000153</v>
      </c>
      <c r="C150" s="5" t="str">
        <f>"آچار آلن 14 ميليمتر"</f>
        <v>آچار آلن 14 ميليمتر</v>
      </c>
      <c r="D150" s="4" t="str">
        <f>"14 MM--eight japan"</f>
        <v>14 MM--eight japan</v>
      </c>
      <c r="E150" s="4" t="str">
        <f t="shared" si="10"/>
        <v>عدد</v>
      </c>
      <c r="F150" s="4">
        <v>13</v>
      </c>
      <c r="G150" s="10">
        <v>550000</v>
      </c>
      <c r="H150" s="10">
        <f t="shared" si="8"/>
        <v>7150000</v>
      </c>
    </row>
    <row r="151" spans="1:8" s="2" customFormat="1" ht="24" customHeight="1">
      <c r="A151" s="4">
        <v>150</v>
      </c>
      <c r="B151" s="4" t="str">
        <f>"1200000154"</f>
        <v>1200000154</v>
      </c>
      <c r="C151" s="5" t="str">
        <f>"آچار آلن 13ميليمتر"</f>
        <v>آچار آلن 13ميليمتر</v>
      </c>
      <c r="D151" s="4" t="str">
        <f>"13 MM--EIGHT JAPAN"</f>
        <v>13 MM--EIGHT JAPAN</v>
      </c>
      <c r="E151" s="4" t="str">
        <f t="shared" si="10"/>
        <v>عدد</v>
      </c>
      <c r="F151" s="4">
        <v>16</v>
      </c>
      <c r="G151" s="10">
        <v>550000</v>
      </c>
      <c r="H151" s="10">
        <f t="shared" si="8"/>
        <v>8800000</v>
      </c>
    </row>
    <row r="152" spans="1:8" s="2" customFormat="1" ht="24" customHeight="1">
      <c r="A152" s="4">
        <v>151</v>
      </c>
      <c r="B152" s="4" t="str">
        <f>"1200000155"</f>
        <v>1200000155</v>
      </c>
      <c r="C152" s="5" t="str">
        <f>"آچار آلن 12ميليمتر"</f>
        <v>آچار آلن 12ميليمتر</v>
      </c>
      <c r="D152" s="4" t="str">
        <f>"12 MM--EIGHT JAPAN"</f>
        <v>12 MM--EIGHT JAPAN</v>
      </c>
      <c r="E152" s="4" t="str">
        <f t="shared" si="10"/>
        <v>عدد</v>
      </c>
      <c r="F152" s="4">
        <v>16</v>
      </c>
      <c r="G152" s="10">
        <v>500000</v>
      </c>
      <c r="H152" s="10">
        <f t="shared" si="8"/>
        <v>8000000</v>
      </c>
    </row>
    <row r="153" spans="1:8" s="2" customFormat="1" ht="24" customHeight="1">
      <c r="A153" s="6">
        <v>152</v>
      </c>
      <c r="B153" s="4" t="str">
        <f>"1200000156"</f>
        <v>1200000156</v>
      </c>
      <c r="C153" s="5" t="str">
        <f>"آچار آلن (7/16)   11ميليمتر"</f>
        <v>آچار آلن (7/16)   11ميليمتر</v>
      </c>
      <c r="D153" s="4" t="str">
        <f>"11 MM    7/16--EIGHT JAPAN"</f>
        <v>11 MM    7/16--EIGHT JAPAN</v>
      </c>
      <c r="E153" s="4" t="str">
        <f t="shared" si="10"/>
        <v>عدد</v>
      </c>
      <c r="F153" s="4">
        <v>17</v>
      </c>
      <c r="G153" s="10">
        <v>350000</v>
      </c>
      <c r="H153" s="10">
        <f t="shared" si="8"/>
        <v>5950000</v>
      </c>
    </row>
    <row r="154" spans="1:8" s="2" customFormat="1" ht="24" customHeight="1">
      <c r="A154" s="4">
        <v>153</v>
      </c>
      <c r="B154" s="4" t="str">
        <f>"1200000157"</f>
        <v>1200000157</v>
      </c>
      <c r="C154" s="5" t="str">
        <f>"آچار آلن 10  ميليمتر"</f>
        <v>آچار آلن 10  ميليمتر</v>
      </c>
      <c r="D154" s="4" t="str">
        <f>"10  MM--EIGHT JAPAN"</f>
        <v>10  MM--EIGHT JAPAN</v>
      </c>
      <c r="E154" s="4" t="str">
        <f t="shared" si="10"/>
        <v>عدد</v>
      </c>
      <c r="F154" s="4">
        <v>22</v>
      </c>
      <c r="G154" s="10">
        <v>350000</v>
      </c>
      <c r="H154" s="10">
        <f t="shared" si="8"/>
        <v>7700000</v>
      </c>
    </row>
    <row r="155" spans="1:8" s="2" customFormat="1" ht="24" customHeight="1">
      <c r="A155" s="4">
        <v>154</v>
      </c>
      <c r="B155" s="4" t="str">
        <f>"1200000158"</f>
        <v>1200000158</v>
      </c>
      <c r="C155" s="5" t="str">
        <f>"آچار آلن سري 8 تايي 14-3 ميليمتر"</f>
        <v>آچار آلن سري 8 تايي 14-3 ميليمتر</v>
      </c>
      <c r="D155" s="4" t="str">
        <f>"3,4,5,6,8,10,12,14--EIGHT JAPAN"</f>
        <v>3,4,5,6,8,10,12,14--EIGHT JAPAN</v>
      </c>
      <c r="E155" s="4" t="str">
        <f>"سري"</f>
        <v>سري</v>
      </c>
      <c r="F155" s="4">
        <v>18</v>
      </c>
      <c r="G155" s="10">
        <v>750000</v>
      </c>
      <c r="H155" s="10">
        <f t="shared" si="8"/>
        <v>13500000</v>
      </c>
    </row>
    <row r="156" spans="1:8" s="2" customFormat="1" ht="24" customHeight="1">
      <c r="A156" s="4">
        <v>155</v>
      </c>
      <c r="B156" s="4" t="str">
        <f>"1200000159"</f>
        <v>1200000159</v>
      </c>
      <c r="C156" s="5" t="str">
        <f>"آچار آلن دو سر ستاره اي (سري 9 تايي)"</f>
        <v>آچار آلن دو سر ستاره اي (سري 9 تايي)</v>
      </c>
      <c r="D156" s="4" t="str">
        <f>"T 10,15,20,25,27,30,40,45,50--ARCA"</f>
        <v>T 10,15,20,25,27,30,40,45,50--ARCA</v>
      </c>
      <c r="E156" s="4" t="str">
        <f>"سري"</f>
        <v>سري</v>
      </c>
      <c r="F156" s="4">
        <v>11</v>
      </c>
      <c r="G156" s="10">
        <v>650000</v>
      </c>
      <c r="H156" s="10">
        <f t="shared" si="8"/>
        <v>7150000</v>
      </c>
    </row>
    <row r="157" spans="1:8" s="2" customFormat="1" ht="24" customHeight="1">
      <c r="A157" s="6">
        <v>156</v>
      </c>
      <c r="B157" s="4" t="str">
        <f>"1200000160"</f>
        <v>1200000160</v>
      </c>
      <c r="C157" s="5" t="str">
        <f>"گيره روميزي  140 ميليمتر"</f>
        <v>گيره روميزي  140 ميليمتر</v>
      </c>
      <c r="D157" s="4" t="str">
        <f>"140 MM--IRAN POTK"</f>
        <v>140 MM--IRAN POTK</v>
      </c>
      <c r="E157" s="4" t="str">
        <f>"عدد"</f>
        <v>عدد</v>
      </c>
      <c r="F157" s="4">
        <v>10</v>
      </c>
      <c r="G157" s="10">
        <v>6200000</v>
      </c>
      <c r="H157" s="10">
        <f t="shared" si="8"/>
        <v>62000000</v>
      </c>
    </row>
    <row r="158" spans="1:8" s="2" customFormat="1" ht="24" customHeight="1">
      <c r="A158" s="4">
        <v>157</v>
      </c>
      <c r="B158" s="4" t="str">
        <f>"1200000161"</f>
        <v>1200000161</v>
      </c>
      <c r="C158" s="5" t="str">
        <f>"دستگاه پرچ"</f>
        <v>دستگاه پرچ</v>
      </c>
      <c r="D158" s="4" t="str">
        <f>"THR 11--TAYIO"</f>
        <v>THR 11--TAYIO</v>
      </c>
      <c r="E158" s="4" t="str">
        <f>"دستگاه"</f>
        <v>دستگاه</v>
      </c>
      <c r="F158" s="4">
        <v>8</v>
      </c>
      <c r="G158" s="10">
        <v>1250000</v>
      </c>
      <c r="H158" s="10">
        <f t="shared" si="8"/>
        <v>10000000</v>
      </c>
    </row>
    <row r="159" spans="1:8" s="2" customFormat="1" ht="24" customHeight="1">
      <c r="A159" s="4">
        <v>158</v>
      </c>
      <c r="B159" s="4" t="str">
        <f>"1200000162"</f>
        <v>1200000162</v>
      </c>
      <c r="C159" s="5" t="str">
        <f>"قيچي گسکت بر"</f>
        <v>قيچي گسکت بر</v>
      </c>
      <c r="D159" s="4" t="str">
        <f>"DIN  6438/11.71--ARCA"</f>
        <v>DIN  6438/11.71--ARCA</v>
      </c>
      <c r="E159" s="4" t="str">
        <f t="shared" ref="E159:E199" si="11">"عدد"</f>
        <v>عدد</v>
      </c>
      <c r="F159" s="4">
        <v>27</v>
      </c>
      <c r="G159" s="10">
        <v>480000</v>
      </c>
      <c r="H159" s="10">
        <f t="shared" si="8"/>
        <v>12960000</v>
      </c>
    </row>
    <row r="160" spans="1:8" s="2" customFormat="1" ht="24" customHeight="1">
      <c r="A160" s="4">
        <v>159</v>
      </c>
      <c r="B160" s="4" t="str">
        <f>"1200000163"</f>
        <v>1200000163</v>
      </c>
      <c r="C160" s="5" t="str">
        <f>"دسته جغجغه بكس درايو  1/2"</f>
        <v>دسته جغجغه بكس درايو  1/2</v>
      </c>
      <c r="D160" s="4" t="str">
        <f>""</f>
        <v/>
      </c>
      <c r="E160" s="4" t="str">
        <f t="shared" si="11"/>
        <v>عدد</v>
      </c>
      <c r="F160" s="4">
        <v>2</v>
      </c>
      <c r="G160" s="10">
        <v>650000</v>
      </c>
      <c r="H160" s="10">
        <f t="shared" si="8"/>
        <v>1300000</v>
      </c>
    </row>
    <row r="161" spans="1:8" s="2" customFormat="1" ht="24" customHeight="1">
      <c r="A161" s="6">
        <v>160</v>
      </c>
      <c r="B161" s="4" t="str">
        <f>"1200000164"</f>
        <v>1200000164</v>
      </c>
      <c r="C161" s="5" t="str">
        <f>"آچار بكس 12پر اينچي1/4-1 درايو 1/2(32ميليمتر)"</f>
        <v>آچار بكس 12پر اينچي1/4-1 درايو 1/2(32ميليمتر)</v>
      </c>
      <c r="D161" s="4" t="str">
        <f>"MITLON درايو 1/2"</f>
        <v>MITLON درايو 1/2</v>
      </c>
      <c r="E161" s="4" t="str">
        <f t="shared" si="11"/>
        <v>عدد</v>
      </c>
      <c r="F161" s="4">
        <v>2</v>
      </c>
      <c r="G161" s="10">
        <v>200000</v>
      </c>
      <c r="H161" s="10">
        <f t="shared" si="8"/>
        <v>400000</v>
      </c>
    </row>
    <row r="162" spans="1:8" s="2" customFormat="1" ht="24" customHeight="1">
      <c r="A162" s="4">
        <v>161</v>
      </c>
      <c r="B162" s="4" t="str">
        <f>"1200000165"</f>
        <v>1200000165</v>
      </c>
      <c r="C162" s="5" t="str">
        <f>"ترک متر درايو 3/8   (60-8  )N.M"</f>
        <v>ترک متر درايو 3/8   (60-8  )N.M</v>
      </c>
      <c r="D162" s="4" t="str">
        <f>"60-8  N.M  MODEL  60--NORBAR ENGLAND"</f>
        <v>60-8  N.M  MODEL  60--NORBAR ENGLAND</v>
      </c>
      <c r="E162" s="4" t="str">
        <f t="shared" si="11"/>
        <v>عدد</v>
      </c>
      <c r="F162" s="4">
        <v>30</v>
      </c>
      <c r="G162" s="10">
        <v>4500000</v>
      </c>
      <c r="H162" s="10">
        <f t="shared" si="8"/>
        <v>135000000</v>
      </c>
    </row>
    <row r="163" spans="1:8" s="2" customFormat="1" ht="24" customHeight="1">
      <c r="A163" s="4">
        <v>162</v>
      </c>
      <c r="B163" s="4" t="str">
        <f>"1200000166"</f>
        <v>1200000166</v>
      </c>
      <c r="C163" s="5" t="str">
        <f>"آچار آلن20 ميليمتر"</f>
        <v>آچار آلن20 ميليمتر</v>
      </c>
      <c r="D163" s="4" t="str">
        <f>"ELORA 20 MM"</f>
        <v>ELORA 20 MM</v>
      </c>
      <c r="E163" s="4" t="str">
        <f t="shared" si="11"/>
        <v>عدد</v>
      </c>
      <c r="F163" s="4">
        <v>1</v>
      </c>
      <c r="G163" s="10">
        <v>700000</v>
      </c>
      <c r="H163" s="10">
        <f t="shared" si="8"/>
        <v>700000</v>
      </c>
    </row>
    <row r="164" spans="1:8" s="2" customFormat="1" ht="24" customHeight="1">
      <c r="A164" s="4">
        <v>163</v>
      </c>
      <c r="B164" s="4" t="str">
        <f>"1200000167"</f>
        <v>1200000167</v>
      </c>
      <c r="C164" s="5" t="str">
        <f>"ترک متر    200-40 N.M"</f>
        <v>ترک متر    200-40 N.M</v>
      </c>
      <c r="D164" s="4" t="str">
        <f>"200-40  N.M  MODEL  20011--NORBAR"</f>
        <v>200-40  N.M  MODEL  20011--NORBAR</v>
      </c>
      <c r="E164" s="4" t="str">
        <f t="shared" si="11"/>
        <v>عدد</v>
      </c>
      <c r="F164" s="4">
        <v>25</v>
      </c>
      <c r="G164" s="10">
        <v>5500000</v>
      </c>
      <c r="H164" s="10">
        <f t="shared" si="8"/>
        <v>137500000</v>
      </c>
    </row>
    <row r="165" spans="1:8" s="2" customFormat="1" ht="24" customHeight="1">
      <c r="A165" s="6">
        <v>164</v>
      </c>
      <c r="B165" s="4" t="str">
        <f>"1200000169"</f>
        <v>1200000169</v>
      </c>
      <c r="C165" s="5" t="str">
        <f>"آچار چکش خور  تخت46ميلي متر"</f>
        <v>آچار چکش خور  تخت46ميلي متر</v>
      </c>
      <c r="D165" s="4" t="str">
        <f>"DIN  133--GEDORE"</f>
        <v>DIN  133--GEDORE</v>
      </c>
      <c r="E165" s="4" t="str">
        <f t="shared" si="11"/>
        <v>عدد</v>
      </c>
      <c r="F165" s="4">
        <v>3</v>
      </c>
      <c r="G165" s="10">
        <v>1100000</v>
      </c>
      <c r="H165" s="10">
        <f t="shared" si="8"/>
        <v>3300000</v>
      </c>
    </row>
    <row r="166" spans="1:8" s="2" customFormat="1" ht="24" customHeight="1">
      <c r="A166" s="4">
        <v>165</v>
      </c>
      <c r="B166" s="4" t="str">
        <f>"1200000170"</f>
        <v>1200000170</v>
      </c>
      <c r="C166" s="5" t="str">
        <f>"جعبه بکس اينچي-ميليمتري-43عددي"</f>
        <v>جعبه بکس اينچي-ميليمتري-43عددي</v>
      </c>
      <c r="D166" s="4" t="str">
        <f>"43عددي"</f>
        <v>43عددي</v>
      </c>
      <c r="E166" s="4" t="str">
        <f t="shared" si="11"/>
        <v>عدد</v>
      </c>
      <c r="F166" s="4">
        <v>1</v>
      </c>
      <c r="G166" s="10">
        <v>7000000</v>
      </c>
      <c r="H166" s="10">
        <f t="shared" si="8"/>
        <v>7000000</v>
      </c>
    </row>
    <row r="167" spans="1:8" s="2" customFormat="1" ht="24" customHeight="1">
      <c r="A167" s="4">
        <v>166</v>
      </c>
      <c r="B167" s="4" t="str">
        <f>"1200000171"</f>
        <v>1200000171</v>
      </c>
      <c r="C167" s="5" t="str">
        <f>"آچار چکش خور تخت 41 ميليمتر"</f>
        <v>آچار چکش خور تخت 41 ميليمتر</v>
      </c>
      <c r="D167" s="4" t="str">
        <f>"DIN  133--ELORA"</f>
        <v>DIN  133--ELORA</v>
      </c>
      <c r="E167" s="4" t="str">
        <f t="shared" si="11"/>
        <v>عدد</v>
      </c>
      <c r="F167" s="4">
        <v>8</v>
      </c>
      <c r="G167" s="10">
        <v>900000</v>
      </c>
      <c r="H167" s="10">
        <f t="shared" si="8"/>
        <v>7200000</v>
      </c>
    </row>
    <row r="168" spans="1:8" s="2" customFormat="1" ht="24" customHeight="1">
      <c r="A168" s="4">
        <v>167</v>
      </c>
      <c r="B168" s="4" t="str">
        <f>"1200000172"</f>
        <v>1200000172</v>
      </c>
      <c r="C168" s="5" t="str">
        <f>"آچار يکسرتخت يکسر رينگي 28ميليمتر"</f>
        <v>آچار يکسرتخت يکسر رينگي 28ميليمتر</v>
      </c>
      <c r="D168" s="4" t="str">
        <f>""</f>
        <v/>
      </c>
      <c r="E168" s="4" t="str">
        <f t="shared" si="11"/>
        <v>عدد</v>
      </c>
      <c r="F168" s="4">
        <v>1</v>
      </c>
      <c r="G168" s="10">
        <v>250000</v>
      </c>
      <c r="H168" s="10">
        <f t="shared" si="8"/>
        <v>250000</v>
      </c>
    </row>
    <row r="169" spans="1:8" s="2" customFormat="1" ht="24" customHeight="1">
      <c r="A169" s="6">
        <v>168</v>
      </c>
      <c r="B169" s="4" t="str">
        <f>"1200000173"</f>
        <v>1200000173</v>
      </c>
      <c r="C169" s="5" t="str">
        <f>"آچار چکش خور  تخت 32  ميليمتر"</f>
        <v>آچار چکش خور  تخت 32  ميليمتر</v>
      </c>
      <c r="D169" s="4" t="str">
        <f>"DIN   133--HEYCO"</f>
        <v>DIN   133--HEYCO</v>
      </c>
      <c r="E169" s="4" t="str">
        <f t="shared" si="11"/>
        <v>عدد</v>
      </c>
      <c r="F169" s="4">
        <v>9</v>
      </c>
      <c r="G169" s="10">
        <v>700000</v>
      </c>
      <c r="H169" s="10">
        <f t="shared" si="8"/>
        <v>6300000</v>
      </c>
    </row>
    <row r="170" spans="1:8" s="2" customFormat="1" ht="24" customHeight="1">
      <c r="A170" s="4">
        <v>169</v>
      </c>
      <c r="B170" s="4" t="str">
        <f>"1200000174"</f>
        <v>1200000174</v>
      </c>
      <c r="C170" s="5" t="str">
        <f>"آچار چکش خور تخت 30 ميليمتر"</f>
        <v>آچار چکش خور تخت 30 ميليمتر</v>
      </c>
      <c r="D170" s="4" t="str">
        <f>"DIN   133--HEYCO"</f>
        <v>DIN   133--HEYCO</v>
      </c>
      <c r="E170" s="4" t="str">
        <f t="shared" si="11"/>
        <v>عدد</v>
      </c>
      <c r="F170" s="4">
        <v>7</v>
      </c>
      <c r="G170" s="10">
        <v>750000</v>
      </c>
      <c r="H170" s="10">
        <f t="shared" si="8"/>
        <v>5250000</v>
      </c>
    </row>
    <row r="171" spans="1:8" s="2" customFormat="1" ht="24" customHeight="1">
      <c r="A171" s="4">
        <v>170</v>
      </c>
      <c r="B171" s="4" t="str">
        <f>"1200000176"</f>
        <v>1200000176</v>
      </c>
      <c r="C171" s="5" t="str">
        <f>"آچار چکش خور رينگي 41  ميليمتر"</f>
        <v>آچار چکش خور رينگي 41  ميليمتر</v>
      </c>
      <c r="D171" s="4" t="str">
        <f>"NO . 306--GEDORE"</f>
        <v>NO . 306--GEDORE</v>
      </c>
      <c r="E171" s="4" t="str">
        <f t="shared" si="11"/>
        <v>عدد</v>
      </c>
      <c r="F171" s="4">
        <v>2</v>
      </c>
      <c r="G171" s="10">
        <v>900000</v>
      </c>
      <c r="H171" s="10">
        <f t="shared" si="8"/>
        <v>1800000</v>
      </c>
    </row>
    <row r="172" spans="1:8" s="2" customFormat="1" ht="24" customHeight="1">
      <c r="A172" s="4">
        <v>171</v>
      </c>
      <c r="B172" s="4" t="str">
        <f>"1200000177"</f>
        <v>1200000177</v>
      </c>
      <c r="C172" s="5" t="str">
        <f>"آچار چکش خور تخت  36ميليمتر"</f>
        <v>آچار چکش خور تخت  36ميليمتر</v>
      </c>
      <c r="D172" s="4" t="str">
        <f>"DIN . 7444--WAGENER"</f>
        <v>DIN . 7444--WAGENER</v>
      </c>
      <c r="E172" s="4" t="str">
        <f t="shared" si="11"/>
        <v>عدد</v>
      </c>
      <c r="F172" s="4">
        <v>6</v>
      </c>
      <c r="G172" s="10">
        <v>850000</v>
      </c>
      <c r="H172" s="10">
        <f t="shared" si="8"/>
        <v>5100000</v>
      </c>
    </row>
    <row r="173" spans="1:8" s="2" customFormat="1" ht="24" customHeight="1">
      <c r="A173" s="6">
        <v>172</v>
      </c>
      <c r="B173" s="4" t="str">
        <f>"1200000178"</f>
        <v>1200000178</v>
      </c>
      <c r="C173" s="5" t="str">
        <f>"آچار چکش خور رينگي 36 ميليمتر"</f>
        <v>آچار چکش خور رينگي 36 ميليمتر</v>
      </c>
      <c r="D173" s="4" t="str">
        <f>"DIN . 7444--STAHIWILLE"</f>
        <v>DIN . 7444--STAHIWILLE</v>
      </c>
      <c r="E173" s="4" t="str">
        <f t="shared" si="11"/>
        <v>عدد</v>
      </c>
      <c r="F173" s="4">
        <v>8</v>
      </c>
      <c r="G173" s="10">
        <v>850000</v>
      </c>
      <c r="H173" s="10">
        <f t="shared" si="8"/>
        <v>6800000</v>
      </c>
    </row>
    <row r="174" spans="1:8" s="2" customFormat="1" ht="24" customHeight="1">
      <c r="A174" s="4">
        <v>173</v>
      </c>
      <c r="B174" s="4" t="str">
        <f>"1200000179"</f>
        <v>1200000179</v>
      </c>
      <c r="C174" s="5" t="str">
        <f>"آچار چکش خور رينگي 32ميليمتر"</f>
        <v>آچار چکش خور رينگي 32ميليمتر</v>
      </c>
      <c r="D174" s="4" t="str">
        <f>"DIN . 79332--STAHIWILLE"</f>
        <v>DIN . 79332--STAHIWILLE</v>
      </c>
      <c r="E174" s="4" t="str">
        <f t="shared" si="11"/>
        <v>عدد</v>
      </c>
      <c r="F174" s="4">
        <v>5</v>
      </c>
      <c r="G174" s="10">
        <v>700000</v>
      </c>
      <c r="H174" s="10">
        <f t="shared" si="8"/>
        <v>3500000</v>
      </c>
    </row>
    <row r="175" spans="1:8" s="2" customFormat="1" ht="24" customHeight="1">
      <c r="A175" s="4">
        <v>174</v>
      </c>
      <c r="B175" s="4" t="str">
        <f>"1200000180"</f>
        <v>1200000180</v>
      </c>
      <c r="C175" s="5" t="str">
        <f>"آچار چکش خور رينگي  30ميليمتر"</f>
        <v>آچار چکش خور رينگي  30ميليمتر</v>
      </c>
      <c r="D175" s="4" t="str">
        <f>"no . 306--GEDORE"</f>
        <v>no . 306--GEDORE</v>
      </c>
      <c r="E175" s="4" t="str">
        <f t="shared" si="11"/>
        <v>عدد</v>
      </c>
      <c r="F175" s="4">
        <v>2</v>
      </c>
      <c r="G175" s="10">
        <v>700000</v>
      </c>
      <c r="H175" s="10">
        <f t="shared" si="8"/>
        <v>1400000</v>
      </c>
    </row>
    <row r="176" spans="1:8" s="2" customFormat="1" ht="24" customHeight="1">
      <c r="A176" s="4">
        <v>175</v>
      </c>
      <c r="B176" s="4" t="str">
        <f>"1200000181"</f>
        <v>1200000181</v>
      </c>
      <c r="C176" s="5" t="str">
        <f>"کمان اره آهن بر با دسته دو طرفه"</f>
        <v>کمان اره آهن بر با دسته دو طرفه</v>
      </c>
      <c r="D176" s="4" t="str">
        <f>"ai - kw190001--tiwan   arca"</f>
        <v>ai - kw190001--tiwan   arca</v>
      </c>
      <c r="E176" s="4" t="str">
        <f t="shared" si="11"/>
        <v>عدد</v>
      </c>
      <c r="F176" s="4">
        <v>40</v>
      </c>
      <c r="G176" s="10">
        <v>1500000</v>
      </c>
      <c r="H176" s="10">
        <f t="shared" si="8"/>
        <v>60000000</v>
      </c>
    </row>
    <row r="177" spans="1:8" s="2" customFormat="1" ht="24" customHeight="1">
      <c r="A177" s="6">
        <v>176</v>
      </c>
      <c r="B177" s="4" t="str">
        <f>"1200000182"</f>
        <v>1200000182</v>
      </c>
      <c r="C177" s="5" t="str">
        <f>"اره چوب بري با دسته يک طرفه"</f>
        <v>اره چوب بري با دسته يک طرفه</v>
      </c>
      <c r="D177" s="4" t="str">
        <f>"jetwise--arca"</f>
        <v>jetwise--arca</v>
      </c>
      <c r="E177" s="4" t="str">
        <f t="shared" si="11"/>
        <v>عدد</v>
      </c>
      <c r="F177" s="4">
        <v>5</v>
      </c>
      <c r="G177" s="10">
        <v>400000</v>
      </c>
      <c r="H177" s="10">
        <f t="shared" si="8"/>
        <v>2000000</v>
      </c>
    </row>
    <row r="178" spans="1:8" s="2" customFormat="1" ht="24" customHeight="1">
      <c r="A178" s="4">
        <v>177</v>
      </c>
      <c r="B178" s="4" t="str">
        <f>"1200000183"</f>
        <v>1200000183</v>
      </c>
      <c r="C178" s="5" t="str">
        <f>"قيچي دسته دار خياطي (بزرگ)"</f>
        <v>قيچي دسته دار خياطي (بزرگ)</v>
      </c>
      <c r="D178" s="4" t="str">
        <f>"10-0370-250--AWS"</f>
        <v>10-0370-250--AWS</v>
      </c>
      <c r="E178" s="4" t="str">
        <f t="shared" si="11"/>
        <v>عدد</v>
      </c>
      <c r="F178" s="4">
        <v>4</v>
      </c>
      <c r="G178" s="10">
        <v>300000</v>
      </c>
      <c r="H178" s="10">
        <f t="shared" si="8"/>
        <v>1200000</v>
      </c>
    </row>
    <row r="179" spans="1:8" s="2" customFormat="1" ht="24" customHeight="1">
      <c r="A179" s="4">
        <v>178</v>
      </c>
      <c r="B179" s="4" t="str">
        <f>"1200000184"</f>
        <v>1200000184</v>
      </c>
      <c r="C179" s="5" t="str">
        <f>"آچار چکش خور  تخت  55 ميليمتر"</f>
        <v>آچار چکش خور  تخت  55 ميليمتر</v>
      </c>
      <c r="D179" s="4" t="str">
        <f>"DROP  FORGED   DIN :133--GEDORE"</f>
        <v>DROP  FORGED   DIN :133--GEDORE</v>
      </c>
      <c r="E179" s="4" t="str">
        <f t="shared" si="11"/>
        <v>عدد</v>
      </c>
      <c r="F179" s="4">
        <v>7</v>
      </c>
      <c r="G179" s="10">
        <v>1200000</v>
      </c>
      <c r="H179" s="10">
        <f t="shared" si="8"/>
        <v>8400000</v>
      </c>
    </row>
    <row r="180" spans="1:8" s="2" customFormat="1" ht="24" customHeight="1">
      <c r="A180" s="4">
        <v>179</v>
      </c>
      <c r="B180" s="4" t="str">
        <f>"1200000185"</f>
        <v>1200000185</v>
      </c>
      <c r="C180" s="5" t="str">
        <f>"آچار چکش خور  تخت 60  ميليمتر"</f>
        <v>آچار چکش خور  تخت 60  ميليمتر</v>
      </c>
      <c r="D180" s="4" t="str">
        <f>"DIN .133--GEDORE"</f>
        <v>DIN .133--GEDORE</v>
      </c>
      <c r="E180" s="4" t="str">
        <f t="shared" si="11"/>
        <v>عدد</v>
      </c>
      <c r="F180" s="4">
        <v>8</v>
      </c>
      <c r="G180" s="10">
        <v>1350000</v>
      </c>
      <c r="H180" s="10">
        <f t="shared" si="8"/>
        <v>10800000</v>
      </c>
    </row>
    <row r="181" spans="1:8" s="2" customFormat="1" ht="24" customHeight="1">
      <c r="A181" s="6">
        <v>180</v>
      </c>
      <c r="B181" s="4" t="str">
        <f>"1200000186"</f>
        <v>1200000186</v>
      </c>
      <c r="C181" s="5" t="str">
        <f>"آچار يکسرتخت يکسر رينگي 20ميليمتر"</f>
        <v>آچار يکسرتخت يکسر رينگي 20ميليمتر</v>
      </c>
      <c r="D181" s="4" t="str">
        <f>""</f>
        <v/>
      </c>
      <c r="E181" s="4" t="str">
        <f t="shared" si="11"/>
        <v>عدد</v>
      </c>
      <c r="F181" s="4">
        <v>38</v>
      </c>
      <c r="G181" s="10">
        <v>200000</v>
      </c>
      <c r="H181" s="10">
        <f t="shared" si="8"/>
        <v>7600000</v>
      </c>
    </row>
    <row r="182" spans="1:8" s="2" customFormat="1" ht="24" customHeight="1">
      <c r="A182" s="4">
        <v>181</v>
      </c>
      <c r="B182" s="4" t="str">
        <f>"1200000187"</f>
        <v>1200000187</v>
      </c>
      <c r="C182" s="5" t="str">
        <f>"آچار چکش خور  تخت 65  ميليمتر"</f>
        <v>آچار چکش خور  تخت 65  ميليمتر</v>
      </c>
      <c r="D182" s="4" t="str">
        <f>"GEDORE"</f>
        <v>GEDORE</v>
      </c>
      <c r="E182" s="4" t="str">
        <f t="shared" si="11"/>
        <v>عدد</v>
      </c>
      <c r="F182" s="4">
        <v>8</v>
      </c>
      <c r="G182" s="10">
        <v>1350000</v>
      </c>
      <c r="H182" s="10">
        <f t="shared" si="8"/>
        <v>10800000</v>
      </c>
    </row>
    <row r="183" spans="1:8" s="2" customFormat="1" ht="24" customHeight="1">
      <c r="A183" s="4">
        <v>182</v>
      </c>
      <c r="B183" s="4" t="str">
        <f>"1200000188"</f>
        <v>1200000188</v>
      </c>
      <c r="C183" s="5" t="str">
        <f>"آچار چکش خور رينگي    65 ميليمتر"</f>
        <v>آچار چکش خور رينگي    65 ميليمتر</v>
      </c>
      <c r="D183" s="4" t="str">
        <f>"NO :306--GEDORE"</f>
        <v>NO :306--GEDORE</v>
      </c>
      <c r="E183" s="4" t="str">
        <f t="shared" si="11"/>
        <v>عدد</v>
      </c>
      <c r="F183" s="4">
        <v>8</v>
      </c>
      <c r="G183" s="10">
        <v>1350000</v>
      </c>
      <c r="H183" s="10">
        <f t="shared" si="8"/>
        <v>10800000</v>
      </c>
    </row>
    <row r="184" spans="1:8" s="2" customFormat="1" ht="24" customHeight="1">
      <c r="A184" s="4">
        <v>183</v>
      </c>
      <c r="B184" s="4" t="str">
        <f>"1200000189"</f>
        <v>1200000189</v>
      </c>
      <c r="C184" s="5" t="str">
        <f>"آچار دو سر بكس6پر 26- 24ميليمتر"</f>
        <v>آچار دو سر بكس6پر 26- 24ميليمتر</v>
      </c>
      <c r="D184" s="4" t="str">
        <f>"DOWIDAT"</f>
        <v>DOWIDAT</v>
      </c>
      <c r="E184" s="4" t="str">
        <f t="shared" si="11"/>
        <v>عدد</v>
      </c>
      <c r="F184" s="4">
        <v>2</v>
      </c>
      <c r="G184" s="10">
        <v>500000</v>
      </c>
      <c r="H184" s="10">
        <f t="shared" si="8"/>
        <v>1000000</v>
      </c>
    </row>
    <row r="185" spans="1:8" s="2" customFormat="1" ht="24" customHeight="1">
      <c r="A185" s="6">
        <v>184</v>
      </c>
      <c r="B185" s="4" t="str">
        <f>"1200000190"</f>
        <v>1200000190</v>
      </c>
      <c r="C185" s="5" t="str">
        <f>"آچار چکش خور رينگي46ميليمتر"</f>
        <v>آچار چکش خور رينگي46ميليمتر</v>
      </c>
      <c r="D185" s="4" t="str">
        <f>"no : 306--GEDORE"</f>
        <v>no : 306--GEDORE</v>
      </c>
      <c r="E185" s="4" t="str">
        <f t="shared" si="11"/>
        <v>عدد</v>
      </c>
      <c r="F185" s="4">
        <v>5</v>
      </c>
      <c r="G185" s="10">
        <v>1100000</v>
      </c>
      <c r="H185" s="10">
        <f t="shared" si="8"/>
        <v>5500000</v>
      </c>
    </row>
    <row r="186" spans="1:8" s="2" customFormat="1" ht="24" customHeight="1">
      <c r="A186" s="4">
        <v>185</v>
      </c>
      <c r="B186" s="4" t="str">
        <f>"1200000191"</f>
        <v>1200000191</v>
      </c>
      <c r="C186" s="5" t="str">
        <f>"آچار چکش خور رينگي    60ميليمتر"</f>
        <v>آچار چکش خور رينگي    60ميليمتر</v>
      </c>
      <c r="D186" s="4" t="str">
        <f>"NO :306--GEDORE"</f>
        <v>NO :306--GEDORE</v>
      </c>
      <c r="E186" s="4" t="str">
        <f t="shared" si="11"/>
        <v>عدد</v>
      </c>
      <c r="F186" s="4">
        <v>7</v>
      </c>
      <c r="G186" s="10">
        <v>1300000</v>
      </c>
      <c r="H186" s="10">
        <f t="shared" si="8"/>
        <v>9100000</v>
      </c>
    </row>
    <row r="187" spans="1:8" s="2" customFormat="1" ht="24" customHeight="1">
      <c r="A187" s="4">
        <v>186</v>
      </c>
      <c r="B187" s="4" t="str">
        <f>"1200000192"</f>
        <v>1200000192</v>
      </c>
      <c r="C187" s="5" t="str">
        <f>"آچار دو سر بكس28-25 ميليمتر"</f>
        <v>آچار دو سر بكس28-25 ميليمتر</v>
      </c>
      <c r="D187" s="4" t="str">
        <f>"DOWIDAT"</f>
        <v>DOWIDAT</v>
      </c>
      <c r="E187" s="4" t="str">
        <f t="shared" si="11"/>
        <v>عدد</v>
      </c>
      <c r="F187" s="4">
        <v>1</v>
      </c>
      <c r="G187" s="10">
        <v>550000</v>
      </c>
      <c r="H187" s="10">
        <f t="shared" si="8"/>
        <v>550000</v>
      </c>
    </row>
    <row r="188" spans="1:8" s="2" customFormat="1" ht="24" customHeight="1">
      <c r="A188" s="4">
        <v>187</v>
      </c>
      <c r="B188" s="4" t="str">
        <f>"1200000193"</f>
        <v>1200000193</v>
      </c>
      <c r="C188" s="5" t="str">
        <f>"آچار چکش خور رينگي55ميليمتر"</f>
        <v>آچار چکش خور رينگي55ميليمتر</v>
      </c>
      <c r="D188" s="4" t="str">
        <f>"NO : 306--GEDORE"</f>
        <v>NO : 306--GEDORE</v>
      </c>
      <c r="E188" s="4" t="str">
        <f t="shared" si="11"/>
        <v>عدد</v>
      </c>
      <c r="F188" s="4">
        <v>2</v>
      </c>
      <c r="G188" s="10">
        <v>1200000</v>
      </c>
      <c r="H188" s="10">
        <f t="shared" si="8"/>
        <v>2400000</v>
      </c>
    </row>
    <row r="189" spans="1:8" s="2" customFormat="1" ht="24" customHeight="1">
      <c r="A189" s="6">
        <v>188</v>
      </c>
      <c r="B189" s="4" t="str">
        <f>"1200000194"</f>
        <v>1200000194</v>
      </c>
      <c r="C189" s="5" t="str">
        <f>"آچار چکش خور رينگي50ميليمتر"</f>
        <v>آچار چکش خور رينگي50ميليمتر</v>
      </c>
      <c r="D189" s="4" t="str">
        <f>"DIN : 7444--WAGNER"</f>
        <v>DIN : 7444--WAGNER</v>
      </c>
      <c r="E189" s="4" t="str">
        <f t="shared" si="11"/>
        <v>عدد</v>
      </c>
      <c r="F189" s="4">
        <v>9</v>
      </c>
      <c r="G189" s="10">
        <v>1200000</v>
      </c>
      <c r="H189" s="10">
        <f t="shared" si="8"/>
        <v>10800000</v>
      </c>
    </row>
    <row r="190" spans="1:8" s="2" customFormat="1" ht="24" customHeight="1">
      <c r="A190" s="4">
        <v>189</v>
      </c>
      <c r="B190" s="4" t="str">
        <f>"1200000195"</f>
        <v>1200000195</v>
      </c>
      <c r="C190" s="5" t="str">
        <f>"آچار يکسرتخت يکسر رينگي 23ميليمتر"</f>
        <v>آچار يکسرتخت يکسر رينگي 23ميليمتر</v>
      </c>
      <c r="D190" s="4" t="str">
        <f>""</f>
        <v/>
      </c>
      <c r="E190" s="4" t="str">
        <f t="shared" si="11"/>
        <v>عدد</v>
      </c>
      <c r="F190" s="4">
        <v>1</v>
      </c>
      <c r="G190" s="10">
        <v>250000</v>
      </c>
      <c r="H190" s="10">
        <f t="shared" si="8"/>
        <v>250000</v>
      </c>
    </row>
    <row r="191" spans="1:8" s="2" customFormat="1" ht="24" customHeight="1">
      <c r="A191" s="4">
        <v>190</v>
      </c>
      <c r="B191" s="4" t="str">
        <f>"1200000196"</f>
        <v>1200000196</v>
      </c>
      <c r="C191" s="5" t="str">
        <f>"آچار چکش  خور تخت  50 ميليمتر"</f>
        <v>آچار چکش  خور تخت  50 ميليمتر</v>
      </c>
      <c r="D191" s="4" t="str">
        <f>"DIN : 133--MATADOR"</f>
        <v>DIN : 133--MATADOR</v>
      </c>
      <c r="E191" s="4" t="str">
        <f t="shared" si="11"/>
        <v>عدد</v>
      </c>
      <c r="F191" s="4">
        <v>5</v>
      </c>
      <c r="G191" s="10">
        <v>1100000</v>
      </c>
      <c r="H191" s="10">
        <f t="shared" si="8"/>
        <v>5500000</v>
      </c>
    </row>
    <row r="192" spans="1:8" s="2" customFormat="1" ht="24" customHeight="1">
      <c r="A192" s="4">
        <v>191</v>
      </c>
      <c r="B192" s="4" t="str">
        <f>"1200000197"</f>
        <v>1200000197</v>
      </c>
      <c r="C192" s="5" t="str">
        <f>"آچار چکش خور رينگي 70ميليمتر"</f>
        <v>آچار چکش خور رينگي 70ميليمتر</v>
      </c>
      <c r="D192" s="4" t="str">
        <f>"NO : 306--GEDORE"</f>
        <v>NO : 306--GEDORE</v>
      </c>
      <c r="E192" s="4" t="str">
        <f t="shared" si="11"/>
        <v>عدد</v>
      </c>
      <c r="F192" s="4">
        <v>12</v>
      </c>
      <c r="G192" s="10">
        <v>1600000</v>
      </c>
      <c r="H192" s="10">
        <f t="shared" si="8"/>
        <v>19200000</v>
      </c>
    </row>
    <row r="193" spans="1:8" s="2" customFormat="1" ht="24" customHeight="1">
      <c r="A193" s="6">
        <v>192</v>
      </c>
      <c r="B193" s="4" t="str">
        <f>"1200000198"</f>
        <v>1200000198</v>
      </c>
      <c r="C193" s="5" t="str">
        <f>"آچار بكس 12پر اينچي11/16 درايو1/2(17ميليمتر)"</f>
        <v>آچار بكس 12پر اينچي11/16 درايو1/2(17ميليمتر)</v>
      </c>
      <c r="D193" s="4" t="str">
        <f>"SW درايو1/2"</f>
        <v>SW درايو1/2</v>
      </c>
      <c r="E193" s="4" t="str">
        <f t="shared" si="11"/>
        <v>عدد</v>
      </c>
      <c r="F193" s="4">
        <v>1</v>
      </c>
      <c r="G193" s="10">
        <v>200000</v>
      </c>
      <c r="H193" s="10">
        <f t="shared" si="8"/>
        <v>200000</v>
      </c>
    </row>
    <row r="194" spans="1:8" s="2" customFormat="1" ht="24" customHeight="1">
      <c r="A194" s="4">
        <v>193</v>
      </c>
      <c r="B194" s="4" t="str">
        <f>"1200000199"</f>
        <v>1200000199</v>
      </c>
      <c r="C194" s="5" t="str">
        <f>"آچار دو سر بكس6پر 50-46 ميليمتر"</f>
        <v>آچار دو سر بكس6پر 50-46 ميليمتر</v>
      </c>
      <c r="D194" s="4" t="str">
        <f>" DOWIDAT"</f>
        <v xml:space="preserve"> DOWIDAT</v>
      </c>
      <c r="E194" s="4" t="str">
        <f t="shared" si="11"/>
        <v>عدد</v>
      </c>
      <c r="F194" s="4">
        <v>1</v>
      </c>
      <c r="G194" s="10">
        <v>800000</v>
      </c>
      <c r="H194" s="10">
        <f t="shared" si="8"/>
        <v>800000</v>
      </c>
    </row>
    <row r="195" spans="1:8" s="2" customFormat="1" ht="24" customHeight="1">
      <c r="A195" s="4">
        <v>194</v>
      </c>
      <c r="B195" s="4" t="str">
        <f>"1200000200"</f>
        <v>1200000200</v>
      </c>
      <c r="C195" s="5" t="str">
        <f>"آچار چکش خور رينگي 75  ميليمتر"</f>
        <v>آچار چکش خور رينگي 75  ميليمتر</v>
      </c>
      <c r="D195" s="4" t="str">
        <f>"NO : 306--GEDORE"</f>
        <v>NO : 306--GEDORE</v>
      </c>
      <c r="E195" s="4" t="str">
        <f t="shared" si="11"/>
        <v>عدد</v>
      </c>
      <c r="F195" s="4">
        <v>13</v>
      </c>
      <c r="G195" s="10">
        <v>1600000</v>
      </c>
      <c r="H195" s="10">
        <f t="shared" si="8"/>
        <v>20800000</v>
      </c>
    </row>
    <row r="196" spans="1:8" s="2" customFormat="1" ht="24" customHeight="1">
      <c r="A196" s="4">
        <v>195</v>
      </c>
      <c r="B196" s="4" t="str">
        <f>"1200000201"</f>
        <v>1200000201</v>
      </c>
      <c r="C196" s="5" t="str">
        <f>"آچار دو سر بكس6پر 27-24ميليمتر"</f>
        <v>آچار دو سر بكس6پر 27-24ميليمتر</v>
      </c>
      <c r="D196" s="4" t="str">
        <f>"1__1/16   15/16 اينچ"</f>
        <v>1__1/16   15/16 اينچ</v>
      </c>
      <c r="E196" s="4" t="str">
        <f t="shared" si="11"/>
        <v>عدد</v>
      </c>
      <c r="F196" s="4">
        <v>1</v>
      </c>
      <c r="G196" s="10">
        <v>500000</v>
      </c>
      <c r="H196" s="10">
        <f t="shared" si="8"/>
        <v>500000</v>
      </c>
    </row>
    <row r="197" spans="1:8" s="2" customFormat="1" ht="24" customHeight="1">
      <c r="A197" s="6">
        <v>196</v>
      </c>
      <c r="B197" s="4" t="str">
        <f>"1200000202"</f>
        <v>1200000202</v>
      </c>
      <c r="C197" s="5" t="str">
        <f>"آچار يکسرتخت يکسر رينگي 25ميليمتر"</f>
        <v>آچار يکسرتخت يکسر رينگي 25ميليمتر</v>
      </c>
      <c r="D197" s="4" t="str">
        <f>""</f>
        <v/>
      </c>
      <c r="E197" s="4" t="str">
        <f t="shared" si="11"/>
        <v>عدد</v>
      </c>
      <c r="F197" s="4">
        <v>1</v>
      </c>
      <c r="G197" s="10">
        <v>250000</v>
      </c>
      <c r="H197" s="10">
        <f t="shared" ref="H197:H260" si="12">F197*G197</f>
        <v>250000</v>
      </c>
    </row>
    <row r="198" spans="1:8" s="2" customFormat="1" ht="24" customHeight="1">
      <c r="A198" s="4">
        <v>197</v>
      </c>
      <c r="B198" s="4" t="str">
        <f>"1200000203"</f>
        <v>1200000203</v>
      </c>
      <c r="C198" s="5" t="str">
        <f>"آچار چکش خور رينگي 80ميليمتر"</f>
        <v>آچار چکش خور رينگي 80ميليمتر</v>
      </c>
      <c r="D198" s="4" t="str">
        <f>"DIN :7444--HEYCO"</f>
        <v>DIN :7444--HEYCO</v>
      </c>
      <c r="E198" s="4" t="str">
        <f t="shared" si="11"/>
        <v>عدد</v>
      </c>
      <c r="F198" s="4">
        <v>12</v>
      </c>
      <c r="G198" s="10">
        <v>1800000</v>
      </c>
      <c r="H198" s="10">
        <f t="shared" si="12"/>
        <v>21600000</v>
      </c>
    </row>
    <row r="199" spans="1:8" s="2" customFormat="1" ht="24" customHeight="1">
      <c r="A199" s="4">
        <v>198</v>
      </c>
      <c r="B199" s="4" t="str">
        <f>"1200000204"</f>
        <v>1200000204</v>
      </c>
      <c r="C199" s="5" t="str">
        <f>"آچار دو سر بكس6پر 27-32 ميليمتر"</f>
        <v>آچار دو سر بكس6پر 27-32 ميليمتر</v>
      </c>
      <c r="D199" s="4" t="str">
        <f>"DIN : 7444--WALTER"</f>
        <v>DIN : 7444--WALTER</v>
      </c>
      <c r="E199" s="4" t="str">
        <f t="shared" si="11"/>
        <v>عدد</v>
      </c>
      <c r="F199" s="4">
        <v>3</v>
      </c>
      <c r="G199" s="10">
        <v>600000</v>
      </c>
      <c r="H199" s="10">
        <f t="shared" si="12"/>
        <v>1800000</v>
      </c>
    </row>
    <row r="200" spans="1:8" s="2" customFormat="1" ht="24" customHeight="1">
      <c r="A200" s="4">
        <v>199</v>
      </c>
      <c r="B200" s="4" t="str">
        <f>"1200000205"</f>
        <v>1200000205</v>
      </c>
      <c r="C200" s="5" t="str">
        <f>"آچار آلن 19 ميليمتر"</f>
        <v>آچار آلن 19 ميليمتر</v>
      </c>
      <c r="D200" s="4" t="str">
        <f>"W . GERMANY تكي"</f>
        <v>W . GERMANY تكي</v>
      </c>
      <c r="E200" s="4" t="str">
        <f>"ست"</f>
        <v>ست</v>
      </c>
      <c r="F200" s="4">
        <v>1</v>
      </c>
      <c r="G200" s="10">
        <v>700000</v>
      </c>
      <c r="H200" s="10">
        <f t="shared" si="12"/>
        <v>700000</v>
      </c>
    </row>
    <row r="201" spans="1:8" s="2" customFormat="1" ht="24" customHeight="1">
      <c r="A201" s="6">
        <v>200</v>
      </c>
      <c r="B201" s="4" t="str">
        <f>"1200000206"</f>
        <v>1200000206</v>
      </c>
      <c r="C201" s="5" t="str">
        <f>"آچار دو سر بكس6پر 32-30 ميليمتر"</f>
        <v>آچار دو سر بكس6پر 32-30 ميليمتر</v>
      </c>
      <c r="D201" s="4" t="str">
        <f>""</f>
        <v/>
      </c>
      <c r="E201" s="4" t="str">
        <f t="shared" ref="E201:E223" si="13">"عدد"</f>
        <v>عدد</v>
      </c>
      <c r="F201" s="4">
        <v>1</v>
      </c>
      <c r="G201" s="10">
        <v>350000</v>
      </c>
      <c r="H201" s="10">
        <f t="shared" si="12"/>
        <v>350000</v>
      </c>
    </row>
    <row r="202" spans="1:8" s="2" customFormat="1" ht="24" customHeight="1">
      <c r="A202" s="4">
        <v>201</v>
      </c>
      <c r="B202" s="4" t="str">
        <f>"1200000207"</f>
        <v>1200000207</v>
      </c>
      <c r="C202" s="5" t="str">
        <f>"آچار چکش خور رينگي(85ميليمتر)3/8_3 اينچ"</f>
        <v>آچار چکش خور رينگي(85ميليمتر)3/8_3 اينچ</v>
      </c>
      <c r="D202" s="4" t="str">
        <f>"DIN : 7444--MATADOR"</f>
        <v>DIN : 7444--MATADOR</v>
      </c>
      <c r="E202" s="4" t="str">
        <f t="shared" si="13"/>
        <v>عدد</v>
      </c>
      <c r="F202" s="4">
        <v>8</v>
      </c>
      <c r="G202" s="10">
        <v>1800000</v>
      </c>
      <c r="H202" s="10">
        <f t="shared" si="12"/>
        <v>14400000</v>
      </c>
    </row>
    <row r="203" spans="1:8" s="2" customFormat="1" ht="24" customHeight="1">
      <c r="A203" s="4">
        <v>202</v>
      </c>
      <c r="B203" s="4" t="str">
        <f>"1200000208"</f>
        <v>1200000208</v>
      </c>
      <c r="C203" s="5" t="str">
        <f>"آچار چکش خور تخت85 ميليمتر"</f>
        <v>آچار چکش خور تخت85 ميليمتر</v>
      </c>
      <c r="D203" s="4" t="str">
        <f>"DIN : 133--WALTER"</f>
        <v>DIN : 133--WALTER</v>
      </c>
      <c r="E203" s="4" t="str">
        <f t="shared" si="13"/>
        <v>عدد</v>
      </c>
      <c r="F203" s="4">
        <v>4</v>
      </c>
      <c r="G203" s="10">
        <v>1800000</v>
      </c>
      <c r="H203" s="10">
        <f t="shared" si="12"/>
        <v>7200000</v>
      </c>
    </row>
    <row r="204" spans="1:8" s="2" customFormat="1" ht="24" customHeight="1">
      <c r="A204" s="4">
        <v>203</v>
      </c>
      <c r="B204" s="4" t="str">
        <f>"1200000209"</f>
        <v>1200000209</v>
      </c>
      <c r="C204" s="5" t="str">
        <f>"آچار چکش خور  تخت 80 ميليمتر"</f>
        <v>آچار چکش خور  تخت 80 ميليمتر</v>
      </c>
      <c r="D204" s="4" t="str">
        <f>"DIN :133--GEDORE"</f>
        <v>DIN :133--GEDORE</v>
      </c>
      <c r="E204" s="4" t="str">
        <f t="shared" si="13"/>
        <v>عدد</v>
      </c>
      <c r="F204" s="4">
        <v>10</v>
      </c>
      <c r="G204" s="10">
        <v>1800000</v>
      </c>
      <c r="H204" s="10">
        <f t="shared" si="12"/>
        <v>18000000</v>
      </c>
    </row>
    <row r="205" spans="1:8" s="2" customFormat="1" ht="24" customHeight="1">
      <c r="A205" s="6">
        <v>204</v>
      </c>
      <c r="B205" s="4" t="str">
        <f>"1200000210"</f>
        <v>1200000210</v>
      </c>
      <c r="C205" s="5" t="str">
        <f>"آچار چکش خور  تخت 70ميليمتر"</f>
        <v>آچار چکش خور  تخت 70ميليمتر</v>
      </c>
      <c r="D205" s="4" t="str">
        <f>"DIN : 133--GEDORE"</f>
        <v>DIN : 133--GEDORE</v>
      </c>
      <c r="E205" s="4" t="str">
        <f t="shared" si="13"/>
        <v>عدد</v>
      </c>
      <c r="F205" s="4">
        <v>11</v>
      </c>
      <c r="G205" s="10">
        <v>1600000</v>
      </c>
      <c r="H205" s="10">
        <f t="shared" si="12"/>
        <v>17600000</v>
      </c>
    </row>
    <row r="206" spans="1:8" s="2" customFormat="1" ht="24" customHeight="1">
      <c r="A206" s="4">
        <v>205</v>
      </c>
      <c r="B206" s="4" t="str">
        <f>"1200000211"</f>
        <v>1200000211</v>
      </c>
      <c r="C206" s="5" t="str">
        <f>"آچار چکش خور  تخت 75ميليمتر"</f>
        <v>آچار چکش خور  تخت 75ميليمتر</v>
      </c>
      <c r="D206" s="4" t="str">
        <f>"DIN . 133--GEDORE"</f>
        <v>DIN . 133--GEDORE</v>
      </c>
      <c r="E206" s="4" t="str">
        <f t="shared" si="13"/>
        <v>عدد</v>
      </c>
      <c r="F206" s="4">
        <v>11</v>
      </c>
      <c r="G206" s="10">
        <v>1600000</v>
      </c>
      <c r="H206" s="10">
        <f t="shared" si="12"/>
        <v>17600000</v>
      </c>
    </row>
    <row r="207" spans="1:8" s="2" customFormat="1" ht="24" customHeight="1">
      <c r="A207" s="4">
        <v>206</v>
      </c>
      <c r="B207" s="4" t="str">
        <f>"1200000212"</f>
        <v>1200000212</v>
      </c>
      <c r="C207" s="5" t="str">
        <f>"گيره چوب 120سانتي"</f>
        <v>گيره چوب 120سانتي</v>
      </c>
      <c r="D207" s="4" t="str">
        <f>""</f>
        <v/>
      </c>
      <c r="E207" s="4" t="str">
        <f t="shared" si="13"/>
        <v>عدد</v>
      </c>
      <c r="F207" s="4">
        <v>2</v>
      </c>
      <c r="G207" s="10">
        <v>700000</v>
      </c>
      <c r="H207" s="10">
        <f t="shared" si="12"/>
        <v>1400000</v>
      </c>
    </row>
    <row r="208" spans="1:8" s="2" customFormat="1" ht="24" customHeight="1">
      <c r="A208" s="4">
        <v>207</v>
      </c>
      <c r="B208" s="4" t="str">
        <f>"1200000213"</f>
        <v>1200000213</v>
      </c>
      <c r="C208" s="5" t="str">
        <f>"آچار چکش خور  تخت 100ميليمتر"</f>
        <v>آچار چکش خور  تخت 100ميليمتر</v>
      </c>
      <c r="D208" s="4" t="str">
        <f>"DIN :133--WALTER"</f>
        <v>DIN :133--WALTER</v>
      </c>
      <c r="E208" s="4" t="str">
        <f t="shared" si="13"/>
        <v>عدد</v>
      </c>
      <c r="F208" s="4">
        <v>5</v>
      </c>
      <c r="G208" s="10">
        <v>2300000</v>
      </c>
      <c r="H208" s="10">
        <f t="shared" si="12"/>
        <v>11500000</v>
      </c>
    </row>
    <row r="209" spans="1:8" s="2" customFormat="1" ht="24" customHeight="1">
      <c r="A209" s="6">
        <v>208</v>
      </c>
      <c r="B209" s="4" t="str">
        <f>"1200000214"</f>
        <v>1200000214</v>
      </c>
      <c r="C209" s="5" t="str">
        <f>"آچار يكسرتخت يكسررينگي 6ميليمتر"</f>
        <v>آچار يكسرتخت يكسررينگي 6ميليمتر</v>
      </c>
      <c r="D209" s="4" t="str">
        <f>"padre-din3113"</f>
        <v>padre-din3113</v>
      </c>
      <c r="E209" s="4" t="str">
        <f t="shared" si="13"/>
        <v>عدد</v>
      </c>
      <c r="F209" s="4">
        <v>36</v>
      </c>
      <c r="G209" s="10">
        <v>80000</v>
      </c>
      <c r="H209" s="10">
        <f t="shared" si="12"/>
        <v>2880000</v>
      </c>
    </row>
    <row r="210" spans="1:8" s="2" customFormat="1" ht="24" customHeight="1">
      <c r="A210" s="4">
        <v>209</v>
      </c>
      <c r="B210" s="4" t="str">
        <f>"1200000215"</f>
        <v>1200000215</v>
      </c>
      <c r="C210" s="5" t="str">
        <f>"آچار دو سر شمعي 6پر36-32 ميليمتر"</f>
        <v>آچار دو سر شمعي 6پر36-32 ميليمتر</v>
      </c>
      <c r="D210" s="4" t="str">
        <f>"DOWIDAT"</f>
        <v>DOWIDAT</v>
      </c>
      <c r="E210" s="4" t="str">
        <f t="shared" si="13"/>
        <v>عدد</v>
      </c>
      <c r="F210" s="4">
        <v>1</v>
      </c>
      <c r="G210" s="10">
        <v>900000</v>
      </c>
      <c r="H210" s="10">
        <f t="shared" si="12"/>
        <v>900000</v>
      </c>
    </row>
    <row r="211" spans="1:8" s="2" customFormat="1" ht="24" customHeight="1">
      <c r="A211" s="4">
        <v>210</v>
      </c>
      <c r="B211" s="4" t="str">
        <f>"1200000217"</f>
        <v>1200000217</v>
      </c>
      <c r="C211" s="5" t="str">
        <f>"گيره چوب يک متري"</f>
        <v>گيره چوب يک متري</v>
      </c>
      <c r="D211" s="4" t="str">
        <f>"DIN :7444--"</f>
        <v>DIN :7444--</v>
      </c>
      <c r="E211" s="4" t="str">
        <f t="shared" si="13"/>
        <v>عدد</v>
      </c>
      <c r="F211" s="4">
        <v>1</v>
      </c>
      <c r="G211" s="10">
        <v>750000</v>
      </c>
      <c r="H211" s="10">
        <f t="shared" si="12"/>
        <v>750000</v>
      </c>
    </row>
    <row r="212" spans="1:8" s="2" customFormat="1" ht="24" customHeight="1">
      <c r="A212" s="4">
        <v>211</v>
      </c>
      <c r="B212" s="4" t="str">
        <f>"1200000218"</f>
        <v>1200000218</v>
      </c>
      <c r="C212" s="5" t="str">
        <f>"آچار چکش خور رينگي 95 ميليمتر"</f>
        <v>آچار چکش خور رينگي 95 ميليمتر</v>
      </c>
      <c r="D212" s="4" t="str">
        <f>"254--USA G"</f>
        <v>254--USA G</v>
      </c>
      <c r="E212" s="4" t="str">
        <f t="shared" si="13"/>
        <v>عدد</v>
      </c>
      <c r="F212" s="4">
        <v>10</v>
      </c>
      <c r="G212" s="10">
        <v>2100000</v>
      </c>
      <c r="H212" s="10">
        <f t="shared" si="12"/>
        <v>21000000</v>
      </c>
    </row>
    <row r="213" spans="1:8" s="2" customFormat="1" ht="24" customHeight="1">
      <c r="A213" s="6">
        <v>212</v>
      </c>
      <c r="B213" s="4" t="str">
        <f>"1200000219"</f>
        <v>1200000219</v>
      </c>
      <c r="C213" s="5" t="str">
        <f>"گيره چوب 50سانتي متري"</f>
        <v>گيره چوب 50سانتي متري</v>
      </c>
      <c r="D213" s="4" t="str">
        <f>""</f>
        <v/>
      </c>
      <c r="E213" s="4" t="str">
        <f t="shared" si="13"/>
        <v>عدد</v>
      </c>
      <c r="F213" s="4">
        <v>2</v>
      </c>
      <c r="G213" s="10">
        <v>550000</v>
      </c>
      <c r="H213" s="10">
        <f t="shared" si="12"/>
        <v>1100000</v>
      </c>
    </row>
    <row r="214" spans="1:8" s="2" customFormat="1" ht="24" customHeight="1">
      <c r="A214" s="4">
        <v>213</v>
      </c>
      <c r="B214" s="4" t="str">
        <f>"1200000220"</f>
        <v>1200000220</v>
      </c>
      <c r="C214" s="5" t="str">
        <f>"چكش 400 گرمي دسته چوبي"</f>
        <v>چكش 400 گرمي دسته چوبي</v>
      </c>
      <c r="D214" s="4" t="str">
        <f>"ايران پتك"</f>
        <v>ايران پتك</v>
      </c>
      <c r="E214" s="4" t="str">
        <f t="shared" si="13"/>
        <v>عدد</v>
      </c>
      <c r="F214" s="4">
        <v>1</v>
      </c>
      <c r="G214" s="10">
        <v>200000</v>
      </c>
      <c r="H214" s="10">
        <f t="shared" si="12"/>
        <v>200000</v>
      </c>
    </row>
    <row r="215" spans="1:8" s="2" customFormat="1" ht="24" customHeight="1">
      <c r="A215" s="4">
        <v>214</v>
      </c>
      <c r="B215" s="4" t="str">
        <f>"1200000221"</f>
        <v>1200000221</v>
      </c>
      <c r="C215" s="5" t="str">
        <f>"آچار يكسرتخت يكسررينگي 7ميليمتر"</f>
        <v>آچار يكسرتخت يكسررينگي 7ميليمتر</v>
      </c>
      <c r="D215" s="4" t="str">
        <f>"padre-din-3113"</f>
        <v>padre-din-3113</v>
      </c>
      <c r="E215" s="4" t="str">
        <f t="shared" si="13"/>
        <v>عدد</v>
      </c>
      <c r="F215" s="4">
        <v>36</v>
      </c>
      <c r="G215" s="10">
        <v>80000</v>
      </c>
      <c r="H215" s="10">
        <f t="shared" si="12"/>
        <v>2880000</v>
      </c>
    </row>
    <row r="216" spans="1:8" s="2" customFormat="1" ht="24" customHeight="1">
      <c r="A216" s="4">
        <v>215</v>
      </c>
      <c r="B216" s="4" t="str">
        <f>"1200000222"</f>
        <v>1200000222</v>
      </c>
      <c r="C216" s="5" t="str">
        <f>"آچار بكس 12پر اينچي13/16 اينچ درايو 1/2(21ميليمتر)"</f>
        <v>آچار بكس 12پر اينچي13/16 اينچ درايو 1/2(21ميليمتر)</v>
      </c>
      <c r="D216" s="4" t="str">
        <f>"USA درايو1/2"</f>
        <v>USA درايو1/2</v>
      </c>
      <c r="E216" s="4" t="str">
        <f t="shared" si="13"/>
        <v>عدد</v>
      </c>
      <c r="F216" s="4">
        <v>1</v>
      </c>
      <c r="G216" s="10">
        <v>150000</v>
      </c>
      <c r="H216" s="10">
        <f t="shared" si="12"/>
        <v>150000</v>
      </c>
    </row>
    <row r="217" spans="1:8" s="2" customFormat="1" ht="24" customHeight="1">
      <c r="A217" s="6">
        <v>216</v>
      </c>
      <c r="B217" s="4" t="str">
        <f>"1200000223"</f>
        <v>1200000223</v>
      </c>
      <c r="C217" s="5" t="str">
        <f>"آچار چکش خور  تخت 90  ميليمتر"</f>
        <v>آچار چکش خور  تخت 90  ميليمتر</v>
      </c>
      <c r="D217" s="4" t="str">
        <f>"NO : 133--ELORA"</f>
        <v>NO : 133--ELORA</v>
      </c>
      <c r="E217" s="4" t="str">
        <f t="shared" si="13"/>
        <v>عدد</v>
      </c>
      <c r="F217" s="4">
        <v>9</v>
      </c>
      <c r="G217" s="10">
        <v>2000000</v>
      </c>
      <c r="H217" s="10">
        <f t="shared" si="12"/>
        <v>18000000</v>
      </c>
    </row>
    <row r="218" spans="1:8" s="2" customFormat="1" ht="24" customHeight="1">
      <c r="A218" s="4">
        <v>217</v>
      </c>
      <c r="B218" s="4" t="str">
        <f>"1200000224"</f>
        <v>1200000224</v>
      </c>
      <c r="C218" s="5" t="str">
        <f>"آچار چکش خور  تخت 95 ميليمتر"</f>
        <v>آچار چکش خور  تخت 95 ميليمتر</v>
      </c>
      <c r="D218" s="4" t="str">
        <f>"NO :133--SANAVIK"</f>
        <v>NO :133--SANAVIK</v>
      </c>
      <c r="E218" s="4" t="str">
        <f t="shared" si="13"/>
        <v>عدد</v>
      </c>
      <c r="F218" s="4">
        <v>12</v>
      </c>
      <c r="G218" s="10">
        <v>2100000</v>
      </c>
      <c r="H218" s="10">
        <f t="shared" si="12"/>
        <v>25200000</v>
      </c>
    </row>
    <row r="219" spans="1:8" s="2" customFormat="1" ht="24" customHeight="1">
      <c r="A219" s="4">
        <v>218</v>
      </c>
      <c r="B219" s="4" t="str">
        <f>"1200000225"</f>
        <v>1200000225</v>
      </c>
      <c r="C219" s="5" t="str">
        <f>"آچار بكس 12پر اينچي3/4اينچ درايو3/4(19ميليمتر)"</f>
        <v>آچار بكس 12پر اينچي3/4اينچ درايو3/4(19ميليمتر)</v>
      </c>
      <c r="D219" s="4" t="str">
        <f>"Snap-on درايو1/2"</f>
        <v>Snap-on درايو1/2</v>
      </c>
      <c r="E219" s="4" t="str">
        <f t="shared" si="13"/>
        <v>عدد</v>
      </c>
      <c r="F219" s="4">
        <v>1</v>
      </c>
      <c r="G219" s="10">
        <v>300000</v>
      </c>
      <c r="H219" s="10">
        <f t="shared" si="12"/>
        <v>300000</v>
      </c>
    </row>
    <row r="220" spans="1:8" s="2" customFormat="1" ht="24" customHeight="1">
      <c r="A220" s="4">
        <v>219</v>
      </c>
      <c r="B220" s="4" t="str">
        <f>"1200000226"</f>
        <v>1200000226</v>
      </c>
      <c r="C220" s="5" t="str">
        <f>"آچار بكس 12پر اينچي 1اينچ درايو1/2(25ميليمتر)"</f>
        <v>آچار بكس 12پر اينچي 1اينچ درايو1/2(25ميليمتر)</v>
      </c>
      <c r="D220" s="4" t="str">
        <f>"درايو 1/2"</f>
        <v>درايو 1/2</v>
      </c>
      <c r="E220" s="4" t="str">
        <f t="shared" si="13"/>
        <v>عدد</v>
      </c>
      <c r="F220" s="4">
        <v>2</v>
      </c>
      <c r="G220" s="10">
        <v>200000</v>
      </c>
      <c r="H220" s="10">
        <f t="shared" si="12"/>
        <v>400000</v>
      </c>
    </row>
    <row r="221" spans="1:8" s="2" customFormat="1" ht="24" customHeight="1">
      <c r="A221" s="6">
        <v>220</v>
      </c>
      <c r="B221" s="4" t="str">
        <f>"1200000227"</f>
        <v>1200000227</v>
      </c>
      <c r="C221" s="5" t="str">
        <f>"آچار چکش خور  تخت 120ميلي متر"</f>
        <v>آچار چکش خور  تخت 120ميلي متر</v>
      </c>
      <c r="D221" s="4" t="str">
        <f>"DROP FORGED 84268--NETSUREN"</f>
        <v>DROP FORGED 84268--NETSUREN</v>
      </c>
      <c r="E221" s="4" t="str">
        <f t="shared" si="13"/>
        <v>عدد</v>
      </c>
      <c r="F221" s="4">
        <v>1</v>
      </c>
      <c r="G221" s="10">
        <v>2700000</v>
      </c>
      <c r="H221" s="10">
        <f t="shared" si="12"/>
        <v>2700000</v>
      </c>
    </row>
    <row r="222" spans="1:8" s="2" customFormat="1" ht="24" customHeight="1">
      <c r="A222" s="4">
        <v>221</v>
      </c>
      <c r="B222" s="4" t="str">
        <f>"1200000228"</f>
        <v>1200000228</v>
      </c>
      <c r="C222" s="5" t="str">
        <f>"فازمتر"</f>
        <v>فازمتر</v>
      </c>
      <c r="D222" s="4" t="str">
        <f>"100-500 V   SP 214--OSARAM"</f>
        <v>100-500 V   SP 214--OSARAM</v>
      </c>
      <c r="E222" s="4" t="str">
        <f t="shared" si="13"/>
        <v>عدد</v>
      </c>
      <c r="F222" s="4">
        <v>26</v>
      </c>
      <c r="G222" s="10">
        <v>100000</v>
      </c>
      <c r="H222" s="10">
        <f t="shared" si="12"/>
        <v>2600000</v>
      </c>
    </row>
    <row r="223" spans="1:8" s="2" customFormat="1" ht="24" customHeight="1">
      <c r="A223" s="4">
        <v>222</v>
      </c>
      <c r="B223" s="4" t="str">
        <f>"1200000229"</f>
        <v>1200000229</v>
      </c>
      <c r="C223" s="5" t="str">
        <f>"چاقوي کابل بري -عايق دار (استيل )"</f>
        <v>چاقوي کابل بري -عايق دار (استيل )</v>
      </c>
      <c r="D223" s="4" t="str">
        <f>"OLIOEN--ROSTFREL"</f>
        <v>OLIOEN--ROSTFREL</v>
      </c>
      <c r="E223" s="4" t="str">
        <f t="shared" si="13"/>
        <v>عدد</v>
      </c>
      <c r="F223" s="4">
        <v>1</v>
      </c>
      <c r="G223" s="10">
        <v>350000</v>
      </c>
      <c r="H223" s="10">
        <f t="shared" si="12"/>
        <v>350000</v>
      </c>
    </row>
    <row r="224" spans="1:8" s="2" customFormat="1" ht="24" customHeight="1">
      <c r="A224" s="4">
        <v>223</v>
      </c>
      <c r="B224" s="4" t="str">
        <f>"1200000230"</f>
        <v>1200000230</v>
      </c>
      <c r="C224" s="5" t="str">
        <f>"دستگاه پلمپ زن (عايق دار)"</f>
        <v>دستگاه پلمپ زن (عايق دار)</v>
      </c>
      <c r="D224" s="4" t="str">
        <f>"MAHDI"</f>
        <v>MAHDI</v>
      </c>
      <c r="E224" s="4" t="str">
        <f>"دستگاه"</f>
        <v>دستگاه</v>
      </c>
      <c r="F224" s="4">
        <v>7</v>
      </c>
      <c r="G224" s="10">
        <v>250000</v>
      </c>
      <c r="H224" s="10">
        <f t="shared" si="12"/>
        <v>1750000</v>
      </c>
    </row>
    <row r="225" spans="1:8" s="2" customFormat="1" ht="24" customHeight="1">
      <c r="A225" s="6">
        <v>224</v>
      </c>
      <c r="B225" s="4" t="str">
        <f>"1200000231"</f>
        <v>1200000231</v>
      </c>
      <c r="C225" s="5" t="str">
        <f>"سوهان سه گوش 35 سانتي بدون دسته"</f>
        <v>سوهان سه گوش 35 سانتي بدون دسته</v>
      </c>
      <c r="D225" s="4" t="str">
        <f>"بدون دسته"</f>
        <v>بدون دسته</v>
      </c>
      <c r="E225" s="4" t="str">
        <f t="shared" ref="E225:E237" si="14">"عدد"</f>
        <v>عدد</v>
      </c>
      <c r="F225" s="4">
        <v>1</v>
      </c>
      <c r="G225" s="10">
        <v>300000</v>
      </c>
      <c r="H225" s="10">
        <f t="shared" si="12"/>
        <v>300000</v>
      </c>
    </row>
    <row r="226" spans="1:8" s="2" customFormat="1" ht="24" customHeight="1">
      <c r="A226" s="4">
        <v>225</v>
      </c>
      <c r="B226" s="4" t="str">
        <f>"1200000232"</f>
        <v>1200000232</v>
      </c>
      <c r="C226" s="5" t="str">
        <f>"قيچي کابل بري عايق دار"</f>
        <v>قيچي کابل بري عايق دار</v>
      </c>
      <c r="D226" s="4" t="str">
        <f>"724-39-330-  30MM  -150 MM--SALTUS"</f>
        <v>724-39-330-  30MM  -150 MM--SALTUS</v>
      </c>
      <c r="E226" s="4" t="str">
        <f t="shared" si="14"/>
        <v>عدد</v>
      </c>
      <c r="F226" s="4">
        <v>4</v>
      </c>
      <c r="G226" s="10">
        <v>1500000</v>
      </c>
      <c r="H226" s="10">
        <f t="shared" si="12"/>
        <v>6000000</v>
      </c>
    </row>
    <row r="227" spans="1:8" s="2" customFormat="1" ht="24" customHeight="1">
      <c r="A227" s="4">
        <v>226</v>
      </c>
      <c r="B227" s="4" t="str">
        <f>"1200000233"</f>
        <v>1200000233</v>
      </c>
      <c r="C227" s="5" t="str">
        <f>"پرس کابلشو  (سوکت تلفن)"</f>
        <v>پرس کابلشو  (سوکت تلفن)</v>
      </c>
      <c r="D227" s="4" t="str">
        <f>"CP-376-TR  4P-6P-8P--PROSKIT"</f>
        <v>CP-376-TR  4P-6P-8P--PROSKIT</v>
      </c>
      <c r="E227" s="4" t="str">
        <f t="shared" si="14"/>
        <v>عدد</v>
      </c>
      <c r="F227" s="4">
        <v>1</v>
      </c>
      <c r="G227" s="10">
        <v>800000</v>
      </c>
      <c r="H227" s="10">
        <f t="shared" si="12"/>
        <v>800000</v>
      </c>
    </row>
    <row r="228" spans="1:8" s="2" customFormat="1" ht="24" customHeight="1">
      <c r="A228" s="4">
        <v>227</v>
      </c>
      <c r="B228" s="4" t="str">
        <f>"1200000234"</f>
        <v>1200000234</v>
      </c>
      <c r="C228" s="5" t="str">
        <f>"پرس کابلشو"</f>
        <v>پرس کابلشو</v>
      </c>
      <c r="D228" s="4" t="str">
        <f>"1.5 MM -2.5 MM -6 MM  --YT -7"</f>
        <v>1.5 MM -2.5 MM -6 MM  --YT -7</v>
      </c>
      <c r="E228" s="4" t="str">
        <f t="shared" si="14"/>
        <v>عدد</v>
      </c>
      <c r="F228" s="4">
        <v>10</v>
      </c>
      <c r="G228" s="10">
        <v>800000</v>
      </c>
      <c r="H228" s="10">
        <f t="shared" si="12"/>
        <v>8000000</v>
      </c>
    </row>
    <row r="229" spans="1:8" s="2" customFormat="1" ht="24" customHeight="1">
      <c r="A229" s="6">
        <v>228</v>
      </c>
      <c r="B229" s="4" t="str">
        <f>"1200000235"</f>
        <v>1200000235</v>
      </c>
      <c r="C229" s="5" t="str">
        <f>"گيره چوب 2 متري"</f>
        <v>گيره چوب 2 متري</v>
      </c>
      <c r="D229" s="4" t="str">
        <f>"2000 MM--PERSIA"</f>
        <v>2000 MM--PERSIA</v>
      </c>
      <c r="E229" s="4" t="str">
        <f t="shared" si="14"/>
        <v>عدد</v>
      </c>
      <c r="F229" s="4">
        <v>1</v>
      </c>
      <c r="G229" s="10">
        <v>1400000</v>
      </c>
      <c r="H229" s="10">
        <f t="shared" si="12"/>
        <v>1400000</v>
      </c>
    </row>
    <row r="230" spans="1:8" s="2" customFormat="1" ht="24" customHeight="1">
      <c r="A230" s="4">
        <v>229</v>
      </c>
      <c r="B230" s="4" t="str">
        <f>"1200000236"</f>
        <v>1200000236</v>
      </c>
      <c r="C230" s="5" t="str">
        <f>"گيره چوب 1.5 متري"</f>
        <v>گيره چوب 1.5 متري</v>
      </c>
      <c r="D230" s="4" t="str">
        <f>"600 MM--PERSIA"</f>
        <v>600 MM--PERSIA</v>
      </c>
      <c r="E230" s="4" t="str">
        <f t="shared" si="14"/>
        <v>عدد</v>
      </c>
      <c r="F230" s="4">
        <v>2</v>
      </c>
      <c r="G230" s="10">
        <v>1000000</v>
      </c>
      <c r="H230" s="10">
        <f t="shared" si="12"/>
        <v>2000000</v>
      </c>
    </row>
    <row r="231" spans="1:8" s="2" customFormat="1" ht="24" customHeight="1">
      <c r="A231" s="4">
        <v>230</v>
      </c>
      <c r="B231" s="4" t="str">
        <f>"1200000237"</f>
        <v>1200000237</v>
      </c>
      <c r="C231" s="5" t="str">
        <f>"گيره چوب 30 سانتي متري"</f>
        <v>گيره چوب 30 سانتي متري</v>
      </c>
      <c r="D231" s="4" t="str">
        <f>"300 MM--PERSIA"</f>
        <v>300 MM--PERSIA</v>
      </c>
      <c r="E231" s="4" t="str">
        <f t="shared" si="14"/>
        <v>عدد</v>
      </c>
      <c r="F231" s="4">
        <v>5</v>
      </c>
      <c r="G231" s="10">
        <v>400000</v>
      </c>
      <c r="H231" s="10">
        <f t="shared" si="12"/>
        <v>2000000</v>
      </c>
    </row>
    <row r="232" spans="1:8" s="2" customFormat="1" ht="24" customHeight="1">
      <c r="A232" s="4">
        <v>231</v>
      </c>
      <c r="B232" s="4" t="str">
        <f>"1200000238"</f>
        <v>1200000238</v>
      </c>
      <c r="C232" s="5" t="str">
        <f>"انبر دست  عايق دار 8 اينچ"</f>
        <v>انبر دست  عايق دار 8 اينچ</v>
      </c>
      <c r="D232" s="4" t="str">
        <f>"1000 V -   8اينچ--ARCA"</f>
        <v>1000 V -   8اينچ--ARCA</v>
      </c>
      <c r="E232" s="4" t="str">
        <f t="shared" si="14"/>
        <v>عدد</v>
      </c>
      <c r="F232" s="4">
        <v>29</v>
      </c>
      <c r="G232" s="10">
        <v>650000</v>
      </c>
      <c r="H232" s="10">
        <f t="shared" si="12"/>
        <v>18850000</v>
      </c>
    </row>
    <row r="233" spans="1:8" s="2" customFormat="1" ht="24" customHeight="1">
      <c r="A233" s="6">
        <v>232</v>
      </c>
      <c r="B233" s="4" t="str">
        <f>"1200000239"</f>
        <v>1200000239</v>
      </c>
      <c r="C233" s="5" t="str">
        <f>"دم باريک سر کج عايق دار 6اينچ+8اينچ"</f>
        <v>دم باريک سر کج عايق دار 6اينچ+8اينچ</v>
      </c>
      <c r="D233" s="4" t="str">
        <f>"CHROM VANDIUM  6اينچ--ARCA"</f>
        <v>CHROM VANDIUM  6اينچ--ARCA</v>
      </c>
      <c r="E233" s="4" t="str">
        <f t="shared" si="14"/>
        <v>عدد</v>
      </c>
      <c r="F233" s="4">
        <v>10</v>
      </c>
      <c r="G233" s="10">
        <v>650000</v>
      </c>
      <c r="H233" s="10">
        <f t="shared" si="12"/>
        <v>6500000</v>
      </c>
    </row>
    <row r="234" spans="1:8" s="2" customFormat="1" ht="24" customHeight="1">
      <c r="A234" s="4">
        <v>233</v>
      </c>
      <c r="B234" s="4" t="str">
        <f>"1200000240"</f>
        <v>1200000240</v>
      </c>
      <c r="C234" s="5" t="str">
        <f>"دم باريک معمولي عايق دار 8 اينچ+6اينچ"</f>
        <v>دم باريک معمولي عايق دار 8 اينچ+6اينچ</v>
      </c>
      <c r="D234" s="4" t="str">
        <f>"CHROM VANDIUM  -6-  8 اينچ--ARCA"</f>
        <v>CHROM VANDIUM  -6-  8 اينچ--ARCA</v>
      </c>
      <c r="E234" s="4" t="str">
        <f t="shared" si="14"/>
        <v>عدد</v>
      </c>
      <c r="F234" s="4">
        <v>19</v>
      </c>
      <c r="G234" s="10">
        <v>650000</v>
      </c>
      <c r="H234" s="10">
        <f t="shared" si="12"/>
        <v>12350000</v>
      </c>
    </row>
    <row r="235" spans="1:8" s="2" customFormat="1" ht="24" customHeight="1">
      <c r="A235" s="4">
        <v>234</v>
      </c>
      <c r="B235" s="4" t="str">
        <f>"1200000241"</f>
        <v>1200000241</v>
      </c>
      <c r="C235" s="5" t="str">
        <f>"سيم چين عايق دار 6اينچ"</f>
        <v>سيم چين عايق دار 6اينچ</v>
      </c>
      <c r="D235" s="4" t="str">
        <f>"CHROM VANDIUM    اينچ6--ARCA"</f>
        <v>CHROM VANDIUM    اينچ6--ARCA</v>
      </c>
      <c r="E235" s="4" t="str">
        <f t="shared" si="14"/>
        <v>عدد</v>
      </c>
      <c r="F235" s="4">
        <v>28</v>
      </c>
      <c r="G235" s="10">
        <v>600000</v>
      </c>
      <c r="H235" s="10">
        <f t="shared" si="12"/>
        <v>16800000</v>
      </c>
    </row>
    <row r="236" spans="1:8" s="2" customFormat="1" ht="24" customHeight="1">
      <c r="A236" s="4">
        <v>235</v>
      </c>
      <c r="B236" s="4" t="str">
        <f>"1200000242"</f>
        <v>1200000242</v>
      </c>
      <c r="C236" s="5" t="str">
        <f>"انبر دست عايق دار 7 اينچ"</f>
        <v>انبر دست عايق دار 7 اينچ</v>
      </c>
      <c r="D236" s="4" t="str">
        <f>"CHROM VANDIUM  7 اينچ--ARCA"</f>
        <v>CHROM VANDIUM  7 اينچ--ARCA</v>
      </c>
      <c r="E236" s="4" t="str">
        <f t="shared" si="14"/>
        <v>عدد</v>
      </c>
      <c r="F236" s="4">
        <v>2</v>
      </c>
      <c r="G236" s="10">
        <v>600000</v>
      </c>
      <c r="H236" s="10">
        <f t="shared" si="12"/>
        <v>1200000</v>
      </c>
    </row>
    <row r="237" spans="1:8" s="2" customFormat="1" ht="24" customHeight="1">
      <c r="A237" s="6">
        <v>236</v>
      </c>
      <c r="B237" s="4" t="str">
        <f>"1200000243"</f>
        <v>1200000243</v>
      </c>
      <c r="C237" s="5" t="str">
        <f>"سيم چين  عايق دار 8اينچ"</f>
        <v>سيم چين  عايق دار 8اينچ</v>
      </c>
      <c r="D237" s="4" t="str">
        <f>"CHROM VANDIUM   8 اينچ--ARCA"</f>
        <v>CHROM VANDIUM   8 اينچ--ARCA</v>
      </c>
      <c r="E237" s="4" t="str">
        <f t="shared" si="14"/>
        <v>عدد</v>
      </c>
      <c r="F237" s="4">
        <v>15</v>
      </c>
      <c r="G237" s="10">
        <v>650000</v>
      </c>
      <c r="H237" s="10">
        <f t="shared" si="12"/>
        <v>9750000</v>
      </c>
    </row>
    <row r="238" spans="1:8" s="2" customFormat="1" ht="24" customHeight="1">
      <c r="A238" s="4">
        <v>237</v>
      </c>
      <c r="B238" s="4" t="str">
        <f>"1200000244"</f>
        <v>1200000244</v>
      </c>
      <c r="C238" s="5" t="str">
        <f>"پيچ گوشتي ضربه خور ست7عددي"</f>
        <v>پيچ گوشتي ضربه خور ست7عددي</v>
      </c>
      <c r="D238" s="4" t="str">
        <f>"GREEN-1607--WESSEL"</f>
        <v>GREEN-1607--WESSEL</v>
      </c>
      <c r="E238" s="4" t="str">
        <f>"ست"</f>
        <v>ست</v>
      </c>
      <c r="F238" s="4">
        <v>83</v>
      </c>
      <c r="G238" s="10">
        <v>850000</v>
      </c>
      <c r="H238" s="10">
        <f t="shared" si="12"/>
        <v>70550000</v>
      </c>
    </row>
    <row r="239" spans="1:8" s="2" customFormat="1" ht="24" customHeight="1">
      <c r="A239" s="4">
        <v>238</v>
      </c>
      <c r="B239" s="4" t="str">
        <f>"1200000245"</f>
        <v>1200000245</v>
      </c>
      <c r="C239" s="5" t="str">
        <f>"پيچ گوشتي معمولي ست7عددي"</f>
        <v>پيچ گوشتي معمولي ست7عددي</v>
      </c>
      <c r="D239" s="4" t="str">
        <f>"PH2*150-8-150--ARCA"</f>
        <v>PH2*150-8-150--ARCA</v>
      </c>
      <c r="E239" s="4" t="str">
        <f>"ست"</f>
        <v>ست</v>
      </c>
      <c r="F239" s="4">
        <v>28</v>
      </c>
      <c r="G239" s="10">
        <v>300000</v>
      </c>
      <c r="H239" s="10">
        <f t="shared" si="12"/>
        <v>8400000</v>
      </c>
    </row>
    <row r="240" spans="1:8" s="2" customFormat="1" ht="24" customHeight="1">
      <c r="A240" s="4">
        <v>239</v>
      </c>
      <c r="B240" s="4" t="str">
        <f>"1200000246"</f>
        <v>1200000246</v>
      </c>
      <c r="C240" s="5" t="str">
        <f>"پيچ گوشتي دو سو ضربه خو"</f>
        <v>پيچ گوشتي دو سو ضربه خو</v>
      </c>
      <c r="D240" s="4" t="str">
        <f>"VESSEL 5 - 6 - 9"</f>
        <v>VESSEL 5 - 6 - 9</v>
      </c>
      <c r="E240" s="4" t="str">
        <f>"عدد"</f>
        <v>عدد</v>
      </c>
      <c r="F240" s="4">
        <v>13</v>
      </c>
      <c r="G240" s="10">
        <v>120000</v>
      </c>
      <c r="H240" s="10">
        <f t="shared" si="12"/>
        <v>1560000</v>
      </c>
    </row>
    <row r="241" spans="1:8" s="2" customFormat="1" ht="24" customHeight="1">
      <c r="A241" s="6">
        <v>240</v>
      </c>
      <c r="B241" s="4" t="str">
        <f>"1200000247"</f>
        <v>1200000247</v>
      </c>
      <c r="C241" s="5" t="str">
        <f>"پيچ گوشتي مينياتوري دوسو125*4*0.8"</f>
        <v>پيچ گوشتي مينياتوري دوسو125*4*0.8</v>
      </c>
      <c r="D241" s="4" t="str">
        <f>"0.8*4*125--KARAFTGR"</f>
        <v>0.8*4*125--KARAFTGR</v>
      </c>
      <c r="E241" s="4" t="str">
        <f>"عدد"</f>
        <v>عدد</v>
      </c>
      <c r="F241" s="4">
        <v>23</v>
      </c>
      <c r="G241" s="10">
        <v>100000</v>
      </c>
      <c r="H241" s="10">
        <f t="shared" si="12"/>
        <v>2300000</v>
      </c>
    </row>
    <row r="242" spans="1:8" s="2" customFormat="1" ht="24" customHeight="1">
      <c r="A242" s="4">
        <v>241</v>
      </c>
      <c r="B242" s="4" t="str">
        <f>"1200000248"</f>
        <v>1200000248</v>
      </c>
      <c r="C242" s="5" t="str">
        <f>"پيچ گوشتي مينياتوري دوسو100*3*0.5"</f>
        <v>پيچ گوشتي مينياتوري دوسو100*3*0.5</v>
      </c>
      <c r="D242" s="4" t="str">
        <f>"0.5*3*100--KRAFTGRIP  art.400"</f>
        <v>0.5*3*100--KRAFTGRIP  art.400</v>
      </c>
      <c r="E242" s="4" t="str">
        <f>"عدد"</f>
        <v>عدد</v>
      </c>
      <c r="F242" s="4">
        <v>20</v>
      </c>
      <c r="G242" s="10">
        <v>100000</v>
      </c>
      <c r="H242" s="10">
        <f t="shared" si="12"/>
        <v>2000000</v>
      </c>
    </row>
    <row r="243" spans="1:8" s="2" customFormat="1" ht="24" customHeight="1">
      <c r="A243" s="4">
        <v>242</v>
      </c>
      <c r="B243" s="4" t="str">
        <f>"1200000249"</f>
        <v>1200000249</v>
      </c>
      <c r="C243" s="5" t="str">
        <f>"پيچ گوشتي مينياتوري دوسو75*2.5*0.4"</f>
        <v>پيچ گوشتي مينياتوري دوسو75*2.5*0.4</v>
      </c>
      <c r="D243" s="4" t="str">
        <f>"0.4*2.5*75--KRAFTGRIP"</f>
        <v>0.4*2.5*75--KRAFTGRIP</v>
      </c>
      <c r="E243" s="4" t="str">
        <f>"عدد"</f>
        <v>عدد</v>
      </c>
      <c r="F243" s="4">
        <v>28</v>
      </c>
      <c r="G243" s="10">
        <v>100000</v>
      </c>
      <c r="H243" s="10">
        <f t="shared" si="12"/>
        <v>2800000</v>
      </c>
    </row>
    <row r="244" spans="1:8" s="2" customFormat="1" ht="24" customHeight="1">
      <c r="A244" s="4">
        <v>243</v>
      </c>
      <c r="B244" s="4" t="str">
        <f>"1200000250"</f>
        <v>1200000250</v>
      </c>
      <c r="C244" s="5" t="str">
        <f>"پيچ گوشتي مينياتوري دوسو وچهارسو (ست)"</f>
        <v>پيچ گوشتي مينياتوري دوسو وچهارسو (ست)</v>
      </c>
      <c r="D244" s="4" t="str">
        <f>"PH2*100   ART.500-3K--KRAFTGRIPQ"</f>
        <v>PH2*100   ART.500-3K--KRAFTGRIPQ</v>
      </c>
      <c r="E244" s="4" t="str">
        <f>"ست"</f>
        <v>ست</v>
      </c>
      <c r="F244" s="4">
        <v>28</v>
      </c>
      <c r="G244" s="10">
        <v>550000</v>
      </c>
      <c r="H244" s="10">
        <f t="shared" si="12"/>
        <v>15400000</v>
      </c>
    </row>
    <row r="245" spans="1:8" s="2" customFormat="1" ht="24" customHeight="1">
      <c r="A245" s="6">
        <v>244</v>
      </c>
      <c r="B245" s="4" t="str">
        <f>"1200000251"</f>
        <v>1200000251</v>
      </c>
      <c r="C245" s="5" t="str">
        <f>"پيچ گوشتي ساعتي ( ست چهارسو و دوسو)"</f>
        <v>پيچ گوشتي ساعتي ( ست چهارسو و دوسو)</v>
      </c>
      <c r="D245" s="4" t="str">
        <f>"1.4-2.0-2.4-3-1--ARCA"</f>
        <v>1.4-2.0-2.4-3-1--ARCA</v>
      </c>
      <c r="E245" s="4" t="str">
        <f>"ست"</f>
        <v>ست</v>
      </c>
      <c r="F245" s="4">
        <v>11</v>
      </c>
      <c r="G245" s="10">
        <v>550000</v>
      </c>
      <c r="H245" s="10">
        <f t="shared" si="12"/>
        <v>6050000</v>
      </c>
    </row>
    <row r="246" spans="1:8" s="2" customFormat="1" ht="24" customHeight="1">
      <c r="A246" s="4">
        <v>245</v>
      </c>
      <c r="B246" s="4" t="str">
        <f>"1200000252"</f>
        <v>1200000252</v>
      </c>
      <c r="C246" s="5" t="str">
        <f>"پيچ گوشتي مينياتوري دو سو ست4عددي"</f>
        <v>پيچ گوشتي مينياتوري دو سو ست4عددي</v>
      </c>
      <c r="D246" s="4" t="str">
        <f>"3*75  -3.5*100 - 4*125 - 5.5*100--BAHCO"</f>
        <v>3*75  -3.5*100 - 4*125 - 5.5*100--BAHCO</v>
      </c>
      <c r="E246" s="4" t="str">
        <f t="shared" ref="E246:E277" si="15">"عدد"</f>
        <v>عدد</v>
      </c>
      <c r="F246" s="4">
        <v>3</v>
      </c>
      <c r="G246" s="10">
        <v>450000</v>
      </c>
      <c r="H246" s="10">
        <f t="shared" si="12"/>
        <v>1350000</v>
      </c>
    </row>
    <row r="247" spans="1:8" s="2" customFormat="1" ht="24" customHeight="1">
      <c r="A247" s="4">
        <v>246</v>
      </c>
      <c r="B247" s="4" t="str">
        <f>"1200000253"</f>
        <v>1200000253</v>
      </c>
      <c r="C247" s="5" t="str">
        <f>"آچار شمعي شش پر   8-9 ميليمتر"</f>
        <v>آچار شمعي شش پر   8-9 ميليمتر</v>
      </c>
      <c r="D247" s="4" t="str">
        <f>"00-3K--ACEZA"</f>
        <v>00-3K--ACEZA</v>
      </c>
      <c r="E247" s="4" t="str">
        <f t="shared" si="15"/>
        <v>عدد</v>
      </c>
      <c r="F247" s="4">
        <v>2</v>
      </c>
      <c r="G247" s="10">
        <v>120000</v>
      </c>
      <c r="H247" s="10">
        <f t="shared" si="12"/>
        <v>240000</v>
      </c>
    </row>
    <row r="248" spans="1:8" s="2" customFormat="1" ht="24" customHeight="1">
      <c r="A248" s="4">
        <v>247</v>
      </c>
      <c r="B248" s="4" t="str">
        <f>"1200000254"</f>
        <v>1200000254</v>
      </c>
      <c r="C248" s="5" t="str">
        <f>"آچار شمعي شش پر  10-11ميليمتر"</f>
        <v>آچار شمعي شش پر  10-11ميليمتر</v>
      </c>
      <c r="D248" s="4" t="str">
        <f>"CHROM VANDIUM  NO.530--HEYCO"</f>
        <v>CHROM VANDIUM  NO.530--HEYCO</v>
      </c>
      <c r="E248" s="4" t="str">
        <f t="shared" si="15"/>
        <v>عدد</v>
      </c>
      <c r="F248" s="4">
        <v>2</v>
      </c>
      <c r="G248" s="10">
        <v>150000</v>
      </c>
      <c r="H248" s="10">
        <f t="shared" si="12"/>
        <v>300000</v>
      </c>
    </row>
    <row r="249" spans="1:8" s="2" customFormat="1" ht="24" customHeight="1">
      <c r="A249" s="6">
        <v>248</v>
      </c>
      <c r="B249" s="4" t="str">
        <f>"1200000255"</f>
        <v>1200000255</v>
      </c>
      <c r="C249" s="5" t="str">
        <f>"آچار شمعي  شش پر 17-16ميليمتر"</f>
        <v>آچار شمعي  شش پر 17-16ميليمتر</v>
      </c>
      <c r="D249" s="4" t="str">
        <f>"CHROM VANDIUM  NO.530--PALMERA"</f>
        <v>CHROM VANDIUM  NO.530--PALMERA</v>
      </c>
      <c r="E249" s="4" t="str">
        <f t="shared" si="15"/>
        <v>عدد</v>
      </c>
      <c r="F249" s="4">
        <v>3</v>
      </c>
      <c r="G249" s="10">
        <v>180000</v>
      </c>
      <c r="H249" s="10">
        <f t="shared" si="12"/>
        <v>540000</v>
      </c>
    </row>
    <row r="250" spans="1:8" s="2" customFormat="1" ht="24" customHeight="1">
      <c r="A250" s="4">
        <v>249</v>
      </c>
      <c r="B250" s="4" t="str">
        <f>"1200000256"</f>
        <v>1200000256</v>
      </c>
      <c r="C250" s="5" t="str">
        <f>"آچار شمعي شش پر  13-12ميليمتر"</f>
        <v>آچار شمعي شش پر  13-12ميليمتر</v>
      </c>
      <c r="D250" s="4" t="str">
        <f>"HROM VANDIUM   NO.530--ACEZA"</f>
        <v>HROM VANDIUM   NO.530--ACEZA</v>
      </c>
      <c r="E250" s="4" t="str">
        <f t="shared" si="15"/>
        <v>عدد</v>
      </c>
      <c r="F250" s="4">
        <v>2</v>
      </c>
      <c r="G250" s="10">
        <v>150000</v>
      </c>
      <c r="H250" s="10">
        <f t="shared" si="12"/>
        <v>300000</v>
      </c>
    </row>
    <row r="251" spans="1:8" s="2" customFormat="1" ht="24" customHeight="1">
      <c r="A251" s="4">
        <v>250</v>
      </c>
      <c r="B251" s="4" t="str">
        <f>"1200000257"</f>
        <v>1200000257</v>
      </c>
      <c r="C251" s="5" t="str">
        <f>"آچار شمعي شش پر  15-14ميليمتر"</f>
        <v>آچار شمعي شش پر  15-14ميليمتر</v>
      </c>
      <c r="D251" s="4" t="str">
        <f>"CHROM VANDIUM  NO.530--ACEZA"</f>
        <v>CHROM VANDIUM  NO.530--ACEZA</v>
      </c>
      <c r="E251" s="4" t="str">
        <f t="shared" si="15"/>
        <v>عدد</v>
      </c>
      <c r="F251" s="4">
        <v>13</v>
      </c>
      <c r="G251" s="10">
        <v>170000</v>
      </c>
      <c r="H251" s="10">
        <f t="shared" si="12"/>
        <v>2210000</v>
      </c>
    </row>
    <row r="252" spans="1:8" s="2" customFormat="1" ht="24" customHeight="1">
      <c r="A252" s="4">
        <v>251</v>
      </c>
      <c r="B252" s="4" t="str">
        <f>"1200000258"</f>
        <v>1200000258</v>
      </c>
      <c r="C252" s="5" t="str">
        <f>"آچار شمعي شش پر  19-18ميليمتر"</f>
        <v>آچار شمعي شش پر  19-18ميليمتر</v>
      </c>
      <c r="D252" s="4" t="str">
        <f>"CHROM VANDIUM   NO.530--ACEZA"</f>
        <v>CHROM VANDIUM   NO.530--ACEZA</v>
      </c>
      <c r="E252" s="4" t="str">
        <f t="shared" si="15"/>
        <v>عدد</v>
      </c>
      <c r="F252" s="4">
        <v>2</v>
      </c>
      <c r="G252" s="10">
        <v>220000</v>
      </c>
      <c r="H252" s="10">
        <f t="shared" si="12"/>
        <v>440000</v>
      </c>
    </row>
    <row r="253" spans="1:8" s="2" customFormat="1" ht="24" customHeight="1">
      <c r="A253" s="6">
        <v>252</v>
      </c>
      <c r="B253" s="4" t="str">
        <f>"1200000259"</f>
        <v>1200000259</v>
      </c>
      <c r="C253" s="5" t="str">
        <f>"آچار شمعي شش پر  22-20ميليمتر"</f>
        <v>آچار شمعي شش پر  22-20ميليمتر</v>
      </c>
      <c r="D253" s="4" t="str">
        <f>"CHROM VANDIUM NO.530--ACEZA"</f>
        <v>CHROM VANDIUM NO.530--ACEZA</v>
      </c>
      <c r="E253" s="4" t="str">
        <f t="shared" si="15"/>
        <v>عدد</v>
      </c>
      <c r="F253" s="4">
        <v>6</v>
      </c>
      <c r="G253" s="10">
        <v>250000</v>
      </c>
      <c r="H253" s="10">
        <f t="shared" si="12"/>
        <v>1500000</v>
      </c>
    </row>
    <row r="254" spans="1:8" s="2" customFormat="1" ht="24" customHeight="1">
      <c r="A254" s="4">
        <v>253</v>
      </c>
      <c r="B254" s="4" t="str">
        <f>"1200000260"</f>
        <v>1200000260</v>
      </c>
      <c r="C254" s="5" t="str">
        <f>"آچار شمعي شش پر  7-6 ميليمتر"</f>
        <v>آچار شمعي شش پر  7-6 ميليمتر</v>
      </c>
      <c r="D254" s="4" t="str">
        <f>"CHROM VANDIUM NO .530--ACEZA"</f>
        <v>CHROM VANDIUM NO .530--ACEZA</v>
      </c>
      <c r="E254" s="4" t="str">
        <f t="shared" si="15"/>
        <v>عدد</v>
      </c>
      <c r="F254" s="4">
        <v>2</v>
      </c>
      <c r="G254" s="10">
        <v>150000</v>
      </c>
      <c r="H254" s="10">
        <f t="shared" si="12"/>
        <v>300000</v>
      </c>
    </row>
    <row r="255" spans="1:8" s="2" customFormat="1" ht="24" customHeight="1">
      <c r="A255" s="4">
        <v>254</v>
      </c>
      <c r="B255" s="4" t="str">
        <f>"1200000261"</f>
        <v>1200000261</v>
      </c>
      <c r="C255" s="5" t="str">
        <f>"آچار چپقي   9  ميليمتر"</f>
        <v>آچار چپقي   9  ميليمتر</v>
      </c>
      <c r="D255" s="4" t="str">
        <f>"CHROM VANDIUM  NO .530--ACEZA"</f>
        <v>CHROM VANDIUM  NO .530--ACEZA</v>
      </c>
      <c r="E255" s="4" t="str">
        <f t="shared" si="15"/>
        <v>عدد</v>
      </c>
      <c r="F255" s="4">
        <v>17</v>
      </c>
      <c r="G255" s="10">
        <v>150000</v>
      </c>
      <c r="H255" s="10">
        <f t="shared" si="12"/>
        <v>2550000</v>
      </c>
    </row>
    <row r="256" spans="1:8" s="2" customFormat="1" ht="24" customHeight="1">
      <c r="A256" s="4">
        <v>255</v>
      </c>
      <c r="B256" s="4" t="str">
        <f>"1200000262"</f>
        <v>1200000262</v>
      </c>
      <c r="C256" s="5" t="str">
        <f>"آچار چپقي   10ميليمتر"</f>
        <v>آچار چپقي   10ميليمتر</v>
      </c>
      <c r="D256" s="4" t="str">
        <f>"CHROM VANDIUM 706--ACEZA"</f>
        <v>CHROM VANDIUM 706--ACEZA</v>
      </c>
      <c r="E256" s="4" t="str">
        <f t="shared" si="15"/>
        <v>عدد</v>
      </c>
      <c r="F256" s="4">
        <v>16</v>
      </c>
      <c r="G256" s="10">
        <v>150000</v>
      </c>
      <c r="H256" s="10">
        <f t="shared" si="12"/>
        <v>2400000</v>
      </c>
    </row>
    <row r="257" spans="1:8" s="2" customFormat="1" ht="24" customHeight="1">
      <c r="A257" s="6">
        <v>256</v>
      </c>
      <c r="B257" s="4" t="str">
        <f>"1200000263"</f>
        <v>1200000263</v>
      </c>
      <c r="C257" s="5" t="str">
        <f>"آچار چپقي   11  ميليمتر"</f>
        <v>آچار چپقي   11  ميليمتر</v>
      </c>
      <c r="D257" s="4" t="str">
        <f>"CHROM VANDIUM  708--ACEZA"</f>
        <v>CHROM VANDIUM  708--ACEZA</v>
      </c>
      <c r="E257" s="4" t="str">
        <f t="shared" si="15"/>
        <v>عدد</v>
      </c>
      <c r="F257" s="4">
        <v>17</v>
      </c>
      <c r="G257" s="10">
        <v>170000</v>
      </c>
      <c r="H257" s="10">
        <f t="shared" si="12"/>
        <v>2890000</v>
      </c>
    </row>
    <row r="258" spans="1:8" s="2" customFormat="1" ht="24" customHeight="1">
      <c r="A258" s="4">
        <v>257</v>
      </c>
      <c r="B258" s="4" t="str">
        <f>"1200000264"</f>
        <v>1200000264</v>
      </c>
      <c r="C258" s="5" t="str">
        <f>"آچار چپقي   12  ميليمتر"</f>
        <v>آچار چپقي   12  ميليمتر</v>
      </c>
      <c r="D258" s="4" t="str">
        <f>"HROM VANDIUM--ACEZA"</f>
        <v>HROM VANDIUM--ACEZA</v>
      </c>
      <c r="E258" s="4" t="str">
        <f t="shared" si="15"/>
        <v>عدد</v>
      </c>
      <c r="F258" s="4">
        <v>17</v>
      </c>
      <c r="G258" s="10">
        <v>180000</v>
      </c>
      <c r="H258" s="10">
        <f t="shared" si="12"/>
        <v>3060000</v>
      </c>
    </row>
    <row r="259" spans="1:8" s="2" customFormat="1" ht="24" customHeight="1">
      <c r="A259" s="4">
        <v>258</v>
      </c>
      <c r="B259" s="4" t="str">
        <f>"1200000265"</f>
        <v>1200000265</v>
      </c>
      <c r="C259" s="5" t="str">
        <f>"آچار چپقي   13  ميليمتر"</f>
        <v>آچار چپقي   13  ميليمتر</v>
      </c>
      <c r="D259" s="4" t="str">
        <f>"CHROM VANDIUM 708--ACEZA"</f>
        <v>CHROM VANDIUM 708--ACEZA</v>
      </c>
      <c r="E259" s="4" t="str">
        <f t="shared" si="15"/>
        <v>عدد</v>
      </c>
      <c r="F259" s="4">
        <v>17</v>
      </c>
      <c r="G259" s="10">
        <v>200000</v>
      </c>
      <c r="H259" s="10">
        <f t="shared" si="12"/>
        <v>3400000</v>
      </c>
    </row>
    <row r="260" spans="1:8" s="2" customFormat="1" ht="24" customHeight="1">
      <c r="A260" s="4">
        <v>259</v>
      </c>
      <c r="B260" s="4" t="str">
        <f>"1200000266"</f>
        <v>1200000266</v>
      </c>
      <c r="C260" s="5" t="str">
        <f>"آچار چپقي   14ميليمتر"</f>
        <v>آچار چپقي   14ميليمتر</v>
      </c>
      <c r="D260" s="4" t="str">
        <f>"CHROM VANDIUM  708--ACEZA"</f>
        <v>CHROM VANDIUM  708--ACEZA</v>
      </c>
      <c r="E260" s="4" t="str">
        <f t="shared" si="15"/>
        <v>عدد</v>
      </c>
      <c r="F260" s="4">
        <v>17</v>
      </c>
      <c r="G260" s="10">
        <v>210000</v>
      </c>
      <c r="H260" s="10">
        <f t="shared" si="12"/>
        <v>3570000</v>
      </c>
    </row>
    <row r="261" spans="1:8" s="2" customFormat="1" ht="24" customHeight="1">
      <c r="A261" s="6">
        <v>260</v>
      </c>
      <c r="B261" s="4" t="str">
        <f>"1200000267"</f>
        <v>1200000267</v>
      </c>
      <c r="C261" s="5" t="str">
        <f>"آچار چپقي   16ميليمتر"</f>
        <v>آچار چپقي   16ميليمتر</v>
      </c>
      <c r="D261" s="4" t="str">
        <f>"CHROM VANDIUM--ACEZA"</f>
        <v>CHROM VANDIUM--ACEZA</v>
      </c>
      <c r="E261" s="4" t="str">
        <f t="shared" si="15"/>
        <v>عدد</v>
      </c>
      <c r="F261" s="4">
        <v>17</v>
      </c>
      <c r="G261" s="10">
        <v>240000</v>
      </c>
      <c r="H261" s="10">
        <f t="shared" ref="H261:H324" si="16">F261*G261</f>
        <v>4080000</v>
      </c>
    </row>
    <row r="262" spans="1:8" s="2" customFormat="1" ht="24" customHeight="1">
      <c r="A262" s="4">
        <v>261</v>
      </c>
      <c r="B262" s="4" t="str">
        <f>"1200000268"</f>
        <v>1200000268</v>
      </c>
      <c r="C262" s="5" t="str">
        <f>"آچار چپقي   17  ميليمتر"</f>
        <v>آچار چپقي   17  ميليمتر</v>
      </c>
      <c r="D262" s="4" t="str">
        <f>"CHROM VANDIUM--ACEZA"</f>
        <v>CHROM VANDIUM--ACEZA</v>
      </c>
      <c r="E262" s="4" t="str">
        <f t="shared" si="15"/>
        <v>عدد</v>
      </c>
      <c r="F262" s="4">
        <v>19</v>
      </c>
      <c r="G262" s="10">
        <v>250000</v>
      </c>
      <c r="H262" s="10">
        <f t="shared" si="16"/>
        <v>4750000</v>
      </c>
    </row>
    <row r="263" spans="1:8" s="2" customFormat="1" ht="24" customHeight="1">
      <c r="A263" s="4">
        <v>262</v>
      </c>
      <c r="B263" s="4" t="str">
        <f>"1200000269"</f>
        <v>1200000269</v>
      </c>
      <c r="C263" s="5" t="str">
        <f>"آچار چكش خور تخت 130ميليمتر"</f>
        <v>آچار چكش خور تخت 130ميليمتر</v>
      </c>
      <c r="D263" s="4" t="str">
        <f>""</f>
        <v/>
      </c>
      <c r="E263" s="4" t="str">
        <f t="shared" si="15"/>
        <v>عدد</v>
      </c>
      <c r="F263" s="4">
        <v>2</v>
      </c>
      <c r="G263" s="10">
        <v>2800000</v>
      </c>
      <c r="H263" s="10">
        <f t="shared" si="16"/>
        <v>5600000</v>
      </c>
    </row>
    <row r="264" spans="1:8" s="2" customFormat="1" ht="24" customHeight="1">
      <c r="A264" s="4">
        <v>263</v>
      </c>
      <c r="B264" s="4" t="str">
        <f>"1200000270"</f>
        <v>1200000270</v>
      </c>
      <c r="C264" s="5" t="str">
        <f>"آچار چپقي   18  ميليمتر"</f>
        <v>آچار چپقي   18  ميليمتر</v>
      </c>
      <c r="D264" s="4" t="str">
        <f>"CHROM VANDIUM 708--ACEZA"</f>
        <v>CHROM VANDIUM 708--ACEZA</v>
      </c>
      <c r="E264" s="4" t="str">
        <f t="shared" si="15"/>
        <v>عدد</v>
      </c>
      <c r="F264" s="4">
        <v>18</v>
      </c>
      <c r="G264" s="10">
        <v>280000</v>
      </c>
      <c r="H264" s="10">
        <f t="shared" si="16"/>
        <v>5040000</v>
      </c>
    </row>
    <row r="265" spans="1:8" s="2" customFormat="1" ht="24" customHeight="1">
      <c r="A265" s="6">
        <v>264</v>
      </c>
      <c r="B265" s="4" t="str">
        <f>"1200000271"</f>
        <v>1200000271</v>
      </c>
      <c r="C265" s="5" t="str">
        <f>"آچار چپقي   19ميليمتر"</f>
        <v>آچار چپقي   19ميليمتر</v>
      </c>
      <c r="D265" s="4" t="str">
        <f>"CHROM VANDIUM 708--ACEZA"</f>
        <v>CHROM VANDIUM 708--ACEZA</v>
      </c>
      <c r="E265" s="4" t="str">
        <f t="shared" si="15"/>
        <v>عدد</v>
      </c>
      <c r="F265" s="4">
        <v>18</v>
      </c>
      <c r="G265" s="10">
        <v>300000</v>
      </c>
      <c r="H265" s="10">
        <f t="shared" si="16"/>
        <v>5400000</v>
      </c>
    </row>
    <row r="266" spans="1:8" s="2" customFormat="1" ht="24" customHeight="1">
      <c r="A266" s="4">
        <v>265</v>
      </c>
      <c r="B266" s="4" t="str">
        <f>"1200000272"</f>
        <v>1200000272</v>
      </c>
      <c r="C266" s="5" t="str">
        <f>"آچار چكش خور تخت 115ميليمتر"</f>
        <v>آچار چكش خور تخت 115ميليمتر</v>
      </c>
      <c r="D266" s="4" t="str">
        <f>""</f>
        <v/>
      </c>
      <c r="E266" s="4" t="str">
        <f t="shared" si="15"/>
        <v>عدد</v>
      </c>
      <c r="F266" s="4">
        <v>1</v>
      </c>
      <c r="G266" s="10">
        <v>2700000</v>
      </c>
      <c r="H266" s="10">
        <f t="shared" si="16"/>
        <v>2700000</v>
      </c>
    </row>
    <row r="267" spans="1:8" s="2" customFormat="1" ht="24" customHeight="1">
      <c r="A267" s="4">
        <v>266</v>
      </c>
      <c r="B267" s="4" t="str">
        <f>"1200000273"</f>
        <v>1200000273</v>
      </c>
      <c r="C267" s="5" t="str">
        <f>"آچار بكس 12پراينچي1/8-1اينچ درايو1/2(29ميليمتر)"</f>
        <v>آچار بكس 12پراينچي1/8-1اينچ درايو1/2(29ميليمتر)</v>
      </c>
      <c r="D267" s="4" t="str">
        <f>"GEDOREدرايو1/2"</f>
        <v>GEDOREدرايو1/2</v>
      </c>
      <c r="E267" s="4" t="str">
        <f t="shared" si="15"/>
        <v>عدد</v>
      </c>
      <c r="F267" s="4">
        <v>1</v>
      </c>
      <c r="G267" s="10">
        <v>200000</v>
      </c>
      <c r="H267" s="10">
        <f t="shared" si="16"/>
        <v>200000</v>
      </c>
    </row>
    <row r="268" spans="1:8" s="2" customFormat="1" ht="24" customHeight="1">
      <c r="A268" s="4">
        <v>267</v>
      </c>
      <c r="B268" s="4" t="str">
        <f>"1200000274"</f>
        <v>1200000274</v>
      </c>
      <c r="C268" s="5" t="str">
        <f>"آچار چپقي   20  ميليمتر"</f>
        <v>آچار چپقي   20  ميليمتر</v>
      </c>
      <c r="D268" s="4" t="str">
        <f>"CHROM VANDIUM   708--ACEZA"</f>
        <v>CHROM VANDIUM   708--ACEZA</v>
      </c>
      <c r="E268" s="4" t="str">
        <f t="shared" si="15"/>
        <v>عدد</v>
      </c>
      <c r="F268" s="4">
        <v>18</v>
      </c>
      <c r="G268" s="10">
        <v>330000</v>
      </c>
      <c r="H268" s="10">
        <f t="shared" si="16"/>
        <v>5940000</v>
      </c>
    </row>
    <row r="269" spans="1:8" s="2" customFormat="1" ht="24" customHeight="1">
      <c r="A269" s="6">
        <v>268</v>
      </c>
      <c r="B269" s="4" t="str">
        <f>"1200000275"</f>
        <v>1200000275</v>
      </c>
      <c r="C269" s="5" t="str">
        <f>"آچار چپقي    21 ميليمتر"</f>
        <v>آچار چپقي    21 ميليمتر</v>
      </c>
      <c r="D269" s="4" t="str">
        <f>"HROM VANDIUM  708"</f>
        <v>HROM VANDIUM  708</v>
      </c>
      <c r="E269" s="4" t="str">
        <f t="shared" si="15"/>
        <v>عدد</v>
      </c>
      <c r="F269" s="4">
        <v>19</v>
      </c>
      <c r="G269" s="10">
        <v>350000</v>
      </c>
      <c r="H269" s="10">
        <f t="shared" si="16"/>
        <v>6650000</v>
      </c>
    </row>
    <row r="270" spans="1:8" s="2" customFormat="1" ht="24" customHeight="1">
      <c r="A270" s="4">
        <v>269</v>
      </c>
      <c r="B270" s="4" t="str">
        <f>"1200000276"</f>
        <v>1200000276</v>
      </c>
      <c r="C270" s="5" t="str">
        <f>"آچار بكس 6 پر 27ميليمتر درايو 1/2"</f>
        <v>آچار بكس 6 پر 27ميليمتر درايو 1/2</v>
      </c>
      <c r="D270" s="4" t="str">
        <f>"GERMANY"</f>
        <v>GERMANY</v>
      </c>
      <c r="E270" s="4" t="str">
        <f t="shared" si="15"/>
        <v>عدد</v>
      </c>
      <c r="F270" s="4">
        <v>2</v>
      </c>
      <c r="G270" s="10">
        <v>200000</v>
      </c>
      <c r="H270" s="10">
        <f t="shared" si="16"/>
        <v>400000</v>
      </c>
    </row>
    <row r="271" spans="1:8" s="2" customFormat="1" ht="24" customHeight="1">
      <c r="A271" s="4">
        <v>270</v>
      </c>
      <c r="B271" s="4" t="str">
        <f>"1200000277"</f>
        <v>1200000277</v>
      </c>
      <c r="C271" s="5" t="str">
        <f>"آچار بكس 6 پر24ميليمتر فشار قوي درايو1/2"</f>
        <v>آچار بكس 6 پر24ميليمتر فشار قوي درايو1/2</v>
      </c>
      <c r="D271" s="4" t="str">
        <f>"makita"</f>
        <v>makita</v>
      </c>
      <c r="E271" s="4" t="str">
        <f t="shared" si="15"/>
        <v>عدد</v>
      </c>
      <c r="F271" s="4">
        <v>2</v>
      </c>
      <c r="G271" s="10">
        <v>200000</v>
      </c>
      <c r="H271" s="10">
        <f t="shared" si="16"/>
        <v>400000</v>
      </c>
    </row>
    <row r="272" spans="1:8" s="2" customFormat="1" ht="24" customHeight="1">
      <c r="A272" s="4">
        <v>271</v>
      </c>
      <c r="B272" s="4" t="str">
        <f>"1200000278"</f>
        <v>1200000278</v>
      </c>
      <c r="C272" s="5" t="str">
        <f>"آچار چپقي    22 ميليمتر"</f>
        <v>آچار چپقي    22 ميليمتر</v>
      </c>
      <c r="D272" s="4" t="str">
        <f>"CHROM VANDIUM 708--ACEZA"</f>
        <v>CHROM VANDIUM 708--ACEZA</v>
      </c>
      <c r="E272" s="4" t="str">
        <f t="shared" si="15"/>
        <v>عدد</v>
      </c>
      <c r="F272" s="4">
        <v>19</v>
      </c>
      <c r="G272" s="10">
        <v>350000</v>
      </c>
      <c r="H272" s="10">
        <f t="shared" si="16"/>
        <v>6650000</v>
      </c>
    </row>
    <row r="273" spans="1:8" s="2" customFormat="1" ht="24" customHeight="1">
      <c r="A273" s="6">
        <v>272</v>
      </c>
      <c r="B273" s="4" t="str">
        <f>"1200000279"</f>
        <v>1200000279</v>
      </c>
      <c r="C273" s="5" t="str">
        <f>"آچار چپقي    23  ميليمتر"</f>
        <v>آچار چپقي    23  ميليمتر</v>
      </c>
      <c r="D273" s="4" t="str">
        <f>"CHROM VANDIUM 708--ACEZA"</f>
        <v>CHROM VANDIUM 708--ACEZA</v>
      </c>
      <c r="E273" s="4" t="str">
        <f t="shared" si="15"/>
        <v>عدد</v>
      </c>
      <c r="F273" s="4">
        <v>19</v>
      </c>
      <c r="G273" s="10">
        <v>360000</v>
      </c>
      <c r="H273" s="10">
        <f t="shared" si="16"/>
        <v>6840000</v>
      </c>
    </row>
    <row r="274" spans="1:8" s="2" customFormat="1" ht="24" customHeight="1">
      <c r="A274" s="4">
        <v>273</v>
      </c>
      <c r="B274" s="4" t="str">
        <f>"1200000280"</f>
        <v>1200000280</v>
      </c>
      <c r="C274" s="5" t="str">
        <f>"آچار بكس 12پر اينچي15/16اينچ درايو 1/2(24ميليمتر)"</f>
        <v>آچار بكس 12پر اينچي15/16اينچ درايو 1/2(24ميليمتر)</v>
      </c>
      <c r="D274" s="4" t="str">
        <f>"درايو 1/2"</f>
        <v>درايو 1/2</v>
      </c>
      <c r="E274" s="4" t="str">
        <f t="shared" si="15"/>
        <v>عدد</v>
      </c>
      <c r="F274" s="4">
        <v>2</v>
      </c>
      <c r="G274" s="10">
        <v>200000</v>
      </c>
      <c r="H274" s="10">
        <f t="shared" si="16"/>
        <v>400000</v>
      </c>
    </row>
    <row r="275" spans="1:8" s="2" customFormat="1" ht="24" customHeight="1">
      <c r="A275" s="4">
        <v>274</v>
      </c>
      <c r="B275" s="4" t="str">
        <f>"1200000281"</f>
        <v>1200000281</v>
      </c>
      <c r="C275" s="5" t="str">
        <f>"آچار چپقي    24ميليمتر"</f>
        <v>آچار چپقي    24ميليمتر</v>
      </c>
      <c r="D275" s="4" t="str">
        <f>"CHROM VANDIUM 708--GERMANY"</f>
        <v>CHROM VANDIUM 708--GERMANY</v>
      </c>
      <c r="E275" s="4" t="str">
        <f t="shared" si="15"/>
        <v>عدد</v>
      </c>
      <c r="F275" s="4">
        <v>18</v>
      </c>
      <c r="G275" s="10">
        <v>380000</v>
      </c>
      <c r="H275" s="10">
        <f t="shared" si="16"/>
        <v>6840000</v>
      </c>
    </row>
    <row r="276" spans="1:8" s="2" customFormat="1" ht="24" customHeight="1">
      <c r="A276" s="4">
        <v>275</v>
      </c>
      <c r="B276" s="4" t="str">
        <f>"1200000282"</f>
        <v>1200000282</v>
      </c>
      <c r="C276" s="5" t="str">
        <f>"آچار چپقي    26 ميليمتر"</f>
        <v>آچار چپقي    26 ميليمتر</v>
      </c>
      <c r="D276" s="4" t="str">
        <f>"FACOM AZECA"</f>
        <v>FACOM AZECA</v>
      </c>
      <c r="E276" s="4" t="str">
        <f t="shared" si="15"/>
        <v>عدد</v>
      </c>
      <c r="F276" s="4">
        <v>1</v>
      </c>
      <c r="G276" s="10">
        <v>400000</v>
      </c>
      <c r="H276" s="10">
        <f t="shared" si="16"/>
        <v>400000</v>
      </c>
    </row>
    <row r="277" spans="1:8" s="2" customFormat="1" ht="24" customHeight="1">
      <c r="A277" s="6">
        <v>276</v>
      </c>
      <c r="B277" s="4" t="str">
        <f>"1200000283"</f>
        <v>1200000283</v>
      </c>
      <c r="C277" s="5" t="str">
        <f>"رابط مفصلي درايو 3/4"</f>
        <v>رابط مفصلي درايو 3/4</v>
      </c>
      <c r="D277" s="4" t="str">
        <f>"درايو 3/4"</f>
        <v>درايو 3/4</v>
      </c>
      <c r="E277" s="4" t="str">
        <f t="shared" si="15"/>
        <v>عدد</v>
      </c>
      <c r="F277" s="4">
        <v>1</v>
      </c>
      <c r="G277" s="10">
        <v>250000</v>
      </c>
      <c r="H277" s="10">
        <f t="shared" si="16"/>
        <v>250000</v>
      </c>
    </row>
    <row r="278" spans="1:8" s="2" customFormat="1" ht="24" customHeight="1">
      <c r="A278" s="4">
        <v>277</v>
      </c>
      <c r="B278" s="4" t="str">
        <f>"1200000284"</f>
        <v>1200000284</v>
      </c>
      <c r="C278" s="5" t="str">
        <f>"آچار چپقي    25  ميليمتر"</f>
        <v>آچار چپقي    25  ميليمتر</v>
      </c>
      <c r="D278" s="4" t="str">
        <f>"CHROM VANDIUM--ACEZA"</f>
        <v>CHROM VANDIUM--ACEZA</v>
      </c>
      <c r="E278" s="4" t="str">
        <f t="shared" ref="E278:E297" si="17">"عدد"</f>
        <v>عدد</v>
      </c>
      <c r="F278" s="4">
        <v>17</v>
      </c>
      <c r="G278" s="10">
        <v>400000</v>
      </c>
      <c r="H278" s="10">
        <f t="shared" si="16"/>
        <v>6800000</v>
      </c>
    </row>
    <row r="279" spans="1:8" s="2" customFormat="1" ht="24" customHeight="1">
      <c r="A279" s="4">
        <v>278</v>
      </c>
      <c r="B279" s="4" t="str">
        <f>"1200000285"</f>
        <v>1200000285</v>
      </c>
      <c r="C279" s="5" t="str">
        <f>"آچار چپقي    27ميليمتر"</f>
        <v>آچار چپقي    27ميليمتر</v>
      </c>
      <c r="D279" s="4" t="str">
        <f>"CHROM VANDIUM 708--ACEZA"</f>
        <v>CHROM VANDIUM 708--ACEZA</v>
      </c>
      <c r="E279" s="4" t="str">
        <f t="shared" si="17"/>
        <v>عدد</v>
      </c>
      <c r="F279" s="4">
        <v>19</v>
      </c>
      <c r="G279" s="10">
        <v>430000</v>
      </c>
      <c r="H279" s="10">
        <f t="shared" si="16"/>
        <v>8170000</v>
      </c>
    </row>
    <row r="280" spans="1:8" s="2" customFormat="1" ht="24" customHeight="1">
      <c r="A280" s="4">
        <v>279</v>
      </c>
      <c r="B280" s="4" t="str">
        <f>"1200000286"</f>
        <v>1200000286</v>
      </c>
      <c r="C280" s="5" t="str">
        <f>"دسته مخصوص آچار شمعي"</f>
        <v>دسته مخصوص آچار شمعي</v>
      </c>
      <c r="D280" s="4" t="str">
        <f>"ACESA7061"</f>
        <v>ACESA7061</v>
      </c>
      <c r="E280" s="4" t="str">
        <f t="shared" si="17"/>
        <v>عدد</v>
      </c>
      <c r="F280" s="4">
        <v>3</v>
      </c>
      <c r="G280" s="10">
        <v>150000</v>
      </c>
      <c r="H280" s="10">
        <f t="shared" si="16"/>
        <v>450000</v>
      </c>
    </row>
    <row r="281" spans="1:8" s="2" customFormat="1" ht="24" customHeight="1">
      <c r="A281" s="6">
        <v>280</v>
      </c>
      <c r="B281" s="4" t="str">
        <f>"1200000287"</f>
        <v>1200000287</v>
      </c>
      <c r="C281" s="5" t="str">
        <f>"آچار چپقي    29ميليمتر"</f>
        <v>آچار چپقي    29ميليمتر</v>
      </c>
      <c r="D281" s="4" t="str">
        <f>"CHROM VANDIUM 708--ACEZA"</f>
        <v>CHROM VANDIUM 708--ACEZA</v>
      </c>
      <c r="E281" s="4" t="str">
        <f t="shared" si="17"/>
        <v>عدد</v>
      </c>
      <c r="F281" s="4">
        <v>16</v>
      </c>
      <c r="G281" s="10">
        <v>450000</v>
      </c>
      <c r="H281" s="10">
        <f t="shared" si="16"/>
        <v>7200000</v>
      </c>
    </row>
    <row r="282" spans="1:8" s="2" customFormat="1" ht="24" customHeight="1">
      <c r="A282" s="4">
        <v>281</v>
      </c>
      <c r="B282" s="4" t="str">
        <f>"1200000288"</f>
        <v>1200000288</v>
      </c>
      <c r="C282" s="5" t="str">
        <f>"آچار چپقي    30ميليمتر"</f>
        <v>آچار چپقي    30ميليمتر</v>
      </c>
      <c r="D282" s="4" t="str">
        <f>"CHROM VANDIUM  708--ACEZA"</f>
        <v>CHROM VANDIUM  708--ACEZA</v>
      </c>
      <c r="E282" s="4" t="str">
        <f t="shared" si="17"/>
        <v>عدد</v>
      </c>
      <c r="F282" s="4">
        <v>16</v>
      </c>
      <c r="G282" s="10">
        <v>500000</v>
      </c>
      <c r="H282" s="10">
        <f t="shared" si="16"/>
        <v>8000000</v>
      </c>
    </row>
    <row r="283" spans="1:8" s="2" customFormat="1" ht="24" customHeight="1">
      <c r="A283" s="4">
        <v>282</v>
      </c>
      <c r="B283" s="4" t="str">
        <f>"1200000289"</f>
        <v>1200000289</v>
      </c>
      <c r="C283" s="5" t="str">
        <f>"آچار چپقي    38ميليمتر"</f>
        <v>آچار چپقي    38ميليمتر</v>
      </c>
      <c r="D283" s="4" t="str">
        <f>"CHROM VANDIUM   708--ACEZA"</f>
        <v>CHROM VANDIUM   708--ACEZA</v>
      </c>
      <c r="E283" s="4" t="str">
        <f t="shared" si="17"/>
        <v>عدد</v>
      </c>
      <c r="F283" s="4">
        <v>5</v>
      </c>
      <c r="G283" s="10">
        <v>550000</v>
      </c>
      <c r="H283" s="10">
        <f t="shared" si="16"/>
        <v>2750000</v>
      </c>
    </row>
    <row r="284" spans="1:8" s="2" customFormat="1" ht="24" customHeight="1">
      <c r="A284" s="4">
        <v>283</v>
      </c>
      <c r="B284" s="4" t="str">
        <f>"1200000290"</f>
        <v>1200000290</v>
      </c>
      <c r="C284" s="5" t="str">
        <f>"آچار چپقي    35 ميليمتر"</f>
        <v>آچار چپقي    35 ميليمتر</v>
      </c>
      <c r="D284" s="4" t="str">
        <f>"CHROM VANDIUM  708--ACEZA"</f>
        <v>CHROM VANDIUM  708--ACEZA</v>
      </c>
      <c r="E284" s="4" t="str">
        <f t="shared" si="17"/>
        <v>عدد</v>
      </c>
      <c r="F284" s="4">
        <v>2</v>
      </c>
      <c r="G284" s="10">
        <v>550000</v>
      </c>
      <c r="H284" s="10">
        <f t="shared" si="16"/>
        <v>1100000</v>
      </c>
    </row>
    <row r="285" spans="1:8" s="2" customFormat="1" ht="24" customHeight="1">
      <c r="A285" s="6">
        <v>284</v>
      </c>
      <c r="B285" s="4" t="str">
        <f>"1200000291"</f>
        <v>1200000291</v>
      </c>
      <c r="C285" s="5" t="str">
        <f>"آچار چپقي    41ميليمتر"</f>
        <v>آچار چپقي    41ميليمتر</v>
      </c>
      <c r="D285" s="4" t="str">
        <f>"CHROM VANDIUM--ACEZA"</f>
        <v>CHROM VANDIUM--ACEZA</v>
      </c>
      <c r="E285" s="4" t="str">
        <f t="shared" si="17"/>
        <v>عدد</v>
      </c>
      <c r="F285" s="4">
        <v>2</v>
      </c>
      <c r="G285" s="10">
        <v>600000</v>
      </c>
      <c r="H285" s="10">
        <f t="shared" si="16"/>
        <v>1200000</v>
      </c>
    </row>
    <row r="286" spans="1:8" s="2" customFormat="1" ht="24" customHeight="1">
      <c r="A286" s="4">
        <v>285</v>
      </c>
      <c r="B286" s="4" t="str">
        <f>"1200000292"</f>
        <v>1200000292</v>
      </c>
      <c r="C286" s="5" t="str">
        <f>"آچار چپقي    32ميليمتر"</f>
        <v>آچار چپقي    32ميليمتر</v>
      </c>
      <c r="D286" s="4" t="str">
        <f>"32 MM--BUL-LDER"</f>
        <v>32 MM--BUL-LDER</v>
      </c>
      <c r="E286" s="4" t="str">
        <f t="shared" si="17"/>
        <v>عدد</v>
      </c>
      <c r="F286" s="4">
        <v>2</v>
      </c>
      <c r="G286" s="10">
        <v>600000</v>
      </c>
      <c r="H286" s="10">
        <f t="shared" si="16"/>
        <v>1200000</v>
      </c>
    </row>
    <row r="287" spans="1:8" s="2" customFormat="1" ht="24" customHeight="1">
      <c r="A287" s="4">
        <v>286</v>
      </c>
      <c r="B287" s="4" t="str">
        <f>"1200000293"</f>
        <v>1200000293</v>
      </c>
      <c r="C287" s="5" t="str">
        <f>"آچار چپقي    46ميليمتر"</f>
        <v>آچار چپقي    46ميليمتر</v>
      </c>
      <c r="D287" s="4" t="str">
        <f>"HROM VANDIUM  708--ACEZA"</f>
        <v>HROM VANDIUM  708--ACEZA</v>
      </c>
      <c r="E287" s="4" t="str">
        <f t="shared" si="17"/>
        <v>عدد</v>
      </c>
      <c r="F287" s="4">
        <v>1</v>
      </c>
      <c r="G287" s="10">
        <v>700000</v>
      </c>
      <c r="H287" s="10">
        <f t="shared" si="16"/>
        <v>700000</v>
      </c>
    </row>
    <row r="288" spans="1:8" s="2" customFormat="1" ht="24" customHeight="1">
      <c r="A288" s="4">
        <v>287</v>
      </c>
      <c r="B288" s="4" t="str">
        <f>"1200000295"</f>
        <v>1200000295</v>
      </c>
      <c r="C288" s="5" t="str">
        <f>"آچار چپقي    50ميليمتر"</f>
        <v>آچار چپقي    50ميليمتر</v>
      </c>
      <c r="D288" s="4" t="str">
        <f>"CHROM VANDIUM  708--ACEZA"</f>
        <v>CHROM VANDIUM  708--ACEZA</v>
      </c>
      <c r="E288" s="4" t="str">
        <f t="shared" si="17"/>
        <v>عدد</v>
      </c>
      <c r="F288" s="4">
        <v>2</v>
      </c>
      <c r="G288" s="10">
        <v>750000</v>
      </c>
      <c r="H288" s="10">
        <f t="shared" si="16"/>
        <v>1500000</v>
      </c>
    </row>
    <row r="289" spans="1:8" s="2" customFormat="1" ht="24" customHeight="1">
      <c r="A289" s="6">
        <v>288</v>
      </c>
      <c r="B289" s="4" t="str">
        <f>"1200000296"</f>
        <v>1200000296</v>
      </c>
      <c r="C289" s="5" t="str">
        <f>"سنبه نشان   120*4"</f>
        <v>سنبه نشان   120*4</v>
      </c>
      <c r="D289" s="4" t="str">
        <f>"120*4--IRAN POTK"</f>
        <v>120*4--IRAN POTK</v>
      </c>
      <c r="E289" s="4" t="str">
        <f t="shared" si="17"/>
        <v>عدد</v>
      </c>
      <c r="F289" s="4">
        <v>48</v>
      </c>
      <c r="G289" s="10">
        <v>70000</v>
      </c>
      <c r="H289" s="10">
        <f t="shared" si="16"/>
        <v>3360000</v>
      </c>
    </row>
    <row r="290" spans="1:8" s="2" customFormat="1" ht="24" customHeight="1">
      <c r="A290" s="4">
        <v>289</v>
      </c>
      <c r="B290" s="4" t="str">
        <f>"1200000297"</f>
        <v>1200000297</v>
      </c>
      <c r="C290" s="5" t="str">
        <f>"سنبه نشان  5*120"</f>
        <v>سنبه نشان  5*120</v>
      </c>
      <c r="D290" s="4" t="str">
        <f>"120*5--IRAN POTK"</f>
        <v>120*5--IRAN POTK</v>
      </c>
      <c r="E290" s="4" t="str">
        <f t="shared" si="17"/>
        <v>عدد</v>
      </c>
      <c r="F290" s="4">
        <v>35</v>
      </c>
      <c r="G290" s="10">
        <v>80000</v>
      </c>
      <c r="H290" s="10">
        <f t="shared" si="16"/>
        <v>2800000</v>
      </c>
    </row>
    <row r="291" spans="1:8" s="2" customFormat="1" ht="24" customHeight="1">
      <c r="A291" s="4">
        <v>290</v>
      </c>
      <c r="B291" s="4" t="str">
        <f>"1200000298"</f>
        <v>1200000298</v>
      </c>
      <c r="C291" s="5" t="str">
        <f>"سنبه نشان 5*150"</f>
        <v>سنبه نشان 5*150</v>
      </c>
      <c r="D291" s="4" t="str">
        <f>"150*5--IRAN POTK"</f>
        <v>150*5--IRAN POTK</v>
      </c>
      <c r="E291" s="4" t="str">
        <f t="shared" si="17"/>
        <v>عدد</v>
      </c>
      <c r="F291" s="4">
        <v>66</v>
      </c>
      <c r="G291" s="10">
        <v>100000</v>
      </c>
      <c r="H291" s="10">
        <f t="shared" si="16"/>
        <v>6600000</v>
      </c>
    </row>
    <row r="292" spans="1:8" s="2" customFormat="1" ht="24" customHeight="1">
      <c r="A292" s="4">
        <v>291</v>
      </c>
      <c r="B292" s="4" t="str">
        <f>"1200000299"</f>
        <v>1200000299</v>
      </c>
      <c r="C292" s="5" t="str">
        <f>"سنبه نشان 8*150"</f>
        <v>سنبه نشان 8*150</v>
      </c>
      <c r="D292" s="4" t="str">
        <f>"150*8--IRAN POTK"</f>
        <v>150*8--IRAN POTK</v>
      </c>
      <c r="E292" s="4" t="str">
        <f t="shared" si="17"/>
        <v>عدد</v>
      </c>
      <c r="F292" s="4">
        <v>53</v>
      </c>
      <c r="G292" s="10">
        <v>120000</v>
      </c>
      <c r="H292" s="10">
        <f t="shared" si="16"/>
        <v>6360000</v>
      </c>
    </row>
    <row r="293" spans="1:8" s="2" customFormat="1" ht="24" customHeight="1">
      <c r="A293" s="6">
        <v>292</v>
      </c>
      <c r="B293" s="4" t="str">
        <f>"1200000300"</f>
        <v>1200000300</v>
      </c>
      <c r="C293" s="5" t="str">
        <f>"قلم كنده كاري سر تخت   16*200"</f>
        <v>قلم كنده كاري سر تخت   16*200</v>
      </c>
      <c r="D293" s="4" t="str">
        <f>"200*16--IRAN POTK"</f>
        <v>200*16--IRAN POTK</v>
      </c>
      <c r="E293" s="4" t="str">
        <f t="shared" si="17"/>
        <v>عدد</v>
      </c>
      <c r="F293" s="4">
        <v>22</v>
      </c>
      <c r="G293" s="10">
        <v>150000</v>
      </c>
      <c r="H293" s="10">
        <f t="shared" si="16"/>
        <v>3300000</v>
      </c>
    </row>
    <row r="294" spans="1:8" s="2" customFormat="1" ht="24" customHeight="1">
      <c r="A294" s="4">
        <v>293</v>
      </c>
      <c r="B294" s="4" t="str">
        <f>"1200000301"</f>
        <v>1200000301</v>
      </c>
      <c r="C294" s="5" t="str">
        <f>"قلم كنده كاري سر تخت 16*250"</f>
        <v>قلم كنده كاري سر تخت 16*250</v>
      </c>
      <c r="D294" s="4" t="str">
        <f>"250*16--IRAN POTK"</f>
        <v>250*16--IRAN POTK</v>
      </c>
      <c r="E294" s="4" t="str">
        <f t="shared" si="17"/>
        <v>عدد</v>
      </c>
      <c r="F294" s="4">
        <v>29</v>
      </c>
      <c r="G294" s="10">
        <v>180000</v>
      </c>
      <c r="H294" s="10">
        <f t="shared" si="16"/>
        <v>5220000</v>
      </c>
    </row>
    <row r="295" spans="1:8" s="2" customFormat="1" ht="24" customHeight="1">
      <c r="A295" s="4">
        <v>294</v>
      </c>
      <c r="B295" s="4" t="str">
        <f>"1200000302"</f>
        <v>1200000302</v>
      </c>
      <c r="C295" s="5" t="str">
        <f>"قلم كنده كاري سر تخت 18*400"</f>
        <v>قلم كنده كاري سر تخت 18*400</v>
      </c>
      <c r="D295" s="4" t="str">
        <f>"400*18--IRAN POTK"</f>
        <v>400*18--IRAN POTK</v>
      </c>
      <c r="E295" s="4" t="str">
        <f t="shared" si="17"/>
        <v>عدد</v>
      </c>
      <c r="F295" s="4">
        <v>15</v>
      </c>
      <c r="G295" s="10">
        <v>400000</v>
      </c>
      <c r="H295" s="10">
        <f t="shared" si="16"/>
        <v>6000000</v>
      </c>
    </row>
    <row r="296" spans="1:8" s="2" customFormat="1" ht="24" customHeight="1">
      <c r="A296" s="4">
        <v>295</v>
      </c>
      <c r="B296" s="4" t="str">
        <f>"1200000303"</f>
        <v>1200000303</v>
      </c>
      <c r="C296" s="5" t="str">
        <f>"قلم كنده كاري سر تخت  1710"</f>
        <v>قلم كنده كاري سر تخت  1710</v>
      </c>
      <c r="D296" s="4" t="str">
        <f>"1710--IRAN POTK"</f>
        <v>1710--IRAN POTK</v>
      </c>
      <c r="E296" s="4" t="str">
        <f t="shared" si="17"/>
        <v>عدد</v>
      </c>
      <c r="F296" s="4">
        <v>25</v>
      </c>
      <c r="G296" s="10">
        <v>250000</v>
      </c>
      <c r="H296" s="10">
        <f t="shared" si="16"/>
        <v>6250000</v>
      </c>
    </row>
    <row r="297" spans="1:8" s="2" customFormat="1" ht="24" customHeight="1">
      <c r="A297" s="6">
        <v>296</v>
      </c>
      <c r="B297" s="4" t="str">
        <f>"1200000304"</f>
        <v>1200000304</v>
      </c>
      <c r="C297" s="5" t="str">
        <f>"قلم كنده كاري سر تخت 13*23"</f>
        <v>قلم كنده كاري سر تخت 13*23</v>
      </c>
      <c r="D297" s="4" t="str">
        <f>"L300--IRAN POTK"</f>
        <v>L300--IRAN POTK</v>
      </c>
      <c r="E297" s="4" t="str">
        <f t="shared" si="17"/>
        <v>عدد</v>
      </c>
      <c r="F297" s="4">
        <v>18</v>
      </c>
      <c r="G297" s="10">
        <v>300000</v>
      </c>
      <c r="H297" s="10">
        <f t="shared" si="16"/>
        <v>5400000</v>
      </c>
    </row>
    <row r="298" spans="1:8" s="2" customFormat="1" ht="24" customHeight="1">
      <c r="A298" s="4">
        <v>297</v>
      </c>
      <c r="B298" s="4" t="str">
        <f>"1200000307"</f>
        <v>1200000307</v>
      </c>
      <c r="C298" s="5" t="str">
        <f>"پانچ حروف انگليسي 6ميليمتر"</f>
        <v>پانچ حروف انگليسي 6ميليمتر</v>
      </c>
      <c r="D298" s="4" t="str">
        <f>"10*10   - 6mm   2810- ست 27 عددي--IRAN POTK"</f>
        <v>10*10   - 6mm   2810- ست 27 عددي--IRAN POTK</v>
      </c>
      <c r="E298" s="4" t="str">
        <f>"بسته"</f>
        <v>بسته</v>
      </c>
      <c r="F298" s="4">
        <v>11</v>
      </c>
      <c r="G298" s="10">
        <v>700000</v>
      </c>
      <c r="H298" s="10">
        <f t="shared" si="16"/>
        <v>7700000</v>
      </c>
    </row>
    <row r="299" spans="1:8" s="2" customFormat="1" ht="24" customHeight="1">
      <c r="A299" s="4">
        <v>298</v>
      </c>
      <c r="B299" s="4" t="str">
        <f>"1200000308"</f>
        <v>1200000308</v>
      </c>
      <c r="C299" s="5" t="str">
        <f>"سوهان تخت 10سانتيمتر بدون دست"</f>
        <v>سوهان تخت 10سانتيمتر بدون دست</v>
      </c>
      <c r="D299" s="4" t="str">
        <f>"10سانتيمتر"</f>
        <v>10سانتيمتر</v>
      </c>
      <c r="E299" s="4" t="str">
        <f>"بسته"</f>
        <v>بسته</v>
      </c>
      <c r="F299" s="4">
        <v>4</v>
      </c>
      <c r="G299" s="10">
        <v>150000</v>
      </c>
      <c r="H299" s="10">
        <f t="shared" si="16"/>
        <v>600000</v>
      </c>
    </row>
    <row r="300" spans="1:8" s="2" customFormat="1" ht="24" customHeight="1">
      <c r="A300" s="4">
        <v>299</v>
      </c>
      <c r="B300" s="4" t="str">
        <f>"1200000309"</f>
        <v>1200000309</v>
      </c>
      <c r="C300" s="5" t="str">
        <f>"قلم پانچ- 3mm -25mm ست 12عددي"</f>
        <v>قلم پانچ- 3mm -25mm ست 12عددي</v>
      </c>
      <c r="D300" s="4" t="str">
        <f>"3M ...25M--COCACO"</f>
        <v>3M ...25M--COCACO</v>
      </c>
      <c r="E300" s="4" t="str">
        <f>"جعبه"</f>
        <v>جعبه</v>
      </c>
      <c r="F300" s="4">
        <v>5</v>
      </c>
      <c r="G300" s="10">
        <v>2500000</v>
      </c>
      <c r="H300" s="10">
        <f t="shared" si="16"/>
        <v>12500000</v>
      </c>
    </row>
    <row r="301" spans="1:8" s="2" customFormat="1" ht="24" customHeight="1">
      <c r="A301" s="6">
        <v>300</v>
      </c>
      <c r="B301" s="4" t="str">
        <f>"1200000310"</f>
        <v>1200000310</v>
      </c>
      <c r="C301" s="5" t="str">
        <f>"آچار بكس 6 پر دسته دار 30 ميليمتر"</f>
        <v>آچار بكس 6 پر دسته دار 30 ميليمتر</v>
      </c>
      <c r="D301" s="4" t="str">
        <f>"TA"</f>
        <v>TA</v>
      </c>
      <c r="E301" s="4" t="str">
        <f t="shared" ref="E301:E317" si="18">"عدد"</f>
        <v>عدد</v>
      </c>
      <c r="F301" s="4">
        <v>1</v>
      </c>
      <c r="G301" s="10">
        <v>400000</v>
      </c>
      <c r="H301" s="10">
        <f t="shared" si="16"/>
        <v>400000</v>
      </c>
    </row>
    <row r="302" spans="1:8" s="2" customFormat="1" ht="24" customHeight="1">
      <c r="A302" s="4">
        <v>301</v>
      </c>
      <c r="B302" s="4" t="str">
        <f>"1200000311"</f>
        <v>1200000311</v>
      </c>
      <c r="C302" s="5" t="str">
        <f>"آچار دو سر رينگي ست 12 عددي"</f>
        <v>آچار دو سر رينگي ست 12 عددي</v>
      </c>
      <c r="D302" s="4" t="str">
        <f>"6-7....30-32--RAHSOL  GERMANY"</f>
        <v>6-7....30-32--RAHSOL  GERMANY</v>
      </c>
      <c r="E302" s="4" t="str">
        <f t="shared" si="18"/>
        <v>عدد</v>
      </c>
      <c r="F302" s="4">
        <v>26</v>
      </c>
      <c r="G302" s="10">
        <v>1000000</v>
      </c>
      <c r="H302" s="10">
        <f t="shared" si="16"/>
        <v>26000000</v>
      </c>
    </row>
    <row r="303" spans="1:8" s="2" customFormat="1" ht="24" customHeight="1">
      <c r="A303" s="4">
        <v>302</v>
      </c>
      <c r="B303" s="4" t="str">
        <f>"1200000312"</f>
        <v>1200000312</v>
      </c>
      <c r="C303" s="5" t="str">
        <f>"واشر بر پرگاري کوچک"</f>
        <v>واشر بر پرگاري کوچک</v>
      </c>
      <c r="D303" s="4" t="str">
        <f>"CC330  FRANCE-LB C60--BOAHM"</f>
        <v>CC330  FRANCE-LB C60--BOAHM</v>
      </c>
      <c r="E303" s="4" t="str">
        <f t="shared" si="18"/>
        <v>عدد</v>
      </c>
      <c r="F303" s="4">
        <v>5</v>
      </c>
      <c r="G303" s="10">
        <v>4000000</v>
      </c>
      <c r="H303" s="10">
        <f t="shared" si="16"/>
        <v>20000000</v>
      </c>
    </row>
    <row r="304" spans="1:8" s="2" customFormat="1" ht="24" customHeight="1">
      <c r="A304" s="4">
        <v>303</v>
      </c>
      <c r="B304" s="4" t="str">
        <f>"1200000313"</f>
        <v>1200000313</v>
      </c>
      <c r="C304" s="5" t="str">
        <f>"خار بازکن نوک کج عايق دار55-10W"</f>
        <v>خار بازکن نوک کج عايق دار55-10W</v>
      </c>
      <c r="D304" s="4" t="str">
        <f>"A11- 10-25MM--ORBIS GERMAN 55 - 10W"</f>
        <v>A11- 10-25MM--ORBIS GERMAN 55 - 10W</v>
      </c>
      <c r="E304" s="4" t="str">
        <f t="shared" si="18"/>
        <v>عدد</v>
      </c>
      <c r="F304" s="4">
        <v>6</v>
      </c>
      <c r="G304" s="10">
        <v>650000</v>
      </c>
      <c r="H304" s="10">
        <f t="shared" si="16"/>
        <v>3900000</v>
      </c>
    </row>
    <row r="305" spans="1:8" s="2" customFormat="1" ht="24" customHeight="1">
      <c r="A305" s="6">
        <v>304</v>
      </c>
      <c r="B305" s="4" t="str">
        <f>"1200000314"</f>
        <v>1200000314</v>
      </c>
      <c r="C305" s="5" t="str">
        <f>"خار جمع کن نوک کج بزرگ عايق دار 57 -85W"</f>
        <v>خار جمع کن نوک کج بزرگ عايق دار 57 -85W</v>
      </c>
      <c r="D305" s="4" t="str">
        <f>"J41-85-165 -ORBIS GERMAN  57-85"</f>
        <v>J41-85-165 -ORBIS GERMAN  57-85</v>
      </c>
      <c r="E305" s="4" t="str">
        <f t="shared" si="18"/>
        <v>عدد</v>
      </c>
      <c r="F305" s="4">
        <v>1</v>
      </c>
      <c r="G305" s="10">
        <v>650000</v>
      </c>
      <c r="H305" s="10">
        <f t="shared" si="16"/>
        <v>650000</v>
      </c>
    </row>
    <row r="306" spans="1:8" s="2" customFormat="1" ht="24" customHeight="1">
      <c r="A306" s="4">
        <v>305</v>
      </c>
      <c r="B306" s="4" t="str">
        <f>"1200000315"</f>
        <v>1200000315</v>
      </c>
      <c r="C306" s="5" t="str">
        <f>"سوهان تخت 30سانتي بدون دسته"</f>
        <v>سوهان تخت 30سانتي بدون دسته</v>
      </c>
      <c r="D306" s="4" t="str">
        <f>"آلماني"</f>
        <v>آلماني</v>
      </c>
      <c r="E306" s="4" t="str">
        <f t="shared" si="18"/>
        <v>عدد</v>
      </c>
      <c r="F306" s="4">
        <v>7</v>
      </c>
      <c r="G306" s="10">
        <v>250000</v>
      </c>
      <c r="H306" s="10">
        <f t="shared" si="16"/>
        <v>1750000</v>
      </c>
    </row>
    <row r="307" spans="1:8" s="2" customFormat="1" ht="24" customHeight="1">
      <c r="A307" s="4">
        <v>306</v>
      </c>
      <c r="B307" s="4" t="str">
        <f>"1200000316"</f>
        <v>1200000316</v>
      </c>
      <c r="C307" s="5" t="str">
        <f>"خار جمع کن مستقيم عايق دار190- 56"</f>
        <v>خار جمع کن مستقيم عايق دار190- 56</v>
      </c>
      <c r="D307" s="4" t="str">
        <f>"A2 -19-60MM-ORBIS GERMAN  56-190"</f>
        <v>A2 -19-60MM-ORBIS GERMAN  56-190</v>
      </c>
      <c r="E307" s="4" t="str">
        <f t="shared" si="18"/>
        <v>عدد</v>
      </c>
      <c r="F307" s="4">
        <v>19</v>
      </c>
      <c r="G307" s="10">
        <v>700000</v>
      </c>
      <c r="H307" s="10">
        <f t="shared" si="16"/>
        <v>13300000</v>
      </c>
    </row>
    <row r="308" spans="1:8" s="2" customFormat="1" ht="24" customHeight="1">
      <c r="A308" s="4">
        <v>307</v>
      </c>
      <c r="B308" s="4" t="str">
        <f>"1200000317"</f>
        <v>1200000317</v>
      </c>
      <c r="C308" s="5" t="str">
        <f>"خار بازکن مستقيم عايق دار 54 -10W"</f>
        <v>خار بازکن مستقيم عايق دار 54 -10W</v>
      </c>
      <c r="D308" s="4" t="str">
        <f>"A1-10-25 -ORBIS GERMAN  -54 -10W"</f>
        <v>A1-10-25 -ORBIS GERMAN  -54 -10W</v>
      </c>
      <c r="E308" s="4" t="str">
        <f t="shared" si="18"/>
        <v>عدد</v>
      </c>
      <c r="F308" s="4">
        <v>6</v>
      </c>
      <c r="G308" s="10">
        <v>700000</v>
      </c>
      <c r="H308" s="10">
        <f t="shared" si="16"/>
        <v>4200000</v>
      </c>
    </row>
    <row r="309" spans="1:8" s="2" customFormat="1" ht="24" customHeight="1">
      <c r="A309" s="6">
        <v>308</v>
      </c>
      <c r="B309" s="4" t="str">
        <f>"1200000318"</f>
        <v>1200000318</v>
      </c>
      <c r="C309" s="5" t="str">
        <f>"گاز انبر عايق دار"</f>
        <v>گاز انبر عايق دار</v>
      </c>
      <c r="D309" s="4" t="str">
        <f>"180 DIN ISO  9243--ORBIS GERMAN"</f>
        <v>180 DIN ISO  9243--ORBIS GERMAN</v>
      </c>
      <c r="E309" s="4" t="str">
        <f t="shared" si="18"/>
        <v>عدد</v>
      </c>
      <c r="F309" s="4">
        <v>4</v>
      </c>
      <c r="G309" s="10">
        <v>800000</v>
      </c>
      <c r="H309" s="10">
        <f t="shared" si="16"/>
        <v>3200000</v>
      </c>
    </row>
    <row r="310" spans="1:8" s="2" customFormat="1" ht="24" customHeight="1">
      <c r="A310" s="4">
        <v>309</v>
      </c>
      <c r="B310" s="4" t="str">
        <f>"1200000319"</f>
        <v>1200000319</v>
      </c>
      <c r="C310" s="5" t="str">
        <f>"خار جمع کن مستقيم عايق دار56-40W"</f>
        <v>خار جمع کن مستقيم عايق دار56-40W</v>
      </c>
      <c r="D310" s="4" t="str">
        <f>"J2- 19-60MM--ORBIS GERMAN-40W -56"</f>
        <v>J2- 19-60MM--ORBIS GERMAN-40W -56</v>
      </c>
      <c r="E310" s="4" t="str">
        <f t="shared" si="18"/>
        <v>عدد</v>
      </c>
      <c r="F310" s="4">
        <v>7</v>
      </c>
      <c r="G310" s="10">
        <v>700000</v>
      </c>
      <c r="H310" s="10">
        <f t="shared" si="16"/>
        <v>4900000</v>
      </c>
    </row>
    <row r="311" spans="1:8" s="2" customFormat="1" ht="24" customHeight="1">
      <c r="A311" s="4">
        <v>310</v>
      </c>
      <c r="B311" s="4" t="str">
        <f>"1200000320"</f>
        <v>1200000320</v>
      </c>
      <c r="C311" s="5" t="str">
        <f>"آچار يك سرتخت دم موشي 32 ميليمتر"</f>
        <v>آچار يك سرتخت دم موشي 32 ميليمتر</v>
      </c>
      <c r="D311" s="4" t="str">
        <f>""</f>
        <v/>
      </c>
      <c r="E311" s="4" t="str">
        <f t="shared" si="18"/>
        <v>عدد</v>
      </c>
      <c r="F311" s="4">
        <v>1</v>
      </c>
      <c r="G311" s="10">
        <v>600000</v>
      </c>
      <c r="H311" s="10">
        <f t="shared" si="16"/>
        <v>600000</v>
      </c>
    </row>
    <row r="312" spans="1:8" s="2" customFormat="1" ht="24" customHeight="1">
      <c r="A312" s="4">
        <v>311</v>
      </c>
      <c r="B312" s="4" t="str">
        <f>"1200000321"</f>
        <v>1200000321</v>
      </c>
      <c r="C312" s="5" t="str">
        <f>"خار جمع کن عايق دار مستقيم56 -120W"</f>
        <v>خار جمع کن عايق دار مستقيم56 -120W</v>
      </c>
      <c r="D312" s="4" t="str">
        <f>"J1- 12-25MM--ORBIS GERMAN -120W-56"</f>
        <v>J1- 12-25MM--ORBIS GERMAN -120W-56</v>
      </c>
      <c r="E312" s="4" t="str">
        <f t="shared" si="18"/>
        <v>عدد</v>
      </c>
      <c r="F312" s="4">
        <v>14</v>
      </c>
      <c r="G312" s="10">
        <v>800000</v>
      </c>
      <c r="H312" s="10">
        <f t="shared" si="16"/>
        <v>11200000</v>
      </c>
    </row>
    <row r="313" spans="1:8" s="2" customFormat="1" ht="24" customHeight="1">
      <c r="A313" s="6">
        <v>312</v>
      </c>
      <c r="B313" s="4" t="str">
        <f>"1200000322"</f>
        <v>1200000322</v>
      </c>
      <c r="C313" s="5" t="str">
        <f>"آچار آلن 21ميليمتر"</f>
        <v>آچار آلن 21ميليمتر</v>
      </c>
      <c r="D313" s="4" t="str">
        <f>"21MM -JAPAN"</f>
        <v>21MM -JAPAN</v>
      </c>
      <c r="E313" s="4" t="str">
        <f t="shared" si="18"/>
        <v>عدد</v>
      </c>
      <c r="F313" s="4">
        <v>1</v>
      </c>
      <c r="G313" s="10">
        <v>650000</v>
      </c>
      <c r="H313" s="10">
        <f t="shared" si="16"/>
        <v>650000</v>
      </c>
    </row>
    <row r="314" spans="1:8" s="2" customFormat="1" ht="24" customHeight="1">
      <c r="A314" s="4">
        <v>313</v>
      </c>
      <c r="B314" s="4" t="str">
        <f>"1200000323"</f>
        <v>1200000323</v>
      </c>
      <c r="C314" s="5" t="str">
        <f>"خار باز کن عايق دار مستقيم40 -100W"</f>
        <v>خار باز کن عايق دار مستقيم40 -100W</v>
      </c>
      <c r="D314" s="4" t="str">
        <f>" A 3 -11-46 VANDIUM GERMNAY- KNIPEX40-100W"</f>
        <v xml:space="preserve"> A 3 -11-46 VANDIUM GERMNAY- KNIPEX40-100W</v>
      </c>
      <c r="E314" s="4" t="str">
        <f t="shared" si="18"/>
        <v>عدد</v>
      </c>
      <c r="F314" s="4">
        <v>12</v>
      </c>
      <c r="G314" s="10">
        <v>650000</v>
      </c>
      <c r="H314" s="10">
        <f t="shared" si="16"/>
        <v>7800000</v>
      </c>
    </row>
    <row r="315" spans="1:8" s="2" customFormat="1" ht="24" customHeight="1">
      <c r="A315" s="4">
        <v>314</v>
      </c>
      <c r="B315" s="4" t="str">
        <f>"1200000324"</f>
        <v>1200000324</v>
      </c>
      <c r="C315" s="5" t="str">
        <f>"خار بازکن بزرگ دندانه دار بدون عايق"</f>
        <v>خار بازکن بزرگ دندانه دار بدون عايق</v>
      </c>
      <c r="D315" s="4" t="str">
        <f>"8000J 4EL--GEDORE AUSTRIA"</f>
        <v>8000J 4EL--GEDORE AUSTRIA</v>
      </c>
      <c r="E315" s="4" t="str">
        <f t="shared" si="18"/>
        <v>عدد</v>
      </c>
      <c r="F315" s="4">
        <v>2</v>
      </c>
      <c r="G315" s="10">
        <v>650000</v>
      </c>
      <c r="H315" s="10">
        <f t="shared" si="16"/>
        <v>1300000</v>
      </c>
    </row>
    <row r="316" spans="1:8" s="2" customFormat="1" ht="24" customHeight="1">
      <c r="A316" s="4">
        <v>315</v>
      </c>
      <c r="B316" s="4" t="str">
        <f>"1200000325"</f>
        <v>1200000325</v>
      </c>
      <c r="C316" s="5" t="str">
        <f>"آچار دو سر تخت 80-75ميليمتر"</f>
        <v>آچار دو سر تخت 80-75ميليمتر</v>
      </c>
      <c r="D316" s="4" t="str">
        <f>"DIN 895--GEDORE GERMANY"</f>
        <v>DIN 895--GEDORE GERMANY</v>
      </c>
      <c r="E316" s="4" t="str">
        <f t="shared" si="18"/>
        <v>عدد</v>
      </c>
      <c r="F316" s="4">
        <v>3</v>
      </c>
      <c r="G316" s="10">
        <v>1300000</v>
      </c>
      <c r="H316" s="10">
        <f t="shared" si="16"/>
        <v>3900000</v>
      </c>
    </row>
    <row r="317" spans="1:8" s="2" customFormat="1" ht="24" customHeight="1">
      <c r="A317" s="6">
        <v>316</v>
      </c>
      <c r="B317" s="4" t="str">
        <f>"1200000326"</f>
        <v>1200000326</v>
      </c>
      <c r="C317" s="5" t="str">
        <f>"مقار دسته پلاستيکي استيل"</f>
        <v>مقار دسته پلاستيکي استيل</v>
      </c>
      <c r="D317" s="4" t="str">
        <f>"Cr-Mn-Steel--NAREX"</f>
        <v>Cr-Mn-Steel--NAREX</v>
      </c>
      <c r="E317" s="4" t="str">
        <f t="shared" si="18"/>
        <v>عدد</v>
      </c>
      <c r="F317" s="4">
        <v>15</v>
      </c>
      <c r="G317" s="10">
        <v>250000</v>
      </c>
      <c r="H317" s="10">
        <f t="shared" si="16"/>
        <v>3750000</v>
      </c>
    </row>
    <row r="318" spans="1:8" s="2" customFormat="1" ht="24" customHeight="1">
      <c r="A318" s="4">
        <v>317</v>
      </c>
      <c r="B318" s="4" t="str">
        <f>"1200000327"</f>
        <v>1200000327</v>
      </c>
      <c r="C318" s="5" t="str">
        <f>"تسمه بار كنفي3 تني 8متري"</f>
        <v>تسمه بار كنفي3 تني 8متري</v>
      </c>
      <c r="D318" s="4" t="str">
        <f>"8متري - 3 تني--SW-COL"</f>
        <v>8متري - 3 تني--SW-COL</v>
      </c>
      <c r="E318" s="4" t="str">
        <f t="shared" ref="E318:E324" si="19">"کلاف"</f>
        <v>کلاف</v>
      </c>
      <c r="F318" s="4">
        <v>7</v>
      </c>
      <c r="G318" s="10">
        <v>1500000</v>
      </c>
      <c r="H318" s="10">
        <f t="shared" si="16"/>
        <v>10500000</v>
      </c>
    </row>
    <row r="319" spans="1:8" s="2" customFormat="1" ht="24" customHeight="1">
      <c r="A319" s="4">
        <v>318</v>
      </c>
      <c r="B319" s="4" t="str">
        <f>"1200000328"</f>
        <v>1200000328</v>
      </c>
      <c r="C319" s="5" t="str">
        <f>"تسمه بار کنفي 3تني 10متري"</f>
        <v>تسمه بار کنفي 3تني 10متري</v>
      </c>
      <c r="D319" s="4" t="str">
        <f>"10متري  3تني--SW-COL"</f>
        <v>10متري  3تني--SW-COL</v>
      </c>
      <c r="E319" s="4" t="str">
        <f t="shared" si="19"/>
        <v>کلاف</v>
      </c>
      <c r="F319" s="4">
        <v>8</v>
      </c>
      <c r="G319" s="10">
        <v>1600000</v>
      </c>
      <c r="H319" s="10">
        <f t="shared" si="16"/>
        <v>12800000</v>
      </c>
    </row>
    <row r="320" spans="1:8" s="2" customFormat="1" ht="24" customHeight="1">
      <c r="A320" s="4">
        <v>319</v>
      </c>
      <c r="B320" s="4" t="str">
        <f>"1200000329"</f>
        <v>1200000329</v>
      </c>
      <c r="C320" s="5" t="str">
        <f>"تسمه بار کنفي 6 تني 3متري"</f>
        <v>تسمه بار کنفي 6 تني 3متري</v>
      </c>
      <c r="D320" s="4" t="str">
        <f>"3متري 6تني--SW-COL"</f>
        <v>3متري 6تني--SW-COL</v>
      </c>
      <c r="E320" s="4" t="str">
        <f t="shared" si="19"/>
        <v>کلاف</v>
      </c>
      <c r="F320" s="4">
        <v>3</v>
      </c>
      <c r="G320" s="10">
        <v>500000</v>
      </c>
      <c r="H320" s="10">
        <f t="shared" si="16"/>
        <v>1500000</v>
      </c>
    </row>
    <row r="321" spans="1:8" s="2" customFormat="1" ht="24" customHeight="1">
      <c r="A321" s="6">
        <v>320</v>
      </c>
      <c r="B321" s="4" t="str">
        <f>"1200000331"</f>
        <v>1200000331</v>
      </c>
      <c r="C321" s="5" t="str">
        <f>"تسمه بار كنفي 3تني 12متري"</f>
        <v>تسمه بار كنفي 3تني 12متري</v>
      </c>
      <c r="D321" s="4" t="str">
        <f>"12متري 3تني--SW-COL"</f>
        <v>12متري 3تني--SW-COL</v>
      </c>
      <c r="E321" s="4" t="str">
        <f t="shared" si="19"/>
        <v>کلاف</v>
      </c>
      <c r="F321" s="4">
        <v>10</v>
      </c>
      <c r="G321" s="10">
        <v>1700000</v>
      </c>
      <c r="H321" s="10">
        <f t="shared" si="16"/>
        <v>17000000</v>
      </c>
    </row>
    <row r="322" spans="1:8" s="2" customFormat="1" ht="24" customHeight="1">
      <c r="A322" s="4">
        <v>321</v>
      </c>
      <c r="B322" s="4" t="str">
        <f>"1200000332"</f>
        <v>1200000332</v>
      </c>
      <c r="C322" s="5" t="str">
        <f>"تسمه بار كنفي 12تني 10متري"</f>
        <v>تسمه بار كنفي 12تني 10متري</v>
      </c>
      <c r="D322" s="4" t="str">
        <f>"10متري 12تني--SW-COL"</f>
        <v>10متري 12تني--SW-COL</v>
      </c>
      <c r="E322" s="4" t="str">
        <f t="shared" si="19"/>
        <v>کلاف</v>
      </c>
      <c r="F322" s="4">
        <v>4</v>
      </c>
      <c r="G322" s="10">
        <v>2000000</v>
      </c>
      <c r="H322" s="10">
        <f t="shared" si="16"/>
        <v>8000000</v>
      </c>
    </row>
    <row r="323" spans="1:8" s="2" customFormat="1" ht="24" customHeight="1">
      <c r="A323" s="4">
        <v>322</v>
      </c>
      <c r="B323" s="4" t="str">
        <f>"1200000333"</f>
        <v>1200000333</v>
      </c>
      <c r="C323" s="5" t="str">
        <f>"تسمه بار ابريشمي 1تني 4متري"</f>
        <v>تسمه بار ابريشمي 1تني 4متري</v>
      </c>
      <c r="D323" s="4" t="str">
        <f>"1تني 4متري"</f>
        <v>1تني 4متري</v>
      </c>
      <c r="E323" s="4" t="str">
        <f t="shared" si="19"/>
        <v>کلاف</v>
      </c>
      <c r="F323" s="4">
        <v>1</v>
      </c>
      <c r="G323" s="10">
        <v>350000</v>
      </c>
      <c r="H323" s="10">
        <f t="shared" si="16"/>
        <v>350000</v>
      </c>
    </row>
    <row r="324" spans="1:8" s="2" customFormat="1" ht="24" customHeight="1">
      <c r="A324" s="4">
        <v>323</v>
      </c>
      <c r="B324" s="4" t="str">
        <f>"1200000334"</f>
        <v>1200000334</v>
      </c>
      <c r="C324" s="5" t="str">
        <f>"تسمه بار كنفي 6تني 10متري"</f>
        <v>تسمه بار كنفي 6تني 10متري</v>
      </c>
      <c r="D324" s="4" t="str">
        <f>"10متري 6تني--SW-COL"</f>
        <v>10متري 6تني--SW-COL</v>
      </c>
      <c r="E324" s="4" t="str">
        <f t="shared" si="19"/>
        <v>کلاف</v>
      </c>
      <c r="F324" s="4">
        <v>3</v>
      </c>
      <c r="G324" s="10">
        <v>1800000</v>
      </c>
      <c r="H324" s="10">
        <f t="shared" si="16"/>
        <v>5400000</v>
      </c>
    </row>
    <row r="325" spans="1:8" s="2" customFormat="1" ht="24" customHeight="1">
      <c r="A325" s="6">
        <v>324</v>
      </c>
      <c r="B325" s="4" t="str">
        <f>"1200000335"</f>
        <v>1200000335</v>
      </c>
      <c r="C325" s="5" t="str">
        <f>"آچار دو سر تخت 75-70ميليمتر"</f>
        <v>آچار دو سر تخت 75-70ميليمتر</v>
      </c>
      <c r="D325" s="4" t="str">
        <f>"SUPER MOLYBDIN--STAHL WILLE"</f>
        <v>SUPER MOLYBDIN--STAHL WILLE</v>
      </c>
      <c r="E325" s="4" t="str">
        <f t="shared" ref="E325:E341" si="20">"عدد"</f>
        <v>عدد</v>
      </c>
      <c r="F325" s="4">
        <v>6</v>
      </c>
      <c r="G325" s="10">
        <v>1250000</v>
      </c>
      <c r="H325" s="10">
        <f t="shared" ref="H325:H388" si="21">F325*G325</f>
        <v>7500000</v>
      </c>
    </row>
    <row r="326" spans="1:8" s="2" customFormat="1" ht="24" customHeight="1">
      <c r="A326" s="4">
        <v>325</v>
      </c>
      <c r="B326" s="4" t="str">
        <f>"1200000336"</f>
        <v>1200000336</v>
      </c>
      <c r="C326" s="5" t="str">
        <f>"آچار دو سر تخت 70-65ميليمتر"</f>
        <v>آچار دو سر تخت 70-65ميليمتر</v>
      </c>
      <c r="D326" s="4" t="str">
        <f>"DIN 895--GEDORE"</f>
        <v>DIN 895--GEDORE</v>
      </c>
      <c r="E326" s="4" t="str">
        <f t="shared" si="20"/>
        <v>عدد</v>
      </c>
      <c r="F326" s="4">
        <v>2</v>
      </c>
      <c r="G326" s="10">
        <v>1200000</v>
      </c>
      <c r="H326" s="10">
        <f t="shared" si="21"/>
        <v>2400000</v>
      </c>
    </row>
    <row r="327" spans="1:8" s="2" customFormat="1" ht="24" customHeight="1">
      <c r="A327" s="4">
        <v>326</v>
      </c>
      <c r="B327" s="4" t="str">
        <f>"1200000337"</f>
        <v>1200000337</v>
      </c>
      <c r="C327" s="5" t="str">
        <f>"آچار دو سر تخت17- 16ميليمتر"</f>
        <v>آچار دو سر تخت17- 16ميليمتر</v>
      </c>
      <c r="D327" s="4" t="str">
        <f>"50-55 YUGOSLAVIJA--TANG"</f>
        <v>50-55 YUGOSLAVIJA--TANG</v>
      </c>
      <c r="E327" s="4" t="str">
        <f t="shared" si="20"/>
        <v>عدد</v>
      </c>
      <c r="F327" s="4">
        <v>10</v>
      </c>
      <c r="G327" s="10">
        <v>180000</v>
      </c>
      <c r="H327" s="10">
        <f t="shared" si="21"/>
        <v>1800000</v>
      </c>
    </row>
    <row r="328" spans="1:8" s="2" customFormat="1" ht="24" customHeight="1">
      <c r="A328" s="4">
        <v>327</v>
      </c>
      <c r="B328" s="4" t="str">
        <f>"1200000338"</f>
        <v>1200000338</v>
      </c>
      <c r="C328" s="5" t="str">
        <f>"آچار دو سر تخت 50-55-ميليمتر"</f>
        <v>آچار دو سر تخت 50-55-ميليمتر</v>
      </c>
      <c r="D328" s="4" t="str">
        <f>"DIN 895--TANG"</f>
        <v>DIN 895--TANG</v>
      </c>
      <c r="E328" s="4" t="str">
        <f t="shared" si="20"/>
        <v>عدد</v>
      </c>
      <c r="F328" s="4">
        <v>6</v>
      </c>
      <c r="G328" s="10">
        <v>1200000</v>
      </c>
      <c r="H328" s="10">
        <f t="shared" si="21"/>
        <v>7200000</v>
      </c>
    </row>
    <row r="329" spans="1:8" s="2" customFormat="1" ht="24" customHeight="1">
      <c r="A329" s="6">
        <v>328</v>
      </c>
      <c r="B329" s="4" t="str">
        <f>"1200000339"</f>
        <v>1200000339</v>
      </c>
      <c r="C329" s="5" t="str">
        <f>"آچار دو سر تخت36-32ميليمتر"</f>
        <v>آچار دو سر تخت36-32ميليمتر</v>
      </c>
      <c r="D329" s="4" t="str">
        <f>"DIN 895"</f>
        <v>DIN 895</v>
      </c>
      <c r="E329" s="4" t="str">
        <f t="shared" si="20"/>
        <v>عدد</v>
      </c>
      <c r="F329" s="4">
        <v>8</v>
      </c>
      <c r="G329" s="10">
        <v>350000</v>
      </c>
      <c r="H329" s="10">
        <f t="shared" si="21"/>
        <v>2800000</v>
      </c>
    </row>
    <row r="330" spans="1:8" s="2" customFormat="1" ht="24" customHeight="1">
      <c r="A330" s="4">
        <v>329</v>
      </c>
      <c r="B330" s="4" t="str">
        <f>"1200000340"</f>
        <v>1200000340</v>
      </c>
      <c r="C330" s="5" t="str">
        <f>"آچار يك سرتخت دم موشي 75ميليمتر"</f>
        <v>آچار يك سرتخت دم موشي 75ميليمتر</v>
      </c>
      <c r="D330" s="4" t="str">
        <f>"DIN 894"</f>
        <v>DIN 894</v>
      </c>
      <c r="E330" s="4" t="str">
        <f t="shared" si="20"/>
        <v>عدد</v>
      </c>
      <c r="F330" s="4">
        <v>1</v>
      </c>
      <c r="G330" s="10">
        <v>900000</v>
      </c>
      <c r="H330" s="10">
        <f t="shared" si="21"/>
        <v>900000</v>
      </c>
    </row>
    <row r="331" spans="1:8" s="2" customFormat="1" ht="24" customHeight="1">
      <c r="A331" s="4">
        <v>330</v>
      </c>
      <c r="B331" s="4" t="str">
        <f>"1200000341"</f>
        <v>1200000341</v>
      </c>
      <c r="C331" s="5" t="str">
        <f>"آچار يك سرتخت دم موشي 85ميليمتر"</f>
        <v>آچار يك سرتخت دم موشي 85ميليمتر</v>
      </c>
      <c r="D331" s="4" t="str">
        <f>""</f>
        <v/>
      </c>
      <c r="E331" s="4" t="str">
        <f t="shared" si="20"/>
        <v>عدد</v>
      </c>
      <c r="F331" s="4">
        <v>1</v>
      </c>
      <c r="G331" s="10">
        <v>950000</v>
      </c>
      <c r="H331" s="10">
        <f t="shared" si="21"/>
        <v>950000</v>
      </c>
    </row>
    <row r="332" spans="1:8" s="2" customFormat="1" ht="24" customHeight="1">
      <c r="A332" s="4">
        <v>331</v>
      </c>
      <c r="B332" s="4" t="str">
        <f>"1200000342"</f>
        <v>1200000342</v>
      </c>
      <c r="C332" s="5" t="str">
        <f>"آچار يك سرتخت دم موشي 80ميليمتر"</f>
        <v>آچار يك سرتخت دم موشي 80ميليمتر</v>
      </c>
      <c r="D332" s="4" t="str">
        <f>"DIN 894--DOWIDAT"</f>
        <v>DIN 894--DOWIDAT</v>
      </c>
      <c r="E332" s="4" t="str">
        <f t="shared" si="20"/>
        <v>عدد</v>
      </c>
      <c r="F332" s="4">
        <v>3</v>
      </c>
      <c r="G332" s="10">
        <v>950000</v>
      </c>
      <c r="H332" s="10">
        <f t="shared" si="21"/>
        <v>2850000</v>
      </c>
    </row>
    <row r="333" spans="1:8" s="2" customFormat="1" ht="24" customHeight="1">
      <c r="A333" s="6">
        <v>332</v>
      </c>
      <c r="B333" s="4" t="str">
        <f>"1200000343"</f>
        <v>1200000343</v>
      </c>
      <c r="C333" s="5" t="str">
        <f>"آچار يك سرتخت دم موشي 65ميليمتر"</f>
        <v>آچار يك سرتخت دم موشي 65ميليمتر</v>
      </c>
      <c r="D333" s="4" t="str">
        <f>"DIN 894--ELORA"</f>
        <v>DIN 894--ELORA</v>
      </c>
      <c r="E333" s="4" t="str">
        <f t="shared" si="20"/>
        <v>عدد</v>
      </c>
      <c r="F333" s="4">
        <v>4</v>
      </c>
      <c r="G333" s="10">
        <v>750000</v>
      </c>
      <c r="H333" s="10">
        <f t="shared" si="21"/>
        <v>3000000</v>
      </c>
    </row>
    <row r="334" spans="1:8" s="2" customFormat="1" ht="24" customHeight="1">
      <c r="A334" s="4">
        <v>333</v>
      </c>
      <c r="B334" s="4" t="str">
        <f>"1200000344"</f>
        <v>1200000344</v>
      </c>
      <c r="C334" s="5" t="str">
        <f>"آچار يك سرتخت دم موشي 55ميليمتر"</f>
        <v>آچار يك سرتخت دم موشي 55ميليمتر</v>
      </c>
      <c r="D334" s="4" t="str">
        <f>"DIN 894--WEST"</f>
        <v>DIN 894--WEST</v>
      </c>
      <c r="E334" s="4" t="str">
        <f t="shared" si="20"/>
        <v>عدد</v>
      </c>
      <c r="F334" s="4">
        <v>3</v>
      </c>
      <c r="G334" s="10">
        <v>650000</v>
      </c>
      <c r="H334" s="10">
        <f t="shared" si="21"/>
        <v>1950000</v>
      </c>
    </row>
    <row r="335" spans="1:8" s="2" customFormat="1" ht="24" customHeight="1">
      <c r="A335" s="4">
        <v>334</v>
      </c>
      <c r="B335" s="4" t="str">
        <f>"1200000345"</f>
        <v>1200000345</v>
      </c>
      <c r="C335" s="5" t="str">
        <f>"آچار يك سرتخت دم موشي 36ميليمتر"</f>
        <v>آچار يك سرتخت دم موشي 36ميليمتر</v>
      </c>
      <c r="D335" s="4" t="str">
        <f>"36 ميليمتر"</f>
        <v>36 ميليمتر</v>
      </c>
      <c r="E335" s="4" t="str">
        <f t="shared" si="20"/>
        <v>عدد</v>
      </c>
      <c r="F335" s="4">
        <v>1</v>
      </c>
      <c r="G335" s="10">
        <v>450000</v>
      </c>
      <c r="H335" s="10">
        <f t="shared" si="21"/>
        <v>450000</v>
      </c>
    </row>
    <row r="336" spans="1:8" s="2" customFormat="1" ht="24" customHeight="1">
      <c r="A336" s="4">
        <v>335</v>
      </c>
      <c r="B336" s="4" t="str">
        <f>"1200000346"</f>
        <v>1200000346</v>
      </c>
      <c r="C336" s="5" t="str">
        <f>"آچار دو سر تخت 60-55ميليمتر"</f>
        <v>آچار دو سر تخت 60-55ميليمتر</v>
      </c>
      <c r="D336" s="4" t="str">
        <f>"DIN 895"</f>
        <v>DIN 895</v>
      </c>
      <c r="E336" s="4" t="str">
        <f t="shared" si="20"/>
        <v>عدد</v>
      </c>
      <c r="F336" s="4">
        <v>9</v>
      </c>
      <c r="G336" s="10">
        <v>1100000</v>
      </c>
      <c r="H336" s="10">
        <f t="shared" si="21"/>
        <v>9900000</v>
      </c>
    </row>
    <row r="337" spans="1:8" s="2" customFormat="1" ht="24" customHeight="1">
      <c r="A337" s="6">
        <v>336</v>
      </c>
      <c r="B337" s="4" t="str">
        <f>"1200000347"</f>
        <v>1200000347</v>
      </c>
      <c r="C337" s="5" t="str">
        <f>"آچار دو سر تخت 46-41ميليمتر"</f>
        <v>آچار دو سر تخت 46-41ميليمتر</v>
      </c>
      <c r="D337" s="4" t="str">
        <f>"GERMANY--WAGENER"</f>
        <v>GERMANY--WAGENER</v>
      </c>
      <c r="E337" s="4" t="str">
        <f t="shared" si="20"/>
        <v>عدد</v>
      </c>
      <c r="F337" s="4">
        <v>8</v>
      </c>
      <c r="G337" s="10">
        <v>900000</v>
      </c>
      <c r="H337" s="10">
        <f t="shared" si="21"/>
        <v>7200000</v>
      </c>
    </row>
    <row r="338" spans="1:8" s="2" customFormat="1" ht="24" customHeight="1">
      <c r="A338" s="4">
        <v>337</v>
      </c>
      <c r="B338" s="4" t="str">
        <f>"1200000348"</f>
        <v>1200000348</v>
      </c>
      <c r="C338" s="5" t="str">
        <f>"آچار دو سر تخت 36-34ميليمتر"</f>
        <v>آچار دو سر تخت 36-34ميليمتر</v>
      </c>
      <c r="D338" s="4" t="str">
        <f>"702--ACESA"</f>
        <v>702--ACESA</v>
      </c>
      <c r="E338" s="4" t="str">
        <f t="shared" si="20"/>
        <v>عدد</v>
      </c>
      <c r="F338" s="4">
        <v>7</v>
      </c>
      <c r="G338" s="10">
        <v>750000</v>
      </c>
      <c r="H338" s="10">
        <f t="shared" si="21"/>
        <v>5250000</v>
      </c>
    </row>
    <row r="339" spans="1:8" s="2" customFormat="1" ht="24" customHeight="1">
      <c r="A339" s="4">
        <v>338</v>
      </c>
      <c r="B339" s="4" t="str">
        <f>"1200000349"</f>
        <v>1200000349</v>
      </c>
      <c r="C339" s="5" t="str">
        <f>"آچار دو سر تخت 41-36ميليمتر"</f>
        <v>آچار دو سر تخت 41-36ميليمتر</v>
      </c>
      <c r="D339" s="4" t="str">
        <f>"3110--WAGENER"</f>
        <v>3110--WAGENER</v>
      </c>
      <c r="E339" s="4" t="str">
        <f t="shared" si="20"/>
        <v>عدد</v>
      </c>
      <c r="F339" s="4">
        <v>27</v>
      </c>
      <c r="G339" s="10">
        <v>750000</v>
      </c>
      <c r="H339" s="10">
        <f t="shared" si="21"/>
        <v>20250000</v>
      </c>
    </row>
    <row r="340" spans="1:8" s="2" customFormat="1" ht="24" customHeight="1">
      <c r="A340" s="4">
        <v>339</v>
      </c>
      <c r="B340" s="4" t="str">
        <f>"1200000350"</f>
        <v>1200000350</v>
      </c>
      <c r="C340" s="5" t="str">
        <f>"آچار دو سر تخت 50-46ميليمتر"</f>
        <v>آچار دو سر تخت 50-46ميليمتر</v>
      </c>
      <c r="D340" s="4" t="str">
        <f>"3110--WAGENER"</f>
        <v>3110--WAGENER</v>
      </c>
      <c r="E340" s="4" t="str">
        <f t="shared" si="20"/>
        <v>عدد</v>
      </c>
      <c r="F340" s="4">
        <v>15</v>
      </c>
      <c r="G340" s="10">
        <v>800000</v>
      </c>
      <c r="H340" s="10">
        <f t="shared" si="21"/>
        <v>12000000</v>
      </c>
    </row>
    <row r="341" spans="1:8" s="2" customFormat="1" ht="24" customHeight="1">
      <c r="A341" s="6">
        <v>340</v>
      </c>
      <c r="B341" s="4" t="str">
        <f>"1200000351"</f>
        <v>1200000351</v>
      </c>
      <c r="C341" s="5" t="str">
        <f>"آچار يك سرتخت دم موشي 60 ميليمتر"</f>
        <v>آچار يك سرتخت دم موشي 60 ميليمتر</v>
      </c>
      <c r="D341" s="4" t="str">
        <f>"DIN 895--DOWIDAT"</f>
        <v>DIN 895--DOWIDAT</v>
      </c>
      <c r="E341" s="4" t="str">
        <f t="shared" si="20"/>
        <v>عدد</v>
      </c>
      <c r="F341" s="4">
        <v>1</v>
      </c>
      <c r="G341" s="10">
        <v>700000</v>
      </c>
      <c r="H341" s="10">
        <f t="shared" si="21"/>
        <v>700000</v>
      </c>
    </row>
    <row r="342" spans="1:8" s="2" customFormat="1" ht="24" customHeight="1">
      <c r="A342" s="4">
        <v>341</v>
      </c>
      <c r="B342" s="4" t="str">
        <f>"1200000352"</f>
        <v>1200000352</v>
      </c>
      <c r="C342" s="5" t="s">
        <v>6</v>
      </c>
      <c r="D342" s="4" t="str">
        <f>"KW3800 SN0006--KUKEN"</f>
        <v>KW3800 SN0006--KUKEN</v>
      </c>
      <c r="E342" s="4" t="str">
        <f>"دستگاه"</f>
        <v>دستگاه</v>
      </c>
      <c r="F342" s="4">
        <v>1</v>
      </c>
      <c r="G342" s="10">
        <v>15000000</v>
      </c>
      <c r="H342" s="10">
        <f t="shared" si="21"/>
        <v>15000000</v>
      </c>
    </row>
    <row r="343" spans="1:8" s="2" customFormat="1" ht="24" customHeight="1">
      <c r="A343" s="4">
        <v>342</v>
      </c>
      <c r="B343" s="4" t="str">
        <f>"1200000354"</f>
        <v>1200000354</v>
      </c>
      <c r="C343" s="5" t="str">
        <f>"آچار دو سر بكس 6پر 16-17"</f>
        <v>آچار دو سر بكس 6پر 16-17</v>
      </c>
      <c r="D343" s="4" t="str">
        <f>"gedore"</f>
        <v>gedore</v>
      </c>
      <c r="E343" s="4" t="str">
        <f>"عدد"</f>
        <v>عدد</v>
      </c>
      <c r="F343" s="4">
        <v>2</v>
      </c>
      <c r="G343" s="10">
        <v>250000</v>
      </c>
      <c r="H343" s="10">
        <f t="shared" si="21"/>
        <v>500000</v>
      </c>
    </row>
    <row r="344" spans="1:8" s="2" customFormat="1" ht="24" customHeight="1">
      <c r="A344" s="4">
        <v>343</v>
      </c>
      <c r="B344" s="4" t="str">
        <f>"1200000355"</f>
        <v>1200000355</v>
      </c>
      <c r="C344" s="5" t="str">
        <f>"آچار دو سر بكس 12پراينچي 1اينچ - 13/16"</f>
        <v>آچار دو سر بكس 12پراينچي 1اينچ - 13/16</v>
      </c>
      <c r="D344" s="4" t="str">
        <f>"12پر-gedore"</f>
        <v>12پر-gedore</v>
      </c>
      <c r="E344" s="4" t="str">
        <f>"عدد"</f>
        <v>عدد</v>
      </c>
      <c r="F344" s="4">
        <v>4</v>
      </c>
      <c r="G344" s="10">
        <v>200000</v>
      </c>
      <c r="H344" s="10">
        <f t="shared" si="21"/>
        <v>800000</v>
      </c>
    </row>
    <row r="345" spans="1:8" s="2" customFormat="1" ht="24" customHeight="1">
      <c r="A345" s="6">
        <v>344</v>
      </c>
      <c r="B345" s="4" t="str">
        <f>"1200000356"</f>
        <v>1200000356</v>
      </c>
      <c r="C345" s="5" t="s">
        <v>7</v>
      </c>
      <c r="D345" s="4" t="str">
        <f>"5003-290033--GEDORE"</f>
        <v>5003-290033--GEDORE</v>
      </c>
      <c r="E345" s="4" t="str">
        <f>"دستگاه"</f>
        <v>دستگاه</v>
      </c>
      <c r="F345" s="4">
        <v>3</v>
      </c>
      <c r="G345" s="10">
        <v>800000</v>
      </c>
      <c r="H345" s="10">
        <f t="shared" si="21"/>
        <v>2400000</v>
      </c>
    </row>
    <row r="346" spans="1:8" s="2" customFormat="1" ht="24" customHeight="1">
      <c r="A346" s="4">
        <v>345</v>
      </c>
      <c r="B346" s="4" t="str">
        <f>"1200000357"</f>
        <v>1200000357</v>
      </c>
      <c r="C346" s="5" t="str">
        <f>"لوله پخ کن اكسپندر5/8 - 3/16 (7عددي)"</f>
        <v>لوله پخ کن اكسپندر5/8 - 3/16 (7عددي)</v>
      </c>
      <c r="D346" s="4" t="str">
        <f>"NO4480--BELZER"</f>
        <v>NO4480--BELZER</v>
      </c>
      <c r="E346" s="4" t="str">
        <f>"ست"</f>
        <v>ست</v>
      </c>
      <c r="F346" s="4">
        <v>5</v>
      </c>
      <c r="G346" s="10">
        <v>2500000</v>
      </c>
      <c r="H346" s="10">
        <f t="shared" si="21"/>
        <v>12500000</v>
      </c>
    </row>
    <row r="347" spans="1:8" s="2" customFormat="1" ht="24" customHeight="1">
      <c r="A347" s="4">
        <v>346</v>
      </c>
      <c r="B347" s="4" t="str">
        <f>"1200000358"</f>
        <v>1200000358</v>
      </c>
      <c r="C347" s="5" t="str">
        <f>"پولي کش سه بازو 23/1"</f>
        <v>پولي کش سه بازو 23/1</v>
      </c>
      <c r="D347" s="4" t="str">
        <f>"23/1--BUCO"</f>
        <v>23/1--BUCO</v>
      </c>
      <c r="E347" s="4" t="str">
        <f t="shared" ref="E347:E371" si="22">"عدد"</f>
        <v>عدد</v>
      </c>
      <c r="F347" s="4">
        <v>11</v>
      </c>
      <c r="G347" s="10">
        <v>3000000</v>
      </c>
      <c r="H347" s="10">
        <f t="shared" si="21"/>
        <v>33000000</v>
      </c>
    </row>
    <row r="348" spans="1:8" s="2" customFormat="1" ht="24" customHeight="1">
      <c r="A348" s="4">
        <v>347</v>
      </c>
      <c r="B348" s="4" t="str">
        <f>"1200000359"</f>
        <v>1200000359</v>
      </c>
      <c r="C348" s="5" t="str">
        <f>"پولي کش سه بازو 23/01"</f>
        <v>پولي کش سه بازو 23/01</v>
      </c>
      <c r="D348" s="4" t="str">
        <f>"23/01--BUCO"</f>
        <v>23/01--BUCO</v>
      </c>
      <c r="E348" s="4" t="str">
        <f t="shared" si="22"/>
        <v>عدد</v>
      </c>
      <c r="F348" s="4">
        <v>13</v>
      </c>
      <c r="G348" s="10">
        <v>3000000</v>
      </c>
      <c r="H348" s="10">
        <f t="shared" si="21"/>
        <v>39000000</v>
      </c>
    </row>
    <row r="349" spans="1:8" s="2" customFormat="1" ht="24" customHeight="1">
      <c r="A349" s="6">
        <v>348</v>
      </c>
      <c r="B349" s="4" t="str">
        <f>"1200000353"</f>
        <v>1200000353</v>
      </c>
      <c r="C349" s="5" t="str">
        <f>"پولي کش سه بازو M3303"</f>
        <v>پولي کش سه بازو M3303</v>
      </c>
      <c r="D349" s="4" t="str">
        <f>"SGP-3F-75mm--TJG"</f>
        <v>SGP-3F-75mm--TJG</v>
      </c>
      <c r="E349" s="4" t="str">
        <f t="shared" si="22"/>
        <v>عدد</v>
      </c>
      <c r="F349" s="4">
        <v>10</v>
      </c>
      <c r="G349" s="10">
        <v>3500000</v>
      </c>
      <c r="H349" s="10">
        <f t="shared" si="21"/>
        <v>35000000</v>
      </c>
    </row>
    <row r="350" spans="1:8" s="2" customFormat="1" ht="24" customHeight="1">
      <c r="A350" s="4">
        <v>349</v>
      </c>
      <c r="B350" s="4" t="str">
        <f>"1200000360"</f>
        <v>1200000360</v>
      </c>
      <c r="C350" s="5" t="str">
        <f>"پولي کش سه بازو 37/1"</f>
        <v>پولي کش سه بازو 37/1</v>
      </c>
      <c r="D350" s="4" t="str">
        <f>"Nr.37/1--BUCO"</f>
        <v>Nr.37/1--BUCO</v>
      </c>
      <c r="E350" s="4" t="str">
        <f t="shared" si="22"/>
        <v>عدد</v>
      </c>
      <c r="F350" s="4">
        <v>13</v>
      </c>
      <c r="G350" s="10">
        <v>3500000</v>
      </c>
      <c r="H350" s="10">
        <f t="shared" si="21"/>
        <v>45500000</v>
      </c>
    </row>
    <row r="351" spans="1:8" s="2" customFormat="1" ht="24" customHeight="1">
      <c r="A351" s="4">
        <v>350</v>
      </c>
      <c r="B351" s="4" t="str">
        <f>"1200000361"</f>
        <v>1200000361</v>
      </c>
      <c r="C351" s="5" t="str">
        <f>"پولي کش سه بازو 23/3"</f>
        <v>پولي کش سه بازو 23/3</v>
      </c>
      <c r="D351" s="4" t="str">
        <f>"No23/3--BUCO"</f>
        <v>No23/3--BUCO</v>
      </c>
      <c r="E351" s="4" t="str">
        <f t="shared" si="22"/>
        <v>عدد</v>
      </c>
      <c r="F351" s="4">
        <v>9</v>
      </c>
      <c r="G351" s="10">
        <v>3500000</v>
      </c>
      <c r="H351" s="10">
        <f t="shared" si="21"/>
        <v>31500000</v>
      </c>
    </row>
    <row r="352" spans="1:8" s="2" customFormat="1" ht="24" customHeight="1">
      <c r="A352" s="4">
        <v>351</v>
      </c>
      <c r="B352" s="4" t="str">
        <f>"1200000362"</f>
        <v>1200000362</v>
      </c>
      <c r="C352" s="5" t="str">
        <f>"پولي کش سه بازو 23/2"</f>
        <v>پولي کش سه بازو 23/2</v>
      </c>
      <c r="D352" s="4" t="str">
        <f>"No23/2--BUCO"</f>
        <v>No23/2--BUCO</v>
      </c>
      <c r="E352" s="4" t="str">
        <f t="shared" si="22"/>
        <v>عدد</v>
      </c>
      <c r="F352" s="4">
        <v>4</v>
      </c>
      <c r="G352" s="10">
        <v>3400000</v>
      </c>
      <c r="H352" s="10">
        <f t="shared" si="21"/>
        <v>13600000</v>
      </c>
    </row>
    <row r="353" spans="1:8" s="2" customFormat="1" ht="24" customHeight="1">
      <c r="A353" s="6">
        <v>352</v>
      </c>
      <c r="B353" s="4" t="str">
        <f>"1200000363"</f>
        <v>1200000363</v>
      </c>
      <c r="C353" s="5" t="str">
        <f>"پولي کش سه بازو 23/4"</f>
        <v>پولي کش سه بازو 23/4</v>
      </c>
      <c r="D353" s="4" t="str">
        <f>"No23/4--BUCO"</f>
        <v>No23/4--BUCO</v>
      </c>
      <c r="E353" s="4" t="str">
        <f t="shared" si="22"/>
        <v>عدد</v>
      </c>
      <c r="F353" s="4">
        <v>11</v>
      </c>
      <c r="G353" s="10">
        <v>3500000</v>
      </c>
      <c r="H353" s="10">
        <f t="shared" si="21"/>
        <v>38500000</v>
      </c>
    </row>
    <row r="354" spans="1:8" s="2" customFormat="1" ht="24" customHeight="1">
      <c r="A354" s="4">
        <v>353</v>
      </c>
      <c r="B354" s="4" t="str">
        <f>"1200000364"</f>
        <v>1200000364</v>
      </c>
      <c r="C354" s="5" t="str">
        <f>"پولي کش سه بازو 37/2"</f>
        <v>پولي کش سه بازو 37/2</v>
      </c>
      <c r="D354" s="4" t="str">
        <f>"37/2--BUCO"</f>
        <v>37/2--BUCO</v>
      </c>
      <c r="E354" s="4" t="str">
        <f t="shared" si="22"/>
        <v>عدد</v>
      </c>
      <c r="F354" s="4">
        <v>13</v>
      </c>
      <c r="G354" s="10">
        <v>4000000</v>
      </c>
      <c r="H354" s="10">
        <f t="shared" si="21"/>
        <v>52000000</v>
      </c>
    </row>
    <row r="355" spans="1:8" s="2" customFormat="1" ht="24" customHeight="1">
      <c r="A355" s="4">
        <v>354</v>
      </c>
      <c r="B355" s="4" t="str">
        <f>"1200000365"</f>
        <v>1200000365</v>
      </c>
      <c r="C355" s="5" t="str">
        <f>"پولي کش دو بازو 92/2"</f>
        <v>پولي کش دو بازو 92/2</v>
      </c>
      <c r="D355" s="4" t="str">
        <f>"92/2--BUCO"</f>
        <v>92/2--BUCO</v>
      </c>
      <c r="E355" s="4" t="str">
        <f t="shared" si="22"/>
        <v>عدد</v>
      </c>
      <c r="F355" s="4">
        <v>1</v>
      </c>
      <c r="G355" s="10">
        <v>4500000</v>
      </c>
      <c r="H355" s="10">
        <f t="shared" si="21"/>
        <v>4500000</v>
      </c>
    </row>
    <row r="356" spans="1:8" s="2" customFormat="1" ht="24" customHeight="1">
      <c r="A356" s="4">
        <v>355</v>
      </c>
      <c r="B356" s="4" t="str">
        <f>"1200000367"</f>
        <v>1200000367</v>
      </c>
      <c r="C356" s="5" t="str">
        <f>"آچار دو سر رينگي19-18 ميليمتر"</f>
        <v>آچار دو سر رينگي19-18 ميليمتر</v>
      </c>
      <c r="D356" s="4" t="str">
        <f>""</f>
        <v/>
      </c>
      <c r="E356" s="4" t="str">
        <f t="shared" si="22"/>
        <v>عدد</v>
      </c>
      <c r="F356" s="4">
        <v>4</v>
      </c>
      <c r="G356" s="10">
        <v>200000</v>
      </c>
      <c r="H356" s="10">
        <f t="shared" si="21"/>
        <v>800000</v>
      </c>
    </row>
    <row r="357" spans="1:8" s="2" customFormat="1" ht="24" customHeight="1">
      <c r="A357" s="6">
        <v>356</v>
      </c>
      <c r="B357" s="4" t="str">
        <f>"1200000368"</f>
        <v>1200000368</v>
      </c>
      <c r="C357" s="5" t="str">
        <f>"آچار دو سر رينگي1/8-1_ 15/16(28-24ميليمتر)"</f>
        <v>آچار دو سر رينگي1/8-1_ 15/16(28-24ميليمتر)</v>
      </c>
      <c r="D357" s="4" t="str">
        <f>""</f>
        <v/>
      </c>
      <c r="E357" s="4" t="str">
        <f t="shared" si="22"/>
        <v>عدد</v>
      </c>
      <c r="F357" s="4">
        <v>1</v>
      </c>
      <c r="G357" s="10">
        <v>350000</v>
      </c>
      <c r="H357" s="10">
        <f t="shared" si="21"/>
        <v>350000</v>
      </c>
    </row>
    <row r="358" spans="1:8" s="2" customFormat="1" ht="24" customHeight="1">
      <c r="A358" s="4">
        <v>357</v>
      </c>
      <c r="B358" s="4" t="str">
        <f>"1200000369"</f>
        <v>1200000369</v>
      </c>
      <c r="C358" s="5" t="str">
        <f>"آچار دو سر رينگي23-21ميليمتر"</f>
        <v>آچار دو سر رينگي23-21ميليمتر</v>
      </c>
      <c r="D358" s="4" t="str">
        <f>""</f>
        <v/>
      </c>
      <c r="E358" s="4" t="str">
        <f t="shared" si="22"/>
        <v>عدد</v>
      </c>
      <c r="F358" s="4">
        <v>12</v>
      </c>
      <c r="G358" s="10">
        <v>350000</v>
      </c>
      <c r="H358" s="10">
        <f t="shared" si="21"/>
        <v>4200000</v>
      </c>
    </row>
    <row r="359" spans="1:8" s="2" customFormat="1" ht="24" customHeight="1">
      <c r="A359" s="4">
        <v>358</v>
      </c>
      <c r="B359" s="4" t="str">
        <f>"1200000370"</f>
        <v>1200000370</v>
      </c>
      <c r="C359" s="5" t="str">
        <f>"آچار دو سر رينگي7/8 _13/16(22-21ميليمتر)"</f>
        <v>آچار دو سر رينگي7/8 _13/16(22-21ميليمتر)</v>
      </c>
      <c r="D359" s="4" t="str">
        <f>""</f>
        <v/>
      </c>
      <c r="E359" s="4" t="str">
        <f t="shared" si="22"/>
        <v>عدد</v>
      </c>
      <c r="F359" s="4">
        <v>1</v>
      </c>
      <c r="G359" s="10">
        <v>250000</v>
      </c>
      <c r="H359" s="10">
        <f t="shared" si="21"/>
        <v>250000</v>
      </c>
    </row>
    <row r="360" spans="1:8" s="2" customFormat="1" ht="24" customHeight="1">
      <c r="A360" s="4">
        <v>359</v>
      </c>
      <c r="B360" s="4" t="str">
        <f>"1200000371"</f>
        <v>1200000371</v>
      </c>
      <c r="C360" s="5" t="str">
        <f>"آچار دو سر رينگي22-20ميليمتر"</f>
        <v>آچار دو سر رينگي22-20ميليمتر</v>
      </c>
      <c r="D360" s="4" t="str">
        <f>""</f>
        <v/>
      </c>
      <c r="E360" s="4" t="str">
        <f t="shared" si="22"/>
        <v>عدد</v>
      </c>
      <c r="F360" s="4">
        <v>14</v>
      </c>
      <c r="G360" s="10">
        <v>230000</v>
      </c>
      <c r="H360" s="10">
        <f t="shared" si="21"/>
        <v>3220000</v>
      </c>
    </row>
    <row r="361" spans="1:8" s="2" customFormat="1" ht="24" customHeight="1">
      <c r="A361" s="6">
        <v>360</v>
      </c>
      <c r="B361" s="4" t="str">
        <f>"1200000372"</f>
        <v>1200000372</v>
      </c>
      <c r="C361" s="5" t="str">
        <f>"آچار دو سر رينگي 7-6ميليمتر"</f>
        <v>آچار دو سر رينگي 7-6ميليمتر</v>
      </c>
      <c r="D361" s="4" t="str">
        <f>""</f>
        <v/>
      </c>
      <c r="E361" s="4" t="str">
        <f t="shared" si="22"/>
        <v>عدد</v>
      </c>
      <c r="F361" s="4">
        <v>7</v>
      </c>
      <c r="G361" s="10">
        <v>100000</v>
      </c>
      <c r="H361" s="10">
        <f t="shared" si="21"/>
        <v>700000</v>
      </c>
    </row>
    <row r="362" spans="1:8" s="2" customFormat="1" ht="24" customHeight="1">
      <c r="A362" s="4">
        <v>361</v>
      </c>
      <c r="B362" s="4" t="str">
        <f>"1200000373"</f>
        <v>1200000373</v>
      </c>
      <c r="C362" s="5" t="str">
        <f>"آچار دو سر رينگي 15-14ميليمتر"</f>
        <v>آچار دو سر رينگي 15-14ميليمتر</v>
      </c>
      <c r="D362" s="4" t="str">
        <f>""</f>
        <v/>
      </c>
      <c r="E362" s="4" t="str">
        <f t="shared" si="22"/>
        <v>عدد</v>
      </c>
      <c r="F362" s="4">
        <v>8</v>
      </c>
      <c r="G362" s="10">
        <v>150000</v>
      </c>
      <c r="H362" s="10">
        <f t="shared" si="21"/>
        <v>1200000</v>
      </c>
    </row>
    <row r="363" spans="1:8" s="2" customFormat="1" ht="24" customHeight="1">
      <c r="A363" s="4">
        <v>362</v>
      </c>
      <c r="B363" s="4" t="str">
        <f>"1200000374"</f>
        <v>1200000374</v>
      </c>
      <c r="C363" s="5" t="str">
        <f>"آچار دو سر رينگي19-17ميليمتر"</f>
        <v>آچار دو سر رينگي19-17ميليمتر</v>
      </c>
      <c r="D363" s="4" t="str">
        <f>""</f>
        <v/>
      </c>
      <c r="E363" s="4" t="str">
        <f t="shared" si="22"/>
        <v>عدد</v>
      </c>
      <c r="F363" s="4">
        <v>3</v>
      </c>
      <c r="G363" s="10">
        <v>350000</v>
      </c>
      <c r="H363" s="10">
        <f t="shared" si="21"/>
        <v>1050000</v>
      </c>
    </row>
    <row r="364" spans="1:8" s="2" customFormat="1" ht="24" customHeight="1">
      <c r="A364" s="4">
        <v>363</v>
      </c>
      <c r="B364" s="4" t="str">
        <f>"1200000375"</f>
        <v>1200000375</v>
      </c>
      <c r="C364" s="5" t="str">
        <f>"آچار دو سر رينگي26-24ميليمتر"</f>
        <v>آچار دو سر رينگي26-24ميليمتر</v>
      </c>
      <c r="D364" s="4" t="str">
        <f>""</f>
        <v/>
      </c>
      <c r="E364" s="4" t="str">
        <f t="shared" si="22"/>
        <v>عدد</v>
      </c>
      <c r="F364" s="4">
        <v>3</v>
      </c>
      <c r="G364" s="10">
        <v>300000</v>
      </c>
      <c r="H364" s="10">
        <f t="shared" si="21"/>
        <v>900000</v>
      </c>
    </row>
    <row r="365" spans="1:8" s="2" customFormat="1" ht="24" customHeight="1">
      <c r="A365" s="6">
        <v>364</v>
      </c>
      <c r="B365" s="4" t="str">
        <f>"1200000376"</f>
        <v>1200000376</v>
      </c>
      <c r="C365" s="5" t="str">
        <f>"آچار دو سر تخت 11 - 10 ميليمتر"</f>
        <v>آچار دو سر تخت 11 - 10 ميليمتر</v>
      </c>
      <c r="D365" s="4" t="str">
        <f>""</f>
        <v/>
      </c>
      <c r="E365" s="4" t="str">
        <f t="shared" si="22"/>
        <v>عدد</v>
      </c>
      <c r="F365" s="4">
        <v>11</v>
      </c>
      <c r="G365" s="10">
        <v>1200000</v>
      </c>
      <c r="H365" s="10">
        <f t="shared" si="21"/>
        <v>13200000</v>
      </c>
    </row>
    <row r="366" spans="1:8" s="2" customFormat="1" ht="24" customHeight="1">
      <c r="A366" s="4">
        <v>365</v>
      </c>
      <c r="B366" s="4" t="str">
        <f>"1200000377"</f>
        <v>1200000377</v>
      </c>
      <c r="C366" s="5" t="str">
        <f>"آچار دو سر تخت 26-24ميليمتر"</f>
        <v>آچار دو سر تخت 26-24ميليمتر</v>
      </c>
      <c r="D366" s="4" t="str">
        <f>""</f>
        <v/>
      </c>
      <c r="E366" s="4" t="str">
        <f t="shared" si="22"/>
        <v>عدد</v>
      </c>
      <c r="F366" s="4">
        <v>9</v>
      </c>
      <c r="G366" s="10">
        <v>300000</v>
      </c>
      <c r="H366" s="10">
        <f t="shared" si="21"/>
        <v>2700000</v>
      </c>
    </row>
    <row r="367" spans="1:8" s="2" customFormat="1" ht="24" customHeight="1">
      <c r="A367" s="4">
        <v>366</v>
      </c>
      <c r="B367" s="4" t="str">
        <f>"1200000378"</f>
        <v>1200000378</v>
      </c>
      <c r="C367" s="5" t="str">
        <f>"آچار دو سر تخت27-24ميليمتر"</f>
        <v>آچار دو سر تخت27-24ميليمتر</v>
      </c>
      <c r="D367" s="4" t="str">
        <f>""</f>
        <v/>
      </c>
      <c r="E367" s="4" t="str">
        <f t="shared" si="22"/>
        <v>عدد</v>
      </c>
      <c r="F367" s="4">
        <v>37</v>
      </c>
      <c r="G367" s="10">
        <v>300000</v>
      </c>
      <c r="H367" s="10">
        <f t="shared" si="21"/>
        <v>11100000</v>
      </c>
    </row>
    <row r="368" spans="1:8" s="2" customFormat="1" ht="24" customHeight="1">
      <c r="A368" s="4">
        <v>367</v>
      </c>
      <c r="B368" s="4" t="str">
        <f>"1200000379"</f>
        <v>1200000379</v>
      </c>
      <c r="C368" s="5" t="str">
        <f>"آچار دو سر رينگي 24-22 ميليمتر"</f>
        <v>آچار دو سر رينگي 24-22 ميليمتر</v>
      </c>
      <c r="D368" s="4" t="str">
        <f>"TW100057128--MAKITA"</f>
        <v>TW100057128--MAKITA</v>
      </c>
      <c r="E368" s="4" t="str">
        <f t="shared" si="22"/>
        <v>عدد</v>
      </c>
      <c r="F368" s="4">
        <v>4</v>
      </c>
      <c r="G368" s="10">
        <v>250000</v>
      </c>
      <c r="H368" s="10">
        <f t="shared" si="21"/>
        <v>1000000</v>
      </c>
    </row>
    <row r="369" spans="1:8" s="2" customFormat="1" ht="24" customHeight="1">
      <c r="A369" s="6">
        <v>368</v>
      </c>
      <c r="B369" s="4" t="str">
        <f>"1200000380"</f>
        <v>1200000380</v>
      </c>
      <c r="C369" s="5" t="s">
        <v>8</v>
      </c>
      <c r="D369" s="4" t="str">
        <f>"TW1000 57072--MAKITA"</f>
        <v>TW1000 57072--MAKITA</v>
      </c>
      <c r="E369" s="4" t="str">
        <f t="shared" si="22"/>
        <v>عدد</v>
      </c>
      <c r="F369" s="4">
        <v>2</v>
      </c>
      <c r="G369" s="10">
        <v>25000000</v>
      </c>
      <c r="H369" s="10">
        <f t="shared" si="21"/>
        <v>50000000</v>
      </c>
    </row>
    <row r="370" spans="1:8" s="2" customFormat="1" ht="24" customHeight="1">
      <c r="A370" s="4">
        <v>369</v>
      </c>
      <c r="B370" s="4" t="str">
        <f>"1200000381"</f>
        <v>1200000381</v>
      </c>
      <c r="C370" s="5" t="str">
        <f>"آچار دو سر رينگي13-12ميليمتر"</f>
        <v>آچار دو سر رينگي13-12ميليمتر</v>
      </c>
      <c r="D370" s="4" t="str">
        <f>"gedore"</f>
        <v>gedore</v>
      </c>
      <c r="E370" s="4" t="str">
        <f t="shared" si="22"/>
        <v>عدد</v>
      </c>
      <c r="F370" s="4">
        <v>2</v>
      </c>
      <c r="G370" s="10">
        <v>150000</v>
      </c>
      <c r="H370" s="10">
        <f t="shared" si="21"/>
        <v>300000</v>
      </c>
    </row>
    <row r="371" spans="1:8" s="2" customFormat="1" ht="24" customHeight="1">
      <c r="A371" s="4">
        <v>370</v>
      </c>
      <c r="B371" s="4" t="str">
        <f>"1200000382"</f>
        <v>1200000382</v>
      </c>
      <c r="C371" s="5" t="str">
        <f>"آچار دو سر رينگي 17-16 ميليمتر"</f>
        <v>آچار دو سر رينگي 17-16 ميليمتر</v>
      </c>
      <c r="D371" s="4" t="str">
        <f>"GEDORE"</f>
        <v>GEDORE</v>
      </c>
      <c r="E371" s="4" t="str">
        <f t="shared" si="22"/>
        <v>عدد</v>
      </c>
      <c r="F371" s="4">
        <v>1</v>
      </c>
      <c r="G371" s="10">
        <v>180000</v>
      </c>
      <c r="H371" s="10">
        <f t="shared" si="21"/>
        <v>180000</v>
      </c>
    </row>
    <row r="372" spans="1:8" s="2" customFormat="1" ht="24" customHeight="1">
      <c r="A372" s="4">
        <v>371</v>
      </c>
      <c r="B372" s="4" t="str">
        <f>"1200000383"</f>
        <v>1200000383</v>
      </c>
      <c r="C372" s="5" t="s">
        <v>9</v>
      </c>
      <c r="D372" s="4" t="str">
        <f>"6906 355309"</f>
        <v>6906 355309</v>
      </c>
      <c r="E372" s="4" t="str">
        <f>"دستگاه"</f>
        <v>دستگاه</v>
      </c>
      <c r="F372" s="4">
        <v>4</v>
      </c>
      <c r="G372" s="10">
        <v>8000000</v>
      </c>
      <c r="H372" s="10">
        <f t="shared" si="21"/>
        <v>32000000</v>
      </c>
    </row>
    <row r="373" spans="1:8" s="2" customFormat="1" ht="24" customHeight="1">
      <c r="A373" s="6">
        <v>372</v>
      </c>
      <c r="B373" s="4" t="str">
        <f>"1200000384"</f>
        <v>1200000384</v>
      </c>
      <c r="C373" s="5" t="str">
        <f>"آچار دو سر رينگي 17-14 ميليمتر"</f>
        <v>آچار دو سر رينگي 17-14 ميليمتر</v>
      </c>
      <c r="D373" s="4" t="str">
        <f>"ghermany"</f>
        <v>ghermany</v>
      </c>
      <c r="E373" s="4" t="str">
        <f t="shared" ref="E373:E392" si="23">"عدد"</f>
        <v>عدد</v>
      </c>
      <c r="F373" s="4">
        <v>3</v>
      </c>
      <c r="G373" s="10">
        <v>150000</v>
      </c>
      <c r="H373" s="10">
        <f t="shared" si="21"/>
        <v>450000</v>
      </c>
    </row>
    <row r="374" spans="1:8" s="2" customFormat="1" ht="24" customHeight="1">
      <c r="A374" s="4">
        <v>373</v>
      </c>
      <c r="B374" s="4" t="str">
        <f>"1200000385"</f>
        <v>1200000385</v>
      </c>
      <c r="C374" s="5" t="str">
        <f>"آچار دو سر رينگي 1 اينچ_7/8(25-22ميليمتر)"</f>
        <v>آچار دو سر رينگي 1 اينچ_7/8(25-22ميليمتر)</v>
      </c>
      <c r="D374" s="4" t="str">
        <f>"GEDORE"</f>
        <v>GEDORE</v>
      </c>
      <c r="E374" s="4" t="str">
        <f t="shared" si="23"/>
        <v>عدد</v>
      </c>
      <c r="F374" s="4">
        <v>3</v>
      </c>
      <c r="G374" s="10">
        <v>350000</v>
      </c>
      <c r="H374" s="10">
        <f t="shared" si="21"/>
        <v>1050000</v>
      </c>
    </row>
    <row r="375" spans="1:8" s="2" customFormat="1" ht="24" customHeight="1">
      <c r="A375" s="4">
        <v>374</v>
      </c>
      <c r="B375" s="4" t="str">
        <f>"1200000386"</f>
        <v>1200000386</v>
      </c>
      <c r="C375" s="5" t="str">
        <f>"آچار دو سر تخت 22-19 ميليمتر"</f>
        <v>آچار دو سر تخت 22-19 ميليمتر</v>
      </c>
      <c r="D375" s="4" t="str">
        <f>"GEDORE"</f>
        <v>GEDORE</v>
      </c>
      <c r="E375" s="4" t="str">
        <f t="shared" si="23"/>
        <v>عدد</v>
      </c>
      <c r="F375" s="4">
        <v>2</v>
      </c>
      <c r="G375" s="10">
        <v>250000</v>
      </c>
      <c r="H375" s="10">
        <f t="shared" si="21"/>
        <v>500000</v>
      </c>
    </row>
    <row r="376" spans="1:8" s="2" customFormat="1" ht="24" customHeight="1">
      <c r="A376" s="4">
        <v>375</v>
      </c>
      <c r="B376" s="4" t="str">
        <f>"1200000387"</f>
        <v>1200000387</v>
      </c>
      <c r="C376" s="5" t="str">
        <f>"دريل مگنتيECO 50"</f>
        <v>دريل مگنتيECO 50</v>
      </c>
      <c r="D376" s="4" t="str">
        <f>"ECO.50 SN 501306073-501306046--EUROBOOR"</f>
        <v>ECO.50 SN 501306073-501306046--EUROBOOR</v>
      </c>
      <c r="E376" s="4" t="str">
        <f t="shared" si="23"/>
        <v>عدد</v>
      </c>
      <c r="F376" s="4">
        <v>2</v>
      </c>
      <c r="G376" s="10">
        <v>75000000</v>
      </c>
      <c r="H376" s="10">
        <f t="shared" si="21"/>
        <v>150000000</v>
      </c>
    </row>
    <row r="377" spans="1:8" s="2" customFormat="1" ht="24" customHeight="1">
      <c r="A377" s="6">
        <v>376</v>
      </c>
      <c r="B377" s="4" t="str">
        <f>"1200000388"</f>
        <v>1200000388</v>
      </c>
      <c r="C377" s="5" t="str">
        <f>"آچار دو سر رينگي8/7 _15/16(24-22ميليمتر)"</f>
        <v>آچار دو سر رينگي8/7 _15/16(24-22ميليمتر)</v>
      </c>
      <c r="D377" s="4" t="str">
        <f>"GEDORE"</f>
        <v>GEDORE</v>
      </c>
      <c r="E377" s="4" t="str">
        <f t="shared" si="23"/>
        <v>عدد</v>
      </c>
      <c r="F377" s="4">
        <v>2</v>
      </c>
      <c r="G377" s="10">
        <v>250000</v>
      </c>
      <c r="H377" s="10">
        <f t="shared" si="21"/>
        <v>500000</v>
      </c>
    </row>
    <row r="378" spans="1:8" s="2" customFormat="1" ht="24" customHeight="1">
      <c r="A378" s="4">
        <v>377</v>
      </c>
      <c r="B378" s="4" t="str">
        <f>"1200000389"</f>
        <v>1200000389</v>
      </c>
      <c r="C378" s="5" t="str">
        <f>"دريل مگنتي ECO 32"</f>
        <v>دريل مگنتي ECO 32</v>
      </c>
      <c r="D378" s="4" t="str">
        <f>"ECO.32 SN 321306070-231306075 euro boor"</f>
        <v>ECO.32 SN 321306070-231306075 euro boor</v>
      </c>
      <c r="E378" s="4" t="str">
        <f t="shared" si="23"/>
        <v>عدد</v>
      </c>
      <c r="F378" s="4">
        <v>2</v>
      </c>
      <c r="G378" s="10">
        <v>55000000</v>
      </c>
      <c r="H378" s="10">
        <f t="shared" si="21"/>
        <v>110000000</v>
      </c>
    </row>
    <row r="379" spans="1:8" s="2" customFormat="1" ht="24" customHeight="1">
      <c r="A379" s="4">
        <v>378</v>
      </c>
      <c r="B379" s="4" t="str">
        <f>"1200000390"</f>
        <v>1200000390</v>
      </c>
      <c r="C379" s="5" t="str">
        <f>"آچار دو سر رينگي5/16-1_1/8-1(34-30ميليمتر)"</f>
        <v>آچار دو سر رينگي5/16-1_1/8-1(34-30ميليمتر)</v>
      </c>
      <c r="D379" s="4" t="str">
        <f>"GEDORE"</f>
        <v>GEDORE</v>
      </c>
      <c r="E379" s="4" t="str">
        <f t="shared" si="23"/>
        <v>عدد</v>
      </c>
      <c r="F379" s="4">
        <v>1</v>
      </c>
      <c r="G379" s="10">
        <v>350000</v>
      </c>
      <c r="H379" s="10">
        <f t="shared" si="21"/>
        <v>350000</v>
      </c>
    </row>
    <row r="380" spans="1:8" s="2" customFormat="1" ht="24" customHeight="1">
      <c r="A380" s="4">
        <v>379</v>
      </c>
      <c r="B380" s="4" t="str">
        <f>"1200000391"</f>
        <v>1200000391</v>
      </c>
      <c r="C380" s="5" t="s">
        <v>10</v>
      </c>
      <c r="D380" s="4" t="str">
        <f>"TW0350 212346--MAKITA"</f>
        <v>TW0350 212346--MAKITA</v>
      </c>
      <c r="E380" s="4" t="str">
        <f t="shared" si="23"/>
        <v>عدد</v>
      </c>
      <c r="F380" s="4">
        <v>1</v>
      </c>
      <c r="G380" s="10">
        <v>6500000</v>
      </c>
      <c r="H380" s="10">
        <f t="shared" si="21"/>
        <v>6500000</v>
      </c>
    </row>
    <row r="381" spans="1:8" s="2" customFormat="1" ht="24" customHeight="1">
      <c r="A381" s="6">
        <v>380</v>
      </c>
      <c r="B381" s="4" t="str">
        <f>"1200000392"</f>
        <v>1200000392</v>
      </c>
      <c r="C381" s="5" t="str">
        <f>"قلم پانچ واشربر 27 ميليمتر (1/16-1)"</f>
        <v>قلم پانچ واشربر 27 ميليمتر (1/16-1)</v>
      </c>
      <c r="D381" s="4" t="str">
        <f>"GEDORE"</f>
        <v>GEDORE</v>
      </c>
      <c r="E381" s="4" t="str">
        <f t="shared" si="23"/>
        <v>عدد</v>
      </c>
      <c r="F381" s="4">
        <v>2</v>
      </c>
      <c r="G381" s="10">
        <v>450000</v>
      </c>
      <c r="H381" s="10">
        <f t="shared" si="21"/>
        <v>900000</v>
      </c>
    </row>
    <row r="382" spans="1:8" s="2" customFormat="1" ht="24" customHeight="1">
      <c r="A382" s="4">
        <v>381</v>
      </c>
      <c r="B382" s="4" t="str">
        <f>"1200000393"</f>
        <v>1200000393</v>
      </c>
      <c r="C382" s="5" t="str">
        <f>"دريل چکشي ديمردار ماكيتا  HP 2070"</f>
        <v>دريل چکشي ديمردار ماكيتا  HP 2070</v>
      </c>
      <c r="D382" s="4" t="str">
        <f>"HP2070 145901-145900--MAKITA"</f>
        <v>HP2070 145901-145900--MAKITA</v>
      </c>
      <c r="E382" s="4" t="str">
        <f t="shared" si="23"/>
        <v>عدد</v>
      </c>
      <c r="F382" s="4">
        <v>2</v>
      </c>
      <c r="G382" s="10">
        <v>3000000</v>
      </c>
      <c r="H382" s="10">
        <f t="shared" si="21"/>
        <v>6000000</v>
      </c>
    </row>
    <row r="383" spans="1:8" s="2" customFormat="1" ht="24" customHeight="1">
      <c r="A383" s="4">
        <v>382</v>
      </c>
      <c r="B383" s="4" t="str">
        <f>"1200000394"</f>
        <v>1200000394</v>
      </c>
      <c r="C383" s="5" t="str">
        <f>"دريل چندمنظوره چکشي بوش+سه نظام يدکي"</f>
        <v>دريل چندمنظوره چکشي بوش+سه نظام يدکي</v>
      </c>
      <c r="D383" s="4" t="str">
        <f>"GBH2-26DFR 009009336-009009360--BOSCH"</f>
        <v>GBH2-26DFR 009009336-009009360--BOSCH</v>
      </c>
      <c r="E383" s="4" t="str">
        <f t="shared" si="23"/>
        <v>عدد</v>
      </c>
      <c r="F383" s="4">
        <v>2</v>
      </c>
      <c r="G383" s="10">
        <v>9000000</v>
      </c>
      <c r="H383" s="10">
        <f t="shared" si="21"/>
        <v>18000000</v>
      </c>
    </row>
    <row r="384" spans="1:8" s="2" customFormat="1" ht="24" customHeight="1">
      <c r="A384" s="4">
        <v>383</v>
      </c>
      <c r="B384" s="4" t="str">
        <f>"1200000395"</f>
        <v>1200000395</v>
      </c>
      <c r="C384" s="5" t="str">
        <f>"آچار يك سرتخت دم موشي 70ميليمتر"</f>
        <v>آچار يك سرتخت دم موشي 70ميليمتر</v>
      </c>
      <c r="D384" s="4" t="str">
        <f>"GEDORE"</f>
        <v>GEDORE</v>
      </c>
      <c r="E384" s="4" t="str">
        <f t="shared" si="23"/>
        <v>عدد</v>
      </c>
      <c r="F384" s="4">
        <v>1</v>
      </c>
      <c r="G384" s="10">
        <v>850000</v>
      </c>
      <c r="H384" s="10">
        <f t="shared" si="21"/>
        <v>850000</v>
      </c>
    </row>
    <row r="385" spans="1:8" s="2" customFormat="1" ht="24" customHeight="1">
      <c r="A385" s="6">
        <v>384</v>
      </c>
      <c r="B385" s="4" t="str">
        <f>"1200000396"</f>
        <v>1200000396</v>
      </c>
      <c r="C385" s="5" t="str">
        <f>"آچار يك سر تخت 50 ميليمتر"</f>
        <v>آچار يك سر تخت 50 ميليمتر</v>
      </c>
      <c r="D385" s="4" t="str">
        <f>"GBH2-26DFR 009009360--BOSCH"</f>
        <v>GBH2-26DFR 009009360--BOSCH</v>
      </c>
      <c r="E385" s="4" t="str">
        <f t="shared" si="23"/>
        <v>عدد</v>
      </c>
      <c r="F385" s="4">
        <v>1</v>
      </c>
      <c r="G385" s="10">
        <v>650000</v>
      </c>
      <c r="H385" s="10">
        <f t="shared" si="21"/>
        <v>650000</v>
      </c>
    </row>
    <row r="386" spans="1:8" s="2" customFormat="1" ht="24" customHeight="1">
      <c r="A386" s="4">
        <v>385</v>
      </c>
      <c r="B386" s="4" t="str">
        <f>"1200000397"</f>
        <v>1200000397</v>
      </c>
      <c r="C386" s="5" t="str">
        <f>"دريل شارژي چکشي بوش"</f>
        <v>دريل شارژي چکشي بوش</v>
      </c>
      <c r="D386" s="4" t="str">
        <f>"GBH36V4 105001808--BOSCH"</f>
        <v>GBH36V4 105001808--BOSCH</v>
      </c>
      <c r="E386" s="4" t="str">
        <f t="shared" si="23"/>
        <v>عدد</v>
      </c>
      <c r="F386" s="4">
        <v>1</v>
      </c>
      <c r="G386" s="10">
        <v>9500000</v>
      </c>
      <c r="H386" s="10">
        <f t="shared" si="21"/>
        <v>9500000</v>
      </c>
    </row>
    <row r="387" spans="1:8" s="2" customFormat="1" ht="24" customHeight="1">
      <c r="A387" s="4">
        <v>386</v>
      </c>
      <c r="B387" s="4" t="str">
        <f>"1200000398"</f>
        <v>1200000398</v>
      </c>
      <c r="C387" s="5" t="str">
        <f>"آچار يكسرتخت يكسررينگي 30ميليمتر"</f>
        <v>آچار يكسرتخت يكسررينگي 30ميليمتر</v>
      </c>
      <c r="D387" s="4" t="str">
        <f>"padre-din3113"</f>
        <v>padre-din3113</v>
      </c>
      <c r="E387" s="4" t="str">
        <f t="shared" si="23"/>
        <v>عدد</v>
      </c>
      <c r="F387" s="4">
        <v>36</v>
      </c>
      <c r="G387" s="10">
        <v>280000</v>
      </c>
      <c r="H387" s="10">
        <f t="shared" si="21"/>
        <v>10080000</v>
      </c>
    </row>
    <row r="388" spans="1:8" s="2" customFormat="1" ht="24" customHeight="1">
      <c r="A388" s="4">
        <v>387</v>
      </c>
      <c r="B388" s="4" t="str">
        <f>"1200000399"</f>
        <v>1200000399</v>
      </c>
      <c r="C388" s="5" t="str">
        <f>"دريل شارژي+شارژر و باتري يدکي بوش2-14.4"</f>
        <v>دريل شارژي+شارژر و باتري يدکي بوش2-14.4</v>
      </c>
      <c r="D388" s="4" t="str">
        <f>"GSB14.4-2-4 301000157- 301000136--BOSCH"</f>
        <v>GSB14.4-2-4 301000157- 301000136--BOSCH</v>
      </c>
      <c r="E388" s="4" t="str">
        <f t="shared" si="23"/>
        <v>عدد</v>
      </c>
      <c r="F388" s="4">
        <v>2</v>
      </c>
      <c r="G388" s="10">
        <v>6500000</v>
      </c>
      <c r="H388" s="10">
        <f t="shared" si="21"/>
        <v>13000000</v>
      </c>
    </row>
    <row r="389" spans="1:8" s="2" customFormat="1" ht="24" customHeight="1">
      <c r="A389" s="6">
        <v>388</v>
      </c>
      <c r="B389" s="4" t="str">
        <f>"1200000400"</f>
        <v>1200000400</v>
      </c>
      <c r="C389" s="5" t="str">
        <f>"آچار يك سر تخت 41 ميليمتر"</f>
        <v>آچار يك سر تخت 41 ميليمتر</v>
      </c>
      <c r="D389" s="4" t="str">
        <f>"GEDORE"</f>
        <v>GEDORE</v>
      </c>
      <c r="E389" s="4" t="str">
        <f t="shared" si="23"/>
        <v>عدد</v>
      </c>
      <c r="F389" s="4">
        <v>1</v>
      </c>
      <c r="G389" s="10">
        <v>380000</v>
      </c>
      <c r="H389" s="10">
        <f t="shared" ref="H389:H452" si="24">F389*G389</f>
        <v>380000</v>
      </c>
    </row>
    <row r="390" spans="1:8" s="2" customFormat="1" ht="24" customHeight="1">
      <c r="A390" s="4">
        <v>389</v>
      </c>
      <c r="B390" s="4" t="str">
        <f>"1200000401"</f>
        <v>1200000401</v>
      </c>
      <c r="C390" s="5" t="str">
        <f>"قلم پانچ 25 ميليمتر 1اينچ"</f>
        <v>قلم پانچ 25 ميليمتر 1اينچ</v>
      </c>
      <c r="D390" s="4" t="str">
        <f>"GEDORE-VBW"</f>
        <v>GEDORE-VBW</v>
      </c>
      <c r="E390" s="4" t="str">
        <f t="shared" si="23"/>
        <v>عدد</v>
      </c>
      <c r="F390" s="4">
        <v>2</v>
      </c>
      <c r="G390" s="10">
        <v>450000</v>
      </c>
      <c r="H390" s="10">
        <f t="shared" si="24"/>
        <v>900000</v>
      </c>
    </row>
    <row r="391" spans="1:8" s="2" customFormat="1" ht="24" customHeight="1">
      <c r="A391" s="4">
        <v>390</v>
      </c>
      <c r="B391" s="4" t="str">
        <f>"1200000402"</f>
        <v>1200000402</v>
      </c>
      <c r="C391" s="5" t="str">
        <f>"دريل شارژي + شارژر و باتري يدکي بوش14.4V"</f>
        <v>دريل شارژي + شارژر و باتري يدکي بوش14.4V</v>
      </c>
      <c r="D391" s="4" t="str">
        <f>"SN 105000617-105000615-105000616-"</f>
        <v>SN 105000617-105000615-105000616-</v>
      </c>
      <c r="E391" s="4" t="str">
        <f t="shared" si="23"/>
        <v>عدد</v>
      </c>
      <c r="F391" s="4">
        <v>4</v>
      </c>
      <c r="G391" s="10">
        <v>6500000</v>
      </c>
      <c r="H391" s="10">
        <f t="shared" si="24"/>
        <v>26000000</v>
      </c>
    </row>
    <row r="392" spans="1:8" s="2" customFormat="1" ht="24" customHeight="1">
      <c r="A392" s="4">
        <v>391</v>
      </c>
      <c r="B392" s="4" t="str">
        <f>"1200000403"</f>
        <v>1200000403</v>
      </c>
      <c r="C392" s="5" t="str">
        <f>"آچار يكسرتخت يكسررينگي 21ميليمتر"</f>
        <v>آچار يكسرتخت يكسررينگي 21ميليمتر</v>
      </c>
      <c r="D392" s="4" t="str">
        <f>"padre - din3113"</f>
        <v>padre - din3113</v>
      </c>
      <c r="E392" s="4" t="str">
        <f t="shared" si="23"/>
        <v>عدد</v>
      </c>
      <c r="F392" s="4">
        <v>36</v>
      </c>
      <c r="G392" s="10">
        <v>210000</v>
      </c>
      <c r="H392" s="10">
        <f t="shared" si="24"/>
        <v>7560000</v>
      </c>
    </row>
    <row r="393" spans="1:8" s="2" customFormat="1" ht="24" customHeight="1">
      <c r="A393" s="6">
        <v>392</v>
      </c>
      <c r="B393" s="4" t="str">
        <f>"1200000404"</f>
        <v>1200000404</v>
      </c>
      <c r="C393" s="5" t="str">
        <f>"دريل برقي معمولي ماكيتا  1631"</f>
        <v>دريل برقي معمولي ماكيتا  1631</v>
      </c>
      <c r="D393" s="4" t="str">
        <f>"HP1631 84897 R-8489 5 R- -MAKITA"</f>
        <v>HP1631 84897 R-8489 5 R- -MAKITA</v>
      </c>
      <c r="E393" s="4" t="str">
        <f>"دستگاه"</f>
        <v>دستگاه</v>
      </c>
      <c r="F393" s="4">
        <v>2</v>
      </c>
      <c r="G393" s="10">
        <v>3000000</v>
      </c>
      <c r="H393" s="10">
        <f t="shared" si="24"/>
        <v>6000000</v>
      </c>
    </row>
    <row r="394" spans="1:8" s="2" customFormat="1" ht="24" customHeight="1">
      <c r="A394" s="4">
        <v>393</v>
      </c>
      <c r="B394" s="4" t="str">
        <f>"1200000445"</f>
        <v>1200000445</v>
      </c>
      <c r="C394" s="5" t="str">
        <f>"آچار دو سر تخت 19 - 14 ميليمتر"</f>
        <v>آچار دو سر تخت 19 - 14 ميليمتر</v>
      </c>
      <c r="D394" s="4" t="str">
        <f>"GEDORE"</f>
        <v>GEDORE</v>
      </c>
      <c r="E394" s="4" t="str">
        <f>"عدد"</f>
        <v>عدد</v>
      </c>
      <c r="F394" s="4">
        <v>1</v>
      </c>
      <c r="G394" s="10">
        <v>180000</v>
      </c>
      <c r="H394" s="10">
        <f t="shared" si="24"/>
        <v>180000</v>
      </c>
    </row>
    <row r="395" spans="1:8" s="2" customFormat="1" ht="24" customHeight="1">
      <c r="A395" s="4">
        <v>394</v>
      </c>
      <c r="B395" s="4" t="str">
        <f>"1200000406"</f>
        <v>1200000406</v>
      </c>
      <c r="C395" s="5" t="str">
        <f>"سشوار صنعتي درجه دار"</f>
        <v>سشوار صنعتي درجه دار</v>
      </c>
      <c r="D395" s="4" t="str">
        <f>"GHG660LCD 406001630--BOSCH"</f>
        <v>GHG660LCD 406001630--BOSCH</v>
      </c>
      <c r="E395" s="4" t="str">
        <f>"دستگاه"</f>
        <v>دستگاه</v>
      </c>
      <c r="F395" s="4">
        <v>1</v>
      </c>
      <c r="G395" s="10">
        <v>6500000</v>
      </c>
      <c r="H395" s="10">
        <f t="shared" si="24"/>
        <v>6500000</v>
      </c>
    </row>
    <row r="396" spans="1:8" s="2" customFormat="1" ht="24" customHeight="1">
      <c r="A396" s="4">
        <v>395</v>
      </c>
      <c r="B396" s="4" t="str">
        <f>"1200000407"</f>
        <v>1200000407</v>
      </c>
      <c r="C396" s="5" t="str">
        <f>"سشوار  صنعتي"</f>
        <v>سشوار  صنعتي</v>
      </c>
      <c r="D396" s="4" t="str">
        <f>"GHG500-2 402000174--BOSCH"</f>
        <v>GHG500-2 402000174--BOSCH</v>
      </c>
      <c r="E396" s="4" t="str">
        <f>"دستگاه"</f>
        <v>دستگاه</v>
      </c>
      <c r="F396" s="4">
        <v>2</v>
      </c>
      <c r="G396" s="10">
        <v>5500000</v>
      </c>
      <c r="H396" s="10">
        <f t="shared" si="24"/>
        <v>11000000</v>
      </c>
    </row>
    <row r="397" spans="1:8" s="2" customFormat="1" ht="24" customHeight="1">
      <c r="A397" s="6">
        <v>396</v>
      </c>
      <c r="B397" s="4" t="str">
        <f>"1200000408"</f>
        <v>1200000408</v>
      </c>
      <c r="C397" s="5" t="str">
        <f>"سنگ فرز بزرگ بوش"</f>
        <v>سنگ فرز بزرگ بوش</v>
      </c>
      <c r="D397" s="4" t="str">
        <f>"GWS20-180H 103000542--BOSCH"</f>
        <v>GWS20-180H 103000542--BOSCH</v>
      </c>
      <c r="E397" s="4" t="str">
        <f>"دستگاه"</f>
        <v>دستگاه</v>
      </c>
      <c r="F397" s="4">
        <v>11</v>
      </c>
      <c r="G397" s="10">
        <v>6000000</v>
      </c>
      <c r="H397" s="10">
        <f t="shared" si="24"/>
        <v>66000000</v>
      </c>
    </row>
    <row r="398" spans="1:8" s="2" customFormat="1" ht="24" customHeight="1">
      <c r="A398" s="4">
        <v>397</v>
      </c>
      <c r="B398" s="4" t="str">
        <f>"1200000409"</f>
        <v>1200000409</v>
      </c>
      <c r="C398" s="5" t="str">
        <f>"آچار يك سرتخت دم موشي 17 ميليمتر"</f>
        <v>آچار يك سرتخت دم موشي 17 ميليمتر</v>
      </c>
      <c r="D398" s="4" t="str">
        <f>"GEDORE"</f>
        <v>GEDORE</v>
      </c>
      <c r="E398" s="4" t="str">
        <f t="shared" ref="E398:E415" si="25">"عدد"</f>
        <v>عدد</v>
      </c>
      <c r="F398" s="4">
        <v>3</v>
      </c>
      <c r="G398" s="10">
        <v>350000</v>
      </c>
      <c r="H398" s="10">
        <f t="shared" si="24"/>
        <v>1050000</v>
      </c>
    </row>
    <row r="399" spans="1:8" s="2" customFormat="1" ht="24" customHeight="1">
      <c r="A399" s="4">
        <v>398</v>
      </c>
      <c r="B399" s="4" t="str">
        <f>"1200000410"</f>
        <v>1200000410</v>
      </c>
      <c r="C399" s="5" t="str">
        <f>"آچار يكسرتخت يكسررينگي 7/8(22ميليمتر)"</f>
        <v>آچار يكسرتخت يكسررينگي 7/8(22ميليمتر)</v>
      </c>
      <c r="D399" s="4" t="str">
        <f>"padre din3113 -NO.811"</f>
        <v>padre din3113 -NO.811</v>
      </c>
      <c r="E399" s="4" t="str">
        <f t="shared" si="25"/>
        <v>عدد</v>
      </c>
      <c r="F399" s="4">
        <v>1</v>
      </c>
      <c r="G399" s="10">
        <v>220000</v>
      </c>
      <c r="H399" s="10">
        <f t="shared" si="24"/>
        <v>220000</v>
      </c>
    </row>
    <row r="400" spans="1:8" s="2" customFormat="1" ht="24" customHeight="1">
      <c r="A400" s="4">
        <v>399</v>
      </c>
      <c r="B400" s="4" t="str">
        <f>"1200000411"</f>
        <v>1200000411</v>
      </c>
      <c r="C400" s="5" t="str">
        <f>"آچار يك سرتخت 36ميليمتر"</f>
        <v>آچار يك سرتخت 36ميليمتر</v>
      </c>
      <c r="D400" s="4" t="str">
        <f>"GEDORE"</f>
        <v>GEDORE</v>
      </c>
      <c r="E400" s="4" t="str">
        <f t="shared" si="25"/>
        <v>عدد</v>
      </c>
      <c r="F400" s="4">
        <v>1</v>
      </c>
      <c r="G400" s="10">
        <v>350000</v>
      </c>
      <c r="H400" s="10">
        <f t="shared" si="24"/>
        <v>350000</v>
      </c>
    </row>
    <row r="401" spans="1:8" s="2" customFormat="1" ht="24" customHeight="1">
      <c r="A401" s="6">
        <v>400</v>
      </c>
      <c r="B401" s="4" t="str">
        <f>"1200000412"</f>
        <v>1200000412</v>
      </c>
      <c r="C401" s="5" t="str">
        <f>"آچار يكسرتخت يكسررينگي 5/8(16ميليمتر)"</f>
        <v>آچار يكسرتخت يكسررينگي 5/8(16ميليمتر)</v>
      </c>
      <c r="D401" s="4" t="str">
        <f>"W GERMANY"</f>
        <v>W GERMANY</v>
      </c>
      <c r="E401" s="4" t="str">
        <f t="shared" si="25"/>
        <v>عدد</v>
      </c>
      <c r="F401" s="4">
        <v>1</v>
      </c>
      <c r="G401" s="10">
        <v>180000</v>
      </c>
      <c r="H401" s="10">
        <f t="shared" si="24"/>
        <v>180000</v>
      </c>
    </row>
    <row r="402" spans="1:8" s="2" customFormat="1" ht="24" customHeight="1">
      <c r="A402" s="4">
        <v>401</v>
      </c>
      <c r="B402" s="4" t="str">
        <f>"1200000413"</f>
        <v>1200000413</v>
      </c>
      <c r="C402" s="5" t="str">
        <f>"آچار يكسرتخت يكسررينگي 1/2(13ميليمتر)"</f>
        <v>آچار يكسرتخت يكسررينگي 1/2(13ميليمتر)</v>
      </c>
      <c r="D402" s="4" t="str">
        <f>"padre no.811"</f>
        <v>padre no.811</v>
      </c>
      <c r="E402" s="4" t="str">
        <f t="shared" si="25"/>
        <v>عدد</v>
      </c>
      <c r="F402" s="4">
        <v>1</v>
      </c>
      <c r="G402" s="10">
        <v>120000</v>
      </c>
      <c r="H402" s="10">
        <f t="shared" si="24"/>
        <v>120000</v>
      </c>
    </row>
    <row r="403" spans="1:8" s="2" customFormat="1" ht="24" customHeight="1">
      <c r="A403" s="4">
        <v>402</v>
      </c>
      <c r="B403" s="4" t="str">
        <f>"1200000414"</f>
        <v>1200000414</v>
      </c>
      <c r="C403" s="5" t="str">
        <f>"آچار يكسرتخت يكسررينگي 12ميليمتر"</f>
        <v>آچار يكسرتخت يكسررينگي 12ميليمتر</v>
      </c>
      <c r="D403" s="4" t="str">
        <f>"din.3113 germany"</f>
        <v>din.3113 germany</v>
      </c>
      <c r="E403" s="4" t="str">
        <f t="shared" si="25"/>
        <v>عدد</v>
      </c>
      <c r="F403" s="4">
        <v>38</v>
      </c>
      <c r="G403" s="10">
        <v>120000</v>
      </c>
      <c r="H403" s="10">
        <f t="shared" si="24"/>
        <v>4560000</v>
      </c>
    </row>
    <row r="404" spans="1:8" s="2" customFormat="1" ht="24" customHeight="1">
      <c r="A404" s="4">
        <v>403</v>
      </c>
      <c r="B404" s="4" t="str">
        <f>"1200000415"</f>
        <v>1200000415</v>
      </c>
      <c r="C404" s="5" t="str">
        <f>"آچار يكسرتخت يكسررينگي 24ميليمتر"</f>
        <v>آچار يكسرتخت يكسررينگي 24ميليمتر</v>
      </c>
      <c r="D404" s="4" t="str">
        <f>"DIN3113"</f>
        <v>DIN3113</v>
      </c>
      <c r="E404" s="4" t="str">
        <f t="shared" si="25"/>
        <v>عدد</v>
      </c>
      <c r="F404" s="4">
        <v>34</v>
      </c>
      <c r="G404" s="10">
        <v>200000</v>
      </c>
      <c r="H404" s="10">
        <f t="shared" si="24"/>
        <v>6800000</v>
      </c>
    </row>
    <row r="405" spans="1:8" s="2" customFormat="1" ht="24" customHeight="1">
      <c r="A405" s="6">
        <v>404</v>
      </c>
      <c r="B405" s="4" t="str">
        <f>"1200000416"</f>
        <v>1200000416</v>
      </c>
      <c r="C405" s="5" t="str">
        <f>"آچار يكسرتخت يكسررينگي 19ميليمتر"</f>
        <v>آچار يكسرتخت يكسررينگي 19ميليمتر</v>
      </c>
      <c r="D405" s="4" t="str">
        <f>"DIN3113"</f>
        <v>DIN3113</v>
      </c>
      <c r="E405" s="4" t="str">
        <f t="shared" si="25"/>
        <v>عدد</v>
      </c>
      <c r="F405" s="4">
        <v>35</v>
      </c>
      <c r="G405" s="10">
        <v>180000</v>
      </c>
      <c r="H405" s="10">
        <f t="shared" si="24"/>
        <v>6300000</v>
      </c>
    </row>
    <row r="406" spans="1:8" s="2" customFormat="1" ht="24" customHeight="1">
      <c r="A406" s="4">
        <v>405</v>
      </c>
      <c r="B406" s="4" t="str">
        <f>"1200000417"</f>
        <v>1200000417</v>
      </c>
      <c r="C406" s="5" t="str">
        <f>"آچار يكسرتخت يكسررينگي 26ميليمتر"</f>
        <v>آچار يكسرتخت يكسررينگي 26ميليمتر</v>
      </c>
      <c r="D406" s="4" t="str">
        <f>""</f>
        <v/>
      </c>
      <c r="E406" s="4" t="str">
        <f t="shared" si="25"/>
        <v>عدد</v>
      </c>
      <c r="F406" s="4">
        <v>1</v>
      </c>
      <c r="G406" s="10">
        <v>250000</v>
      </c>
      <c r="H406" s="10">
        <f t="shared" si="24"/>
        <v>250000</v>
      </c>
    </row>
    <row r="407" spans="1:8" s="2" customFormat="1" ht="24" customHeight="1">
      <c r="A407" s="4">
        <v>406</v>
      </c>
      <c r="B407" s="4" t="str">
        <f>"1200000418"</f>
        <v>1200000418</v>
      </c>
      <c r="C407" s="5" t="str">
        <f>"آچار يكسرتخت يكسررينگي 9ميليمتر"</f>
        <v>آچار يكسرتخت يكسررينگي 9ميليمتر</v>
      </c>
      <c r="D407" s="4" t="str">
        <f>"padre-din3113"</f>
        <v>padre-din3113</v>
      </c>
      <c r="E407" s="4" t="str">
        <f t="shared" si="25"/>
        <v>عدد</v>
      </c>
      <c r="F407" s="4">
        <v>36</v>
      </c>
      <c r="G407" s="10">
        <v>100000</v>
      </c>
      <c r="H407" s="10">
        <f t="shared" si="24"/>
        <v>3600000</v>
      </c>
    </row>
    <row r="408" spans="1:8" s="2" customFormat="1" ht="24" customHeight="1">
      <c r="A408" s="4">
        <v>407</v>
      </c>
      <c r="B408" s="4" t="str">
        <f>"1200000419"</f>
        <v>1200000419</v>
      </c>
      <c r="C408" s="5" t="str">
        <f>"بلوور دمنده-مکنده بوش"</f>
        <v>بلوور دمنده-مکنده بوش</v>
      </c>
      <c r="D408" s="4" t="str">
        <f>"GBL800E 302049573--BOSCH"</f>
        <v>GBL800E 302049573--BOSCH</v>
      </c>
      <c r="E408" s="4" t="str">
        <f t="shared" si="25"/>
        <v>عدد</v>
      </c>
      <c r="F408" s="4">
        <v>1</v>
      </c>
      <c r="G408" s="10">
        <v>3500000</v>
      </c>
      <c r="H408" s="10">
        <f t="shared" si="24"/>
        <v>3500000</v>
      </c>
    </row>
    <row r="409" spans="1:8" s="2" customFormat="1" ht="24" customHeight="1">
      <c r="A409" s="6">
        <v>408</v>
      </c>
      <c r="B409" s="4" t="str">
        <f>"1200000420"</f>
        <v>1200000420</v>
      </c>
      <c r="C409" s="5" t="str">
        <f>"بلوور  دمنده-مکنده ماكيتا"</f>
        <v>بلوور  دمنده-مکنده ماكيتا</v>
      </c>
      <c r="D409" s="4" t="str">
        <f>"UB1101 139215--MAKITA"</f>
        <v>UB1101 139215--MAKITA</v>
      </c>
      <c r="E409" s="4" t="str">
        <f t="shared" si="25"/>
        <v>عدد</v>
      </c>
      <c r="F409" s="4">
        <v>1</v>
      </c>
      <c r="G409" s="10">
        <v>2500000</v>
      </c>
      <c r="H409" s="10">
        <f t="shared" si="24"/>
        <v>2500000</v>
      </c>
    </row>
    <row r="410" spans="1:8" s="2" customFormat="1" ht="24" customHeight="1">
      <c r="A410" s="4">
        <v>409</v>
      </c>
      <c r="B410" s="4" t="str">
        <f>"1200000421"</f>
        <v>1200000421</v>
      </c>
      <c r="C410" s="5" t="str">
        <f>"آچار دو سر تخت 7- 6ميليمتر"</f>
        <v>آچار دو سر تخت 7- 6ميليمتر</v>
      </c>
      <c r="D410" s="4" t="str">
        <f>"rahsol -no5"</f>
        <v>rahsol -no5</v>
      </c>
      <c r="E410" s="4" t="str">
        <f t="shared" si="25"/>
        <v>عدد</v>
      </c>
      <c r="F410" s="4">
        <v>14</v>
      </c>
      <c r="G410" s="10">
        <v>100000</v>
      </c>
      <c r="H410" s="10">
        <f t="shared" si="24"/>
        <v>1400000</v>
      </c>
    </row>
    <row r="411" spans="1:8" s="2" customFormat="1" ht="24" customHeight="1">
      <c r="A411" s="4">
        <v>410</v>
      </c>
      <c r="B411" s="4" t="str">
        <f>"1200000422"</f>
        <v>1200000422</v>
      </c>
      <c r="C411" s="5" t="str">
        <f>"آچار دو سر تخت14 - 13ميليمتر"</f>
        <v>آچار دو سر تخت14 - 13ميليمتر</v>
      </c>
      <c r="D411" s="4" t="str">
        <f>"gedore"</f>
        <v>gedore</v>
      </c>
      <c r="E411" s="4" t="str">
        <f t="shared" si="25"/>
        <v>عدد</v>
      </c>
      <c r="F411" s="4">
        <v>1</v>
      </c>
      <c r="G411" s="10">
        <v>120000</v>
      </c>
      <c r="H411" s="10">
        <f t="shared" si="24"/>
        <v>120000</v>
      </c>
    </row>
    <row r="412" spans="1:8" s="2" customFormat="1" ht="24" customHeight="1">
      <c r="A412" s="4">
        <v>411</v>
      </c>
      <c r="B412" s="4" t="str">
        <f>"1200000423"</f>
        <v>1200000423</v>
      </c>
      <c r="C412" s="5" t="str">
        <f>"آچار يكسرتخت يكسررينگي 18ميليمتر"</f>
        <v>آچار يكسرتخت يكسررينگي 18ميليمتر</v>
      </c>
      <c r="D412" s="4" t="str">
        <f>"din3111"</f>
        <v>din3111</v>
      </c>
      <c r="E412" s="4" t="str">
        <f t="shared" si="25"/>
        <v>عدد</v>
      </c>
      <c r="F412" s="4">
        <v>36</v>
      </c>
      <c r="G412" s="10">
        <v>180000</v>
      </c>
      <c r="H412" s="10">
        <f t="shared" si="24"/>
        <v>6480000</v>
      </c>
    </row>
    <row r="413" spans="1:8" s="2" customFormat="1" ht="24" customHeight="1">
      <c r="A413" s="6">
        <v>412</v>
      </c>
      <c r="B413" s="4" t="str">
        <f>"1200000424"</f>
        <v>1200000424</v>
      </c>
      <c r="C413" s="5" t="str">
        <f>"سنگ سمباده زن ماكيتا"</f>
        <v>سنگ سمباده زن ماكيتا</v>
      </c>
      <c r="D413" s="4" t="str">
        <f>"9105 131781--MAKITA"</f>
        <v>9105 131781--MAKITA</v>
      </c>
      <c r="E413" s="4" t="str">
        <f t="shared" si="25"/>
        <v>عدد</v>
      </c>
      <c r="F413" s="4">
        <v>3</v>
      </c>
      <c r="G413" s="10">
        <v>3000000</v>
      </c>
      <c r="H413" s="10">
        <f t="shared" si="24"/>
        <v>9000000</v>
      </c>
    </row>
    <row r="414" spans="1:8" s="2" customFormat="1" ht="24" customHeight="1">
      <c r="A414" s="4">
        <v>413</v>
      </c>
      <c r="B414" s="4" t="str">
        <f>"1200000425"</f>
        <v>1200000425</v>
      </c>
      <c r="C414" s="5" t="str">
        <f>"آچار دو سر تخت 24-19 ميليمتر"</f>
        <v>آچار دو سر تخت 24-19 ميليمتر</v>
      </c>
      <c r="D414" s="4" t="str">
        <f>""</f>
        <v/>
      </c>
      <c r="E414" s="4" t="str">
        <f t="shared" si="25"/>
        <v>عدد</v>
      </c>
      <c r="F414" s="4">
        <v>1</v>
      </c>
      <c r="G414" s="10">
        <v>240000</v>
      </c>
      <c r="H414" s="10">
        <f t="shared" si="24"/>
        <v>240000</v>
      </c>
    </row>
    <row r="415" spans="1:8" s="2" customFormat="1" ht="24" customHeight="1">
      <c r="A415" s="4">
        <v>414</v>
      </c>
      <c r="B415" s="4" t="str">
        <f>"1200000426"</f>
        <v>1200000426</v>
      </c>
      <c r="C415" s="5" t="str">
        <f>"آچار دو سر تخت 15 - 14ميليمتر"</f>
        <v>آچار دو سر تخت 15 - 14ميليمتر</v>
      </c>
      <c r="D415" s="4" t="str">
        <f>"rahsol -no5 -ra"</f>
        <v>rahsol -no5 -ra</v>
      </c>
      <c r="E415" s="4" t="str">
        <f t="shared" si="25"/>
        <v>عدد</v>
      </c>
      <c r="F415" s="4">
        <v>12</v>
      </c>
      <c r="G415" s="10">
        <v>150000</v>
      </c>
      <c r="H415" s="10">
        <f t="shared" si="24"/>
        <v>1800000</v>
      </c>
    </row>
    <row r="416" spans="1:8" s="2" customFormat="1" ht="24" customHeight="1">
      <c r="A416" s="4">
        <v>415</v>
      </c>
      <c r="B416" s="4" t="str">
        <f>"1200000427"</f>
        <v>1200000427</v>
      </c>
      <c r="C416" s="5" t="str">
        <f>"سنگ فرز پوليش بوش"</f>
        <v>سنگ فرز پوليش بوش</v>
      </c>
      <c r="D416" s="4" t="str">
        <f>"GWS24-230LVI 990000961-990001606--BOSCH"</f>
        <v>GWS24-230LVI 990000961-990001606--BOSCH</v>
      </c>
      <c r="E416" s="4" t="str">
        <f>"دستگاه"</f>
        <v>دستگاه</v>
      </c>
      <c r="F416" s="4">
        <v>2</v>
      </c>
      <c r="G416" s="10">
        <v>8000000</v>
      </c>
      <c r="H416" s="10">
        <f t="shared" si="24"/>
        <v>16000000</v>
      </c>
    </row>
    <row r="417" spans="1:8" s="2" customFormat="1" ht="24" customHeight="1">
      <c r="A417" s="6">
        <v>416</v>
      </c>
      <c r="B417" s="4" t="str">
        <f>"1200000428"</f>
        <v>1200000428</v>
      </c>
      <c r="C417" s="5" t="str">
        <f>"دريل مگنتي ECO100"</f>
        <v>دريل مگنتي ECO100</v>
      </c>
      <c r="D417" s="4" t="str">
        <f>"ECO1001.4  1001306029-1001306010--EUROBOOR"</f>
        <v>ECO1001.4  1001306029-1001306010--EUROBOOR</v>
      </c>
      <c r="E417" s="4" t="str">
        <f>"دستگاه"</f>
        <v>دستگاه</v>
      </c>
      <c r="F417" s="4">
        <v>2</v>
      </c>
      <c r="G417" s="10">
        <v>95000000</v>
      </c>
      <c r="H417" s="10">
        <f t="shared" si="24"/>
        <v>190000000</v>
      </c>
    </row>
    <row r="418" spans="1:8" s="2" customFormat="1" ht="24" customHeight="1">
      <c r="A418" s="4">
        <v>417</v>
      </c>
      <c r="B418" s="4" t="str">
        <f>"1200000429"</f>
        <v>1200000429</v>
      </c>
      <c r="C418" s="5" t="str">
        <f>"قلم پانچ واشربر32ميليمتر (1/4-1)"</f>
        <v>قلم پانچ واشربر32ميليمتر (1/4-1)</v>
      </c>
      <c r="D418" s="4" t="str">
        <f>"GEDORE"</f>
        <v>GEDORE</v>
      </c>
      <c r="E418" s="4" t="str">
        <f>"دستگاه"</f>
        <v>دستگاه</v>
      </c>
      <c r="F418" s="4">
        <v>2</v>
      </c>
      <c r="G418" s="10">
        <v>500000</v>
      </c>
      <c r="H418" s="10">
        <f t="shared" si="24"/>
        <v>1000000</v>
      </c>
    </row>
    <row r="419" spans="1:8" s="2" customFormat="1" ht="24" customHeight="1">
      <c r="A419" s="4">
        <v>418</v>
      </c>
      <c r="B419" s="4" t="str">
        <f>"1200000432"</f>
        <v>1200000432</v>
      </c>
      <c r="C419" s="5" t="str">
        <f>"قلم پانچ واشربر 29ميليمتر"</f>
        <v>قلم پانچ واشربر 29ميليمتر</v>
      </c>
      <c r="D419" s="4" t="str">
        <f>"VBW-29MM"</f>
        <v>VBW-29MM</v>
      </c>
      <c r="E419" s="4" t="str">
        <f>"عدد"</f>
        <v>عدد</v>
      </c>
      <c r="F419" s="4">
        <v>1</v>
      </c>
      <c r="G419" s="10">
        <v>450000</v>
      </c>
      <c r="H419" s="10">
        <f t="shared" si="24"/>
        <v>450000</v>
      </c>
    </row>
    <row r="420" spans="1:8" s="2" customFormat="1" ht="24" customHeight="1">
      <c r="A420" s="4">
        <v>419</v>
      </c>
      <c r="B420" s="4" t="str">
        <f>"1200000434"</f>
        <v>1200000434</v>
      </c>
      <c r="C420" s="5" t="str">
        <f>"شگل 6تن DIN 3"</f>
        <v>شگل 6تن DIN 3</v>
      </c>
      <c r="D420" s="4" t="str">
        <f>"DIN3"</f>
        <v>DIN3</v>
      </c>
      <c r="E420" s="4" t="str">
        <f>"عدد"</f>
        <v>عدد</v>
      </c>
      <c r="F420" s="4">
        <v>55</v>
      </c>
      <c r="G420" s="10">
        <v>450000</v>
      </c>
      <c r="H420" s="10">
        <f t="shared" si="24"/>
        <v>24750000</v>
      </c>
    </row>
    <row r="421" spans="1:8" s="2" customFormat="1" ht="24" customHeight="1">
      <c r="A421" s="6">
        <v>420</v>
      </c>
      <c r="B421" s="4" t="str">
        <f>"1200000435"</f>
        <v>1200000435</v>
      </c>
      <c r="C421" s="5" t="str">
        <f>"شگل 3تنDIN 1.6"</f>
        <v>شگل 3تنDIN 1.6</v>
      </c>
      <c r="D421" s="4" t="str">
        <f>"DIN1.6"</f>
        <v>DIN1.6</v>
      </c>
      <c r="E421" s="4" t="str">
        <f>"عدد"</f>
        <v>عدد</v>
      </c>
      <c r="F421" s="4">
        <v>47</v>
      </c>
      <c r="G421" s="10">
        <v>240000</v>
      </c>
      <c r="H421" s="10">
        <f t="shared" si="24"/>
        <v>11280000</v>
      </c>
    </row>
    <row r="422" spans="1:8" s="2" customFormat="1" ht="24" customHeight="1">
      <c r="A422" s="4">
        <v>421</v>
      </c>
      <c r="B422" s="4" t="str">
        <f>"1200000436"</f>
        <v>1200000436</v>
      </c>
      <c r="C422" s="5" t="str">
        <f>"قلم پانچ واشربر 23ميليمتر"</f>
        <v>قلم پانچ واشربر 23ميليمتر</v>
      </c>
      <c r="D422" s="4" t="str">
        <f>"VBW-23MM"</f>
        <v>VBW-23MM</v>
      </c>
      <c r="E422" s="4" t="str">
        <f>"عدد"</f>
        <v>عدد</v>
      </c>
      <c r="F422" s="4">
        <v>2</v>
      </c>
      <c r="G422" s="10">
        <v>500000</v>
      </c>
      <c r="H422" s="10">
        <f t="shared" si="24"/>
        <v>1000000</v>
      </c>
    </row>
    <row r="423" spans="1:8" s="2" customFormat="1" ht="24" customHeight="1">
      <c r="A423" s="4">
        <v>422</v>
      </c>
      <c r="B423" s="4" t="str">
        <f>"1200000438"</f>
        <v>1200000438</v>
      </c>
      <c r="C423" s="5" t="str">
        <f>"نردبان ظنابي"</f>
        <v>نردبان ظنابي</v>
      </c>
      <c r="D423" s="4" t="str">
        <f>""</f>
        <v/>
      </c>
      <c r="E423" s="4" t="str">
        <f>"عدد"</f>
        <v>عدد</v>
      </c>
      <c r="F423" s="4">
        <v>1</v>
      </c>
      <c r="G423" s="10">
        <v>12500000</v>
      </c>
      <c r="H423" s="10">
        <f t="shared" si="24"/>
        <v>12500000</v>
      </c>
    </row>
    <row r="424" spans="1:8" s="2" customFormat="1" ht="24" customHeight="1">
      <c r="A424" s="4">
        <v>423</v>
      </c>
      <c r="B424" s="4" t="str">
        <f>"1200000439"</f>
        <v>1200000439</v>
      </c>
      <c r="C424" s="5" t="str">
        <f>"تسمه بار کنفي 3تني 3متري"</f>
        <v>تسمه بار کنفي 3تني 3متري</v>
      </c>
      <c r="D424" s="4" t="str">
        <f>"3T 3M"</f>
        <v>3T 3M</v>
      </c>
      <c r="E424" s="4" t="str">
        <f t="shared" ref="E424:E429" si="26">"کلاف"</f>
        <v>کلاف</v>
      </c>
      <c r="F424" s="4">
        <v>10</v>
      </c>
      <c r="G424" s="10">
        <v>300000</v>
      </c>
      <c r="H424" s="10">
        <f t="shared" si="24"/>
        <v>3000000</v>
      </c>
    </row>
    <row r="425" spans="1:8" s="2" customFormat="1" ht="24" customHeight="1">
      <c r="A425" s="6">
        <v>424</v>
      </c>
      <c r="B425" s="4" t="str">
        <f>"1200000440"</f>
        <v>1200000440</v>
      </c>
      <c r="C425" s="5" t="str">
        <f>"تسمه بار کنفي 3تني 2متري"</f>
        <v>تسمه بار کنفي 3تني 2متري</v>
      </c>
      <c r="D425" s="4" t="str">
        <f>"3T 2M"</f>
        <v>3T 2M</v>
      </c>
      <c r="E425" s="4" t="str">
        <f t="shared" si="26"/>
        <v>کلاف</v>
      </c>
      <c r="F425" s="4">
        <v>4</v>
      </c>
      <c r="G425" s="10">
        <v>200000</v>
      </c>
      <c r="H425" s="10">
        <f t="shared" si="24"/>
        <v>800000</v>
      </c>
    </row>
    <row r="426" spans="1:8" s="2" customFormat="1" ht="24" customHeight="1">
      <c r="A426" s="4">
        <v>425</v>
      </c>
      <c r="B426" s="4" t="str">
        <f>"1200000441"</f>
        <v>1200000441</v>
      </c>
      <c r="C426" s="5" t="str">
        <f>"تسمه بار کنفي 4تني 3متري"</f>
        <v>تسمه بار کنفي 4تني 3متري</v>
      </c>
      <c r="D426" s="4" t="str">
        <f>"6T 10M"</f>
        <v>6T 10M</v>
      </c>
      <c r="E426" s="4" t="str">
        <f t="shared" si="26"/>
        <v>کلاف</v>
      </c>
      <c r="F426" s="4">
        <v>3</v>
      </c>
      <c r="G426" s="10">
        <v>350000</v>
      </c>
      <c r="H426" s="10">
        <f t="shared" si="24"/>
        <v>1050000</v>
      </c>
    </row>
    <row r="427" spans="1:8" s="2" customFormat="1" ht="24" customHeight="1">
      <c r="A427" s="4">
        <v>426</v>
      </c>
      <c r="B427" s="4" t="str">
        <f>"1200000442"</f>
        <v>1200000442</v>
      </c>
      <c r="C427" s="5" t="str">
        <f>"تسمه بار کنفي 3تني 4متري"</f>
        <v>تسمه بار کنفي 3تني 4متري</v>
      </c>
      <c r="D427" s="4" t="str">
        <f>"3T 4M"</f>
        <v>3T 4M</v>
      </c>
      <c r="E427" s="4" t="str">
        <f t="shared" si="26"/>
        <v>کلاف</v>
      </c>
      <c r="F427" s="4">
        <v>6</v>
      </c>
      <c r="G427" s="10">
        <v>450000</v>
      </c>
      <c r="H427" s="10">
        <f t="shared" si="24"/>
        <v>2700000</v>
      </c>
    </row>
    <row r="428" spans="1:8" s="2" customFormat="1" ht="24" customHeight="1">
      <c r="A428" s="4">
        <v>427</v>
      </c>
      <c r="B428" s="4" t="str">
        <f>"1200000443"</f>
        <v>1200000443</v>
      </c>
      <c r="C428" s="5" t="str">
        <f>"سوهان تخت زبرمخصوص نجاري"</f>
        <v>سوهان تخت زبرمخصوص نجاري</v>
      </c>
      <c r="D428" s="4" t="str">
        <f>"GERMANY-تخت"</f>
        <v>GERMANY-تخت</v>
      </c>
      <c r="E428" s="4" t="str">
        <f t="shared" si="26"/>
        <v>کلاف</v>
      </c>
      <c r="F428" s="4">
        <v>5</v>
      </c>
      <c r="G428" s="10">
        <v>350000</v>
      </c>
      <c r="H428" s="10">
        <f t="shared" si="24"/>
        <v>1750000</v>
      </c>
    </row>
    <row r="429" spans="1:8" s="2" customFormat="1" ht="24" customHeight="1">
      <c r="A429" s="6">
        <v>428</v>
      </c>
      <c r="B429" s="4" t="str">
        <f>"1200000444"</f>
        <v>1200000444</v>
      </c>
      <c r="C429" s="5" t="str">
        <f>"تسمه بار کنفي 3تني 6متري"</f>
        <v>تسمه بار کنفي 3تني 6متري</v>
      </c>
      <c r="D429" s="4" t="str">
        <f>"3T 6M"</f>
        <v>3T 6M</v>
      </c>
      <c r="E429" s="4" t="str">
        <f t="shared" si="26"/>
        <v>کلاف</v>
      </c>
      <c r="F429" s="4">
        <v>8</v>
      </c>
      <c r="G429" s="10">
        <v>750000</v>
      </c>
      <c r="H429" s="10">
        <f t="shared" si="24"/>
        <v>6000000</v>
      </c>
    </row>
    <row r="430" spans="1:8" s="2" customFormat="1" ht="24" customHeight="1">
      <c r="A430" s="34">
        <v>429</v>
      </c>
      <c r="B430" s="34" t="str">
        <f>"1200000521"</f>
        <v>1200000521</v>
      </c>
      <c r="C430" s="35" t="str">
        <f>"سيستم حباب گير"</f>
        <v>سيستم حباب گير</v>
      </c>
      <c r="D430" s="34" t="str">
        <f>"همراه با اتصالات"</f>
        <v>همراه با اتصالات</v>
      </c>
      <c r="E430" s="34" t="str">
        <f>"عدد"</f>
        <v>عدد</v>
      </c>
      <c r="F430" s="34">
        <v>3</v>
      </c>
      <c r="G430" s="36">
        <v>250000</v>
      </c>
      <c r="H430" s="36">
        <f t="shared" si="24"/>
        <v>750000</v>
      </c>
    </row>
    <row r="431" spans="1:8" s="2" customFormat="1" ht="24" customHeight="1">
      <c r="A431" s="4">
        <v>430</v>
      </c>
      <c r="B431" s="4" t="str">
        <f>"1200000446"</f>
        <v>1200000446</v>
      </c>
      <c r="C431" s="5" t="str">
        <f>"آچار دو سر تخت32-27ميليمتر"</f>
        <v>آچار دو سر تخت32-27ميليمتر</v>
      </c>
      <c r="D431" s="4" t="str">
        <f>""</f>
        <v/>
      </c>
      <c r="E431" s="4" t="str">
        <f>"عدد"</f>
        <v>عدد</v>
      </c>
      <c r="F431" s="4">
        <v>1</v>
      </c>
      <c r="G431" s="10">
        <v>280000</v>
      </c>
      <c r="H431" s="10">
        <f t="shared" si="24"/>
        <v>280000</v>
      </c>
    </row>
    <row r="432" spans="1:8" s="2" customFormat="1" ht="24" customHeight="1">
      <c r="A432" s="4">
        <v>431</v>
      </c>
      <c r="B432" s="4" t="str">
        <f>"1200000447"</f>
        <v>1200000447</v>
      </c>
      <c r="C432" s="5" t="str">
        <f>"آچار دو سر تخت32-30ميليمتر"</f>
        <v>آچار دو سر تخت32-30ميليمتر</v>
      </c>
      <c r="D432" s="4" t="str">
        <f>""</f>
        <v/>
      </c>
      <c r="E432" s="4" t="str">
        <f>"عدد"</f>
        <v>عدد</v>
      </c>
      <c r="F432" s="4">
        <v>9</v>
      </c>
      <c r="G432" s="10">
        <v>300000</v>
      </c>
      <c r="H432" s="10">
        <f t="shared" si="24"/>
        <v>2700000</v>
      </c>
    </row>
    <row r="433" spans="1:8" s="2" customFormat="1" ht="24" customHeight="1">
      <c r="A433" s="6">
        <v>432</v>
      </c>
      <c r="B433" s="4" t="str">
        <f>"1200000448"</f>
        <v>1200000448</v>
      </c>
      <c r="C433" s="5" t="str">
        <f>"آچار دو سر تخت24-22ميليمتر"</f>
        <v>آچار دو سر تخت24-22ميليمتر</v>
      </c>
      <c r="D433" s="4" t="str">
        <f>""</f>
        <v/>
      </c>
      <c r="E433" s="4" t="str">
        <f>"عدد"</f>
        <v>عدد</v>
      </c>
      <c r="F433" s="4">
        <v>9</v>
      </c>
      <c r="G433" s="10">
        <v>250000</v>
      </c>
      <c r="H433" s="10">
        <f t="shared" si="24"/>
        <v>2250000</v>
      </c>
    </row>
    <row r="434" spans="1:8" s="2" customFormat="1" ht="24" customHeight="1">
      <c r="A434" s="4">
        <v>433</v>
      </c>
      <c r="B434" s="4" t="str">
        <f>"1200000449"</f>
        <v>1200000449</v>
      </c>
      <c r="C434" s="5" t="str">
        <f>"آچار يكسرتخت يكسر رينگي 11ميليمتر"</f>
        <v>آچار يكسرتخت يكسر رينگي 11ميليمتر</v>
      </c>
      <c r="D434" s="4" t="str">
        <f>""</f>
        <v/>
      </c>
      <c r="E434" s="4" t="str">
        <f>"عدد"</f>
        <v>عدد</v>
      </c>
      <c r="F434" s="4">
        <v>38</v>
      </c>
      <c r="G434" s="10">
        <v>125000</v>
      </c>
      <c r="H434" s="10">
        <f t="shared" si="24"/>
        <v>4750000</v>
      </c>
    </row>
    <row r="435" spans="1:8" s="2" customFormat="1" ht="24" customHeight="1">
      <c r="A435" s="4">
        <v>434</v>
      </c>
      <c r="B435" s="4" t="str">
        <f>"1200000450"</f>
        <v>1200000450</v>
      </c>
      <c r="C435" s="5" t="str">
        <f>"تسمه بار ابريشمي 4تني 2متري"</f>
        <v>تسمه بار ابريشمي 4تني 2متري</v>
      </c>
      <c r="D435" s="4" t="str">
        <f>"4تن الي 6تن -2متري"</f>
        <v>4تن الي 6تن -2متري</v>
      </c>
      <c r="E435" s="4" t="str">
        <f>"کلاف"</f>
        <v>کلاف</v>
      </c>
      <c r="F435" s="4">
        <v>2</v>
      </c>
      <c r="G435" s="10">
        <v>300000</v>
      </c>
      <c r="H435" s="10">
        <f t="shared" si="24"/>
        <v>600000</v>
      </c>
    </row>
    <row r="436" spans="1:8" s="2" customFormat="1" ht="24" customHeight="1">
      <c r="A436" s="4">
        <v>435</v>
      </c>
      <c r="B436" s="4" t="str">
        <f>"1200000451"</f>
        <v>1200000451</v>
      </c>
      <c r="C436" s="5" t="str">
        <f>"تسمه بار ابريشمي 2تني 2متري"</f>
        <v>تسمه بار ابريشمي 2تني 2متري</v>
      </c>
      <c r="D436" s="4" t="str">
        <f>"2تن الي 3تني -2متري"</f>
        <v>2تن الي 3تني -2متري</v>
      </c>
      <c r="E436" s="4" t="str">
        <f>"کلاف"</f>
        <v>کلاف</v>
      </c>
      <c r="F436" s="4">
        <v>2</v>
      </c>
      <c r="G436" s="10">
        <v>200000</v>
      </c>
      <c r="H436" s="10">
        <f t="shared" si="24"/>
        <v>400000</v>
      </c>
    </row>
    <row r="437" spans="1:8" s="2" customFormat="1" ht="24" customHeight="1">
      <c r="A437" s="6">
        <v>436</v>
      </c>
      <c r="B437" s="4" t="str">
        <f>"1200000452"</f>
        <v>1200000452</v>
      </c>
      <c r="C437" s="5" t="str">
        <f>"چراغ شارژي R12-2"</f>
        <v>چراغ شارژي R12-2</v>
      </c>
      <c r="D437" s="4" t="str">
        <f>"R12-2 LED--TABESH"</f>
        <v>R12-2 LED--TABESH</v>
      </c>
      <c r="E437" s="4" t="str">
        <f>"عدد"</f>
        <v>عدد</v>
      </c>
      <c r="F437" s="4">
        <v>12</v>
      </c>
      <c r="G437" s="10">
        <v>1000000</v>
      </c>
      <c r="H437" s="10">
        <f t="shared" si="24"/>
        <v>12000000</v>
      </c>
    </row>
    <row r="438" spans="1:8" s="2" customFormat="1" ht="24" customHeight="1">
      <c r="A438" s="4">
        <v>437</v>
      </c>
      <c r="B438" s="4" t="str">
        <f>"1200000453"</f>
        <v>1200000453</v>
      </c>
      <c r="C438" s="5" t="str">
        <f>"چراغ شارژي RF06-2"</f>
        <v>چراغ شارژي RF06-2</v>
      </c>
      <c r="D438" s="4" t="str">
        <f>"RF06-2 LED--TABESH"</f>
        <v>RF06-2 LED--TABESH</v>
      </c>
      <c r="E438" s="4" t="str">
        <f>"عدد"</f>
        <v>عدد</v>
      </c>
      <c r="F438" s="4">
        <v>3</v>
      </c>
      <c r="G438" s="10">
        <v>850000</v>
      </c>
      <c r="H438" s="10">
        <f t="shared" si="24"/>
        <v>2550000</v>
      </c>
    </row>
    <row r="439" spans="1:8" s="2" customFormat="1" ht="24" customHeight="1">
      <c r="A439" s="4">
        <v>438</v>
      </c>
      <c r="B439" s="4" t="str">
        <f>"1200000454"</f>
        <v>1200000454</v>
      </c>
      <c r="C439" s="5" t="str">
        <f>"قلم پانچ واشربر 38 ميليمتر"</f>
        <v>قلم پانچ واشربر 38 ميليمتر</v>
      </c>
      <c r="D439" s="4" t="str">
        <f>"VBW"</f>
        <v>VBW</v>
      </c>
      <c r="E439" s="4" t="str">
        <f>"دستگاه"</f>
        <v>دستگاه</v>
      </c>
      <c r="F439" s="4">
        <v>1</v>
      </c>
      <c r="G439" s="10">
        <v>500000</v>
      </c>
      <c r="H439" s="10">
        <f t="shared" si="24"/>
        <v>500000</v>
      </c>
    </row>
    <row r="440" spans="1:8" s="2" customFormat="1" ht="24" customHeight="1">
      <c r="A440" s="4">
        <v>439</v>
      </c>
      <c r="B440" s="4" t="str">
        <f>"1200000455"</f>
        <v>1200000455</v>
      </c>
      <c r="C440" s="5" t="str">
        <f>"آچار بكس 6پر 38ميليمتر درايو3/4"</f>
        <v>آچار بكس 6پر 38ميليمتر درايو3/4</v>
      </c>
      <c r="D440" s="4" t="str">
        <f>"درايو 3/4"</f>
        <v>درايو 3/4</v>
      </c>
      <c r="E440" s="4" t="str">
        <f>"دستگاه"</f>
        <v>دستگاه</v>
      </c>
      <c r="F440" s="4">
        <v>1</v>
      </c>
      <c r="G440" s="10">
        <v>350000</v>
      </c>
      <c r="H440" s="10">
        <f t="shared" si="24"/>
        <v>350000</v>
      </c>
    </row>
    <row r="441" spans="1:8" s="2" customFormat="1" ht="24" customHeight="1">
      <c r="A441" s="6">
        <v>440</v>
      </c>
      <c r="B441" s="4" t="str">
        <f>"1200000456"</f>
        <v>1200000456</v>
      </c>
      <c r="C441" s="5" t="str">
        <f>"ديلم 60سانتيمتري"</f>
        <v>ديلم 60سانتيمتري</v>
      </c>
      <c r="D441" s="4" t="str">
        <f>"600mm--IRANPOTK"</f>
        <v>600mm--IRANPOTK</v>
      </c>
      <c r="E441" s="4" t="str">
        <f>"عدد"</f>
        <v>عدد</v>
      </c>
      <c r="F441" s="4">
        <v>9</v>
      </c>
      <c r="G441" s="10">
        <v>500000</v>
      </c>
      <c r="H441" s="10">
        <f t="shared" si="24"/>
        <v>4500000</v>
      </c>
    </row>
    <row r="442" spans="1:8" s="2" customFormat="1" ht="24" customHeight="1">
      <c r="A442" s="4">
        <v>441</v>
      </c>
      <c r="B442" s="4" t="str">
        <f>"1200000457"</f>
        <v>1200000457</v>
      </c>
      <c r="C442" s="5" t="str">
        <f>"ديلم 80 سانتيمتري"</f>
        <v>ديلم 80 سانتيمتري</v>
      </c>
      <c r="D442" s="4" t="str">
        <f>"800mm--IRANPOTK"</f>
        <v>800mm--IRANPOTK</v>
      </c>
      <c r="E442" s="4" t="str">
        <f>"عدد"</f>
        <v>عدد</v>
      </c>
      <c r="F442" s="4">
        <v>3</v>
      </c>
      <c r="G442" s="10">
        <v>700000</v>
      </c>
      <c r="H442" s="10">
        <f t="shared" si="24"/>
        <v>2100000</v>
      </c>
    </row>
    <row r="443" spans="1:8" s="2" customFormat="1" ht="24" customHeight="1">
      <c r="A443" s="4">
        <v>442</v>
      </c>
      <c r="B443" s="4" t="str">
        <f>"1200000458"</f>
        <v>1200000458</v>
      </c>
      <c r="C443" s="5" t="str">
        <f>"ديلم 120سانتيمتري"</f>
        <v>ديلم 120سانتيمتري</v>
      </c>
      <c r="D443" s="4" t="str">
        <f>"1200mm--IRANPOTK"</f>
        <v>1200mm--IRANPOTK</v>
      </c>
      <c r="E443" s="4" t="str">
        <f>"عدد"</f>
        <v>عدد</v>
      </c>
      <c r="F443" s="4">
        <v>2</v>
      </c>
      <c r="G443" s="10">
        <v>400000</v>
      </c>
      <c r="H443" s="10">
        <f t="shared" si="24"/>
        <v>800000</v>
      </c>
    </row>
    <row r="444" spans="1:8" s="2" customFormat="1" ht="24" customHeight="1">
      <c r="A444" s="4">
        <v>443</v>
      </c>
      <c r="B444" s="4" t="str">
        <f>"1200000459"</f>
        <v>1200000459</v>
      </c>
      <c r="C444" s="5" t="str">
        <f>"ديلم 35سانتيمتري"</f>
        <v>ديلم 35سانتيمتري</v>
      </c>
      <c r="D444" s="4" t="str">
        <f>"350mm--IRANPOTK"</f>
        <v>350mm--IRANPOTK</v>
      </c>
      <c r="E444" s="4" t="str">
        <f>"عدد"</f>
        <v>عدد</v>
      </c>
      <c r="F444" s="4">
        <v>19</v>
      </c>
      <c r="G444" s="10">
        <v>400000</v>
      </c>
      <c r="H444" s="10">
        <f t="shared" si="24"/>
        <v>7600000</v>
      </c>
    </row>
    <row r="445" spans="1:8" s="2" customFormat="1" ht="24" customHeight="1">
      <c r="A445" s="6">
        <v>444</v>
      </c>
      <c r="B445" s="4" t="str">
        <f>"1200000460"</f>
        <v>1200000460</v>
      </c>
      <c r="C445" s="5" t="str">
        <f>"عمق سنج معمولي 600ميليمتر"</f>
        <v>عمق سنج معمولي 600ميليمتر</v>
      </c>
      <c r="D445" s="4" t="str">
        <f>"60cm--MITUTOYO"</f>
        <v>60cm--MITUTOYO</v>
      </c>
      <c r="E445" s="4" t="str">
        <f t="shared" ref="E445:E459" si="27">"دستگاه"</f>
        <v>دستگاه</v>
      </c>
      <c r="F445" s="4">
        <v>2</v>
      </c>
      <c r="G445" s="10">
        <v>1500000</v>
      </c>
      <c r="H445" s="10">
        <f t="shared" si="24"/>
        <v>3000000</v>
      </c>
    </row>
    <row r="446" spans="1:8" s="2" customFormat="1" ht="24" customHeight="1">
      <c r="A446" s="4">
        <v>445</v>
      </c>
      <c r="B446" s="4" t="str">
        <f>"1200000461"</f>
        <v>1200000461</v>
      </c>
      <c r="C446" s="5" t="str">
        <f>"عمق سنج معمولي 1000ميليمتر"</f>
        <v>عمق سنج معمولي 1000ميليمتر</v>
      </c>
      <c r="D446" s="4" t="str">
        <f>"100cm--MITUTOYO"</f>
        <v>100cm--MITUTOYO</v>
      </c>
      <c r="E446" s="4" t="str">
        <f t="shared" si="27"/>
        <v>دستگاه</v>
      </c>
      <c r="F446" s="4">
        <v>1</v>
      </c>
      <c r="G446" s="10">
        <v>2000000</v>
      </c>
      <c r="H446" s="10">
        <f t="shared" si="24"/>
        <v>2000000</v>
      </c>
    </row>
    <row r="447" spans="1:8" s="2" customFormat="1" ht="24" customHeight="1">
      <c r="A447" s="4">
        <v>446</v>
      </c>
      <c r="B447" s="4" t="str">
        <f>"1200000462"</f>
        <v>1200000462</v>
      </c>
      <c r="C447" s="5" t="str">
        <f>"ميکرومتر داخل سنج 1000-50"</f>
        <v>ميکرومتر داخل سنج 1000-50</v>
      </c>
      <c r="D447" s="4" t="str">
        <f>" 1000-50 mm--ASIMETO"</f>
        <v xml:space="preserve"> 1000-50 mm--ASIMETO</v>
      </c>
      <c r="E447" s="4" t="str">
        <f t="shared" si="27"/>
        <v>دستگاه</v>
      </c>
      <c r="F447" s="4">
        <v>1</v>
      </c>
      <c r="G447" s="10">
        <v>4000000</v>
      </c>
      <c r="H447" s="10">
        <f t="shared" si="24"/>
        <v>4000000</v>
      </c>
    </row>
    <row r="448" spans="1:8" s="2" customFormat="1" ht="24" customHeight="1">
      <c r="A448" s="4">
        <v>447</v>
      </c>
      <c r="B448" s="4" t="str">
        <f>"1200000463"</f>
        <v>1200000463</v>
      </c>
      <c r="C448" s="5" t="str">
        <f>"ميکرومتر خارج سنج 300-150"</f>
        <v>ميکرومتر خارج سنج 300-150</v>
      </c>
      <c r="D448" s="4" t="str">
        <f>"150-300 mm--ASIMETO"</f>
        <v>150-300 mm--ASIMETO</v>
      </c>
      <c r="E448" s="4" t="str">
        <f t="shared" si="27"/>
        <v>دستگاه</v>
      </c>
      <c r="F448" s="4">
        <v>1</v>
      </c>
      <c r="G448" s="10">
        <v>3500000</v>
      </c>
      <c r="H448" s="10">
        <f t="shared" si="24"/>
        <v>3500000</v>
      </c>
    </row>
    <row r="449" spans="1:8" s="2" customFormat="1" ht="24" customHeight="1">
      <c r="A449" s="6">
        <v>448</v>
      </c>
      <c r="B449" s="4" t="str">
        <f>"1200000464"</f>
        <v>1200000464</v>
      </c>
      <c r="C449" s="5" t="str">
        <f>"ميکرومتر خارج سنج 400-300"</f>
        <v>ميکرومتر خارج سنج 400-300</v>
      </c>
      <c r="D449" s="4" t="str">
        <f>"300-400 mm--ASIMETO"</f>
        <v>300-400 mm--ASIMETO</v>
      </c>
      <c r="E449" s="4" t="str">
        <f t="shared" si="27"/>
        <v>دستگاه</v>
      </c>
      <c r="F449" s="4">
        <v>2</v>
      </c>
      <c r="G449" s="10">
        <v>3500000</v>
      </c>
      <c r="H449" s="10">
        <f t="shared" si="24"/>
        <v>7000000</v>
      </c>
    </row>
    <row r="450" spans="1:8" s="2" customFormat="1" ht="24" customHeight="1">
      <c r="A450" s="4">
        <v>449</v>
      </c>
      <c r="B450" s="4" t="str">
        <f>"1200000465"</f>
        <v>1200000465</v>
      </c>
      <c r="C450" s="5" t="str">
        <f>"ميکرومتر خارج سنج 800-700"</f>
        <v>ميکرومتر خارج سنج 800-700</v>
      </c>
      <c r="D450" s="4" t="str">
        <f>"700-800 mm--ASIMETO"</f>
        <v>700-800 mm--ASIMETO</v>
      </c>
      <c r="E450" s="4" t="str">
        <f t="shared" si="27"/>
        <v>دستگاه</v>
      </c>
      <c r="F450" s="4">
        <v>2</v>
      </c>
      <c r="G450" s="10">
        <v>4000000</v>
      </c>
      <c r="H450" s="10">
        <f t="shared" si="24"/>
        <v>8000000</v>
      </c>
    </row>
    <row r="451" spans="1:8" s="2" customFormat="1" ht="24" customHeight="1">
      <c r="A451" s="4">
        <v>450</v>
      </c>
      <c r="B451" s="4" t="str">
        <f>"1200000466"</f>
        <v>1200000466</v>
      </c>
      <c r="C451" s="5" t="str">
        <f>"ميکرومتر خارج سنج 900-800"</f>
        <v>ميکرومتر خارج سنج 900-800</v>
      </c>
      <c r="D451" s="4" t="str">
        <f>"800-900 mm--ASIMETO"</f>
        <v>800-900 mm--ASIMETO</v>
      </c>
      <c r="E451" s="4" t="str">
        <f t="shared" si="27"/>
        <v>دستگاه</v>
      </c>
      <c r="F451" s="4">
        <v>2</v>
      </c>
      <c r="G451" s="10">
        <v>4000000</v>
      </c>
      <c r="H451" s="10">
        <f t="shared" si="24"/>
        <v>8000000</v>
      </c>
    </row>
    <row r="452" spans="1:8" s="2" customFormat="1" ht="24" customHeight="1">
      <c r="A452" s="4">
        <v>451</v>
      </c>
      <c r="B452" s="4" t="str">
        <f>"1200000467"</f>
        <v>1200000467</v>
      </c>
      <c r="C452" s="5" t="str">
        <f>"ميکرومتر خارج سنج 700-600"</f>
        <v>ميکرومتر خارج سنج 700-600</v>
      </c>
      <c r="D452" s="4" t="str">
        <f>"600-700 mm--ASIMETO"</f>
        <v>600-700 mm--ASIMETO</v>
      </c>
      <c r="E452" s="4" t="str">
        <f t="shared" si="27"/>
        <v>دستگاه</v>
      </c>
      <c r="F452" s="4">
        <v>1</v>
      </c>
      <c r="G452" s="10">
        <v>4000000</v>
      </c>
      <c r="H452" s="10">
        <f t="shared" si="24"/>
        <v>4000000</v>
      </c>
    </row>
    <row r="453" spans="1:8" s="2" customFormat="1" ht="24" customHeight="1">
      <c r="A453" s="6">
        <v>452</v>
      </c>
      <c r="B453" s="4" t="str">
        <f>"1200000468"</f>
        <v>1200000468</v>
      </c>
      <c r="C453" s="5" t="str">
        <f>"ميکرومتر خارج سنج 1000-900"</f>
        <v>ميکرومتر خارج سنج 1000-900</v>
      </c>
      <c r="D453" s="4" t="str">
        <f>"900-1000 mm--ASIMETO"</f>
        <v>900-1000 mm--ASIMETO</v>
      </c>
      <c r="E453" s="4" t="str">
        <f t="shared" si="27"/>
        <v>دستگاه</v>
      </c>
      <c r="F453" s="4">
        <v>2</v>
      </c>
      <c r="G453" s="10">
        <v>4500000</v>
      </c>
      <c r="H453" s="10">
        <f t="shared" ref="H453:H516" si="28">F453*G453</f>
        <v>9000000</v>
      </c>
    </row>
    <row r="454" spans="1:8" s="2" customFormat="1" ht="24" customHeight="1">
      <c r="A454" s="4">
        <v>453</v>
      </c>
      <c r="B454" s="4" t="str">
        <f>"1200000469"</f>
        <v>1200000469</v>
      </c>
      <c r="C454" s="5" t="str">
        <f>"ميکرومتر خارج سنج 500-400"</f>
        <v>ميکرومتر خارج سنج 500-400</v>
      </c>
      <c r="D454" s="4" t="str">
        <f>"400-500 mm--ASIMETO"</f>
        <v>400-500 mm--ASIMETO</v>
      </c>
      <c r="E454" s="4" t="str">
        <f t="shared" si="27"/>
        <v>دستگاه</v>
      </c>
      <c r="F454" s="4">
        <v>1</v>
      </c>
      <c r="G454" s="10">
        <v>3500000</v>
      </c>
      <c r="H454" s="10">
        <f t="shared" si="28"/>
        <v>3500000</v>
      </c>
    </row>
    <row r="455" spans="1:8" s="2" customFormat="1" ht="24" customHeight="1">
      <c r="A455" s="4">
        <v>454</v>
      </c>
      <c r="B455" s="4" t="str">
        <f>"1200000470"</f>
        <v>1200000470</v>
      </c>
      <c r="C455" s="5" t="str">
        <f>"ميکرومتر خارج سنج  100-75"</f>
        <v>ميکرومتر خارج سنج  100-75</v>
      </c>
      <c r="D455" s="4" t="str">
        <f>"75-100 mm--MITUTOYO"</f>
        <v>75-100 mm--MITUTOYO</v>
      </c>
      <c r="E455" s="4" t="str">
        <f t="shared" si="27"/>
        <v>دستگاه</v>
      </c>
      <c r="F455" s="4">
        <v>9</v>
      </c>
      <c r="G455" s="10">
        <v>3500000</v>
      </c>
      <c r="H455" s="10">
        <f t="shared" si="28"/>
        <v>31500000</v>
      </c>
    </row>
    <row r="456" spans="1:8" s="2" customFormat="1" ht="24" customHeight="1">
      <c r="A456" s="4">
        <v>455</v>
      </c>
      <c r="B456" s="4" t="str">
        <f>"1200000471"</f>
        <v>1200000471</v>
      </c>
      <c r="C456" s="5" t="str">
        <f>"ميکرومتر خارج سنج 75-50"</f>
        <v>ميکرومتر خارج سنج 75-50</v>
      </c>
      <c r="D456" s="4" t="str">
        <f>"50-75 mm--MITUTOYO"</f>
        <v>50-75 mm--MITUTOYO</v>
      </c>
      <c r="E456" s="4" t="str">
        <f t="shared" si="27"/>
        <v>دستگاه</v>
      </c>
      <c r="F456" s="4">
        <v>10</v>
      </c>
      <c r="G456" s="10">
        <v>3200000</v>
      </c>
      <c r="H456" s="10">
        <f t="shared" si="28"/>
        <v>32000000</v>
      </c>
    </row>
    <row r="457" spans="1:8" s="2" customFormat="1" ht="24" customHeight="1">
      <c r="A457" s="6">
        <v>456</v>
      </c>
      <c r="B457" s="4" t="str">
        <f>"1200000472"</f>
        <v>1200000472</v>
      </c>
      <c r="C457" s="5" t="str">
        <f>"ميکرومتر خارج سنج 50-25"</f>
        <v>ميکرومتر خارج سنج 50-25</v>
      </c>
      <c r="D457" s="4" t="str">
        <f>"25-50 mm--MITUTOYO"</f>
        <v>25-50 mm--MITUTOYO</v>
      </c>
      <c r="E457" s="4" t="str">
        <f t="shared" si="27"/>
        <v>دستگاه</v>
      </c>
      <c r="F457" s="4">
        <v>10</v>
      </c>
      <c r="G457" s="10">
        <v>1000000</v>
      </c>
      <c r="H457" s="10">
        <f t="shared" si="28"/>
        <v>10000000</v>
      </c>
    </row>
    <row r="458" spans="1:8" s="2" customFormat="1" ht="24" customHeight="1">
      <c r="A458" s="4">
        <v>457</v>
      </c>
      <c r="B458" s="4" t="str">
        <f>"1200000473"</f>
        <v>1200000473</v>
      </c>
      <c r="C458" s="5" t="str">
        <f>"ميکرومتر خارج سنج 25-0"</f>
        <v>ميکرومتر خارج سنج 25-0</v>
      </c>
      <c r="D458" s="4" t="str">
        <f>"0-25 mm--MITUTOYO"</f>
        <v>0-25 mm--MITUTOYO</v>
      </c>
      <c r="E458" s="4" t="str">
        <f t="shared" si="27"/>
        <v>دستگاه</v>
      </c>
      <c r="F458" s="4">
        <v>4</v>
      </c>
      <c r="G458" s="10">
        <v>1000000</v>
      </c>
      <c r="H458" s="10">
        <f t="shared" si="28"/>
        <v>4000000</v>
      </c>
    </row>
    <row r="459" spans="1:8" s="2" customFormat="1" ht="24" customHeight="1">
      <c r="A459" s="4">
        <v>458</v>
      </c>
      <c r="B459" s="4" t="str">
        <f>"1200000474"</f>
        <v>1200000474</v>
      </c>
      <c r="C459" s="5" t="str">
        <f>"ميکرومتر خارج سنج 25-00"</f>
        <v>ميکرومتر خارج سنج 25-00</v>
      </c>
      <c r="D459" s="4" t="str">
        <f>"0-25 mm--ASIMETO"</f>
        <v>0-25 mm--ASIMETO</v>
      </c>
      <c r="E459" s="4" t="str">
        <f t="shared" si="27"/>
        <v>دستگاه</v>
      </c>
      <c r="F459" s="4">
        <v>4</v>
      </c>
      <c r="G459" s="10">
        <v>1000000</v>
      </c>
      <c r="H459" s="10">
        <f t="shared" si="28"/>
        <v>4000000</v>
      </c>
    </row>
    <row r="460" spans="1:8" s="2" customFormat="1" ht="24" customHeight="1">
      <c r="A460" s="4">
        <v>459</v>
      </c>
      <c r="B460" s="4" t="str">
        <f>"1200000475"</f>
        <v>1200000475</v>
      </c>
      <c r="C460" s="5" t="str">
        <f>"پايه ساعت انديکاتور"</f>
        <v>پايه ساعت انديکاتور</v>
      </c>
      <c r="D460" s="4" t="str">
        <f>"ASIMETO"</f>
        <v>ASIMETO</v>
      </c>
      <c r="E460" s="4" t="str">
        <f>"عدد"</f>
        <v>عدد</v>
      </c>
      <c r="F460" s="4">
        <v>2</v>
      </c>
      <c r="G460" s="10">
        <v>1200000</v>
      </c>
      <c r="H460" s="10">
        <f t="shared" si="28"/>
        <v>2400000</v>
      </c>
    </row>
    <row r="461" spans="1:8" s="2" customFormat="1" ht="24" customHeight="1">
      <c r="A461" s="6">
        <v>460</v>
      </c>
      <c r="B461" s="4" t="str">
        <f>"1200000476"</f>
        <v>1200000476</v>
      </c>
      <c r="C461" s="5" t="str">
        <f>"پايه ساعت انديکاتور 1"</f>
        <v>پايه ساعت انديکاتور 1</v>
      </c>
      <c r="D461" s="4" t="str">
        <f>"MITUTOYO"</f>
        <v>MITUTOYO</v>
      </c>
      <c r="E461" s="4" t="str">
        <f>"عدد"</f>
        <v>عدد</v>
      </c>
      <c r="F461" s="4">
        <v>27</v>
      </c>
      <c r="G461" s="10">
        <v>3000000</v>
      </c>
      <c r="H461" s="10">
        <f t="shared" si="28"/>
        <v>81000000</v>
      </c>
    </row>
    <row r="462" spans="1:8" s="2" customFormat="1" ht="24" customHeight="1">
      <c r="A462" s="4">
        <v>461</v>
      </c>
      <c r="B462" s="4" t="str">
        <f>"1200000477"</f>
        <v>1200000477</v>
      </c>
      <c r="C462" s="5" t="str">
        <f>"ساعت انديکاتور"</f>
        <v>ساعت انديکاتور</v>
      </c>
      <c r="D462" s="4" t="str">
        <f>"MITUTOYO"</f>
        <v>MITUTOYO</v>
      </c>
      <c r="E462" s="4" t="str">
        <f>"دستگاه"</f>
        <v>دستگاه</v>
      </c>
      <c r="F462" s="4">
        <v>53</v>
      </c>
      <c r="G462" s="10">
        <v>3500000</v>
      </c>
      <c r="H462" s="10">
        <f t="shared" si="28"/>
        <v>185500000</v>
      </c>
    </row>
    <row r="463" spans="1:8" s="2" customFormat="1" ht="24" customHeight="1">
      <c r="A463" s="4">
        <v>462</v>
      </c>
      <c r="B463" s="4" t="str">
        <f>"1200000479"</f>
        <v>1200000479</v>
      </c>
      <c r="C463" s="5" t="str">
        <f>"فيلر اندازه گيري"</f>
        <v>فيلر اندازه گيري</v>
      </c>
      <c r="D463" s="4" t="str">
        <f>"30 cm--SMART"</f>
        <v>30 cm--SMART</v>
      </c>
      <c r="E463" s="4" t="str">
        <f>"ست"</f>
        <v>ست</v>
      </c>
      <c r="F463" s="4">
        <v>14</v>
      </c>
      <c r="G463" s="10">
        <v>150000</v>
      </c>
      <c r="H463" s="10">
        <f t="shared" si="28"/>
        <v>2100000</v>
      </c>
    </row>
    <row r="464" spans="1:8" s="2" customFormat="1" ht="24" customHeight="1">
      <c r="A464" s="4">
        <v>463</v>
      </c>
      <c r="B464" s="4" t="str">
        <f>"1200000480"</f>
        <v>1200000480</v>
      </c>
      <c r="C464" s="5" t="str">
        <f>"فيلر اندازه گيري 1"</f>
        <v>فيلر اندازه گيري 1</v>
      </c>
      <c r="D464" s="4" t="str">
        <f>"0.05-1.00 mm--SMART"</f>
        <v>0.05-1.00 mm--SMART</v>
      </c>
      <c r="E464" s="4" t="str">
        <f>"ست"</f>
        <v>ست</v>
      </c>
      <c r="F464" s="4">
        <v>33</v>
      </c>
      <c r="G464" s="10">
        <v>150000</v>
      </c>
      <c r="H464" s="10">
        <f t="shared" si="28"/>
        <v>4950000</v>
      </c>
    </row>
    <row r="465" spans="1:8" s="2" customFormat="1" ht="24" customHeight="1">
      <c r="A465" s="6">
        <v>464</v>
      </c>
      <c r="B465" s="4" t="str">
        <f>"1200000481"</f>
        <v>1200000481</v>
      </c>
      <c r="C465" s="5" t="str">
        <f>"فيلر شعاع سنج"</f>
        <v>فيلر شعاع سنج</v>
      </c>
      <c r="D465" s="4" t="str">
        <f>"No17160-CCCP -41126-66 --MITUTOYO"</f>
        <v>No17160-CCCP -41126-66 --MITUTOYO</v>
      </c>
      <c r="E465" s="4" t="str">
        <f>"ست"</f>
        <v>ست</v>
      </c>
      <c r="F465" s="4">
        <v>9</v>
      </c>
      <c r="G465" s="10">
        <v>300000</v>
      </c>
      <c r="H465" s="10">
        <f t="shared" si="28"/>
        <v>2700000</v>
      </c>
    </row>
    <row r="466" spans="1:8" s="2" customFormat="1" ht="24" customHeight="1">
      <c r="A466" s="4">
        <v>465</v>
      </c>
      <c r="B466" s="4" t="str">
        <f>"1200000482"</f>
        <v>1200000482</v>
      </c>
      <c r="C466" s="5" t="str">
        <f>"رزوه سنج"</f>
        <v>رزوه سنج</v>
      </c>
      <c r="D466" s="4" t="str">
        <f>"MITUTOYO"</f>
        <v>MITUTOYO</v>
      </c>
      <c r="E466" s="4" t="str">
        <f>"ست"</f>
        <v>ست</v>
      </c>
      <c r="F466" s="4">
        <v>26</v>
      </c>
      <c r="G466" s="10">
        <v>900000</v>
      </c>
      <c r="H466" s="10">
        <f t="shared" si="28"/>
        <v>23400000</v>
      </c>
    </row>
    <row r="467" spans="1:8" s="2" customFormat="1" ht="24" customHeight="1">
      <c r="A467" s="4">
        <v>466</v>
      </c>
      <c r="B467" s="4" t="str">
        <f>"1200000483"</f>
        <v>1200000483</v>
      </c>
      <c r="C467" s="5" t="str">
        <f>"شعاع سنج دستي (پرگاري)"</f>
        <v>شعاع سنج دستي (پرگاري)</v>
      </c>
      <c r="D467" s="4" t="str">
        <f>"0.5-13mm--STARRATT"</f>
        <v>0.5-13mm--STARRATT</v>
      </c>
      <c r="E467" s="4" t="str">
        <f>"عدد"</f>
        <v>عدد</v>
      </c>
      <c r="F467" s="4">
        <v>2</v>
      </c>
      <c r="G467" s="10">
        <v>1500000</v>
      </c>
      <c r="H467" s="10">
        <f t="shared" si="28"/>
        <v>3000000</v>
      </c>
    </row>
    <row r="468" spans="1:8" s="2" customFormat="1" ht="24" customHeight="1">
      <c r="A468" s="4">
        <v>467</v>
      </c>
      <c r="B468" s="4" t="str">
        <f>"1200000484"</f>
        <v>1200000484</v>
      </c>
      <c r="C468" s="5" t="str">
        <f>"خط کش چوبي"</f>
        <v>خط کش چوبي</v>
      </c>
      <c r="D468" s="4" t="str">
        <f>"200cm--STABILA"</f>
        <v>200cm--STABILA</v>
      </c>
      <c r="E468" s="4" t="str">
        <f>"عدد"</f>
        <v>عدد</v>
      </c>
      <c r="F468" s="4">
        <v>50</v>
      </c>
      <c r="G468" s="10">
        <v>950000</v>
      </c>
      <c r="H468" s="10">
        <f t="shared" si="28"/>
        <v>47500000</v>
      </c>
    </row>
    <row r="469" spans="1:8" s="2" customFormat="1" ht="24" customHeight="1">
      <c r="A469" s="6">
        <v>468</v>
      </c>
      <c r="B469" s="4" t="str">
        <f>"1200000486"</f>
        <v>1200000486</v>
      </c>
      <c r="C469" s="5" t="str">
        <f>"کوليس معمولي 300"</f>
        <v>کوليس معمولي 300</v>
      </c>
      <c r="D469" s="4" t="str">
        <f>"300 mm--ASIMETO"</f>
        <v>300 mm--ASIMETO</v>
      </c>
      <c r="E469" s="4" t="str">
        <f t="shared" ref="E469:E476" si="29">"دستگاه"</f>
        <v>دستگاه</v>
      </c>
      <c r="F469" s="4">
        <v>11</v>
      </c>
      <c r="G469" s="10">
        <v>2000000</v>
      </c>
      <c r="H469" s="10">
        <f t="shared" si="28"/>
        <v>22000000</v>
      </c>
    </row>
    <row r="470" spans="1:8" s="2" customFormat="1" ht="24" customHeight="1">
      <c r="A470" s="4">
        <v>469</v>
      </c>
      <c r="B470" s="4" t="str">
        <f>"1200000485"</f>
        <v>1200000485</v>
      </c>
      <c r="C470" s="5" t="str">
        <f>"کوليس معمولي 200"</f>
        <v>کوليس معمولي 200</v>
      </c>
      <c r="D470" s="4" t="str">
        <f>"200 mm--ASIMITO"</f>
        <v>200 mm--ASIMITO</v>
      </c>
      <c r="E470" s="4" t="str">
        <f t="shared" si="29"/>
        <v>دستگاه</v>
      </c>
      <c r="F470" s="4">
        <v>2</v>
      </c>
      <c r="G470" s="10">
        <v>1500000</v>
      </c>
      <c r="H470" s="10">
        <f t="shared" si="28"/>
        <v>3000000</v>
      </c>
    </row>
    <row r="471" spans="1:8" s="2" customFormat="1" ht="24" customHeight="1">
      <c r="A471" s="4">
        <v>470</v>
      </c>
      <c r="B471" s="4" t="str">
        <f>"1200000487"</f>
        <v>1200000487</v>
      </c>
      <c r="C471" s="5" t="str">
        <f>"کوليس معمولي 150"</f>
        <v>کوليس معمولي 150</v>
      </c>
      <c r="D471" s="4" t="str">
        <f>"150 mm--ASIMETO"</f>
        <v>150 mm--ASIMETO</v>
      </c>
      <c r="E471" s="4" t="str">
        <f t="shared" si="29"/>
        <v>دستگاه</v>
      </c>
      <c r="F471" s="4">
        <v>13</v>
      </c>
      <c r="G471" s="10">
        <v>900000</v>
      </c>
      <c r="H471" s="10">
        <f t="shared" si="28"/>
        <v>11700000</v>
      </c>
    </row>
    <row r="472" spans="1:8" s="2" customFormat="1" ht="24" customHeight="1">
      <c r="A472" s="4">
        <v>471</v>
      </c>
      <c r="B472" s="4" t="str">
        <f>"1200000488"</f>
        <v>1200000488</v>
      </c>
      <c r="C472" s="5" t="str">
        <f>"عمق سنج معمولي 300ميليمتر"</f>
        <v>عمق سنج معمولي 300ميليمتر</v>
      </c>
      <c r="D472" s="4" t="str">
        <f>"300 mm--MITUTOYO"</f>
        <v>300 mm--MITUTOYO</v>
      </c>
      <c r="E472" s="4" t="str">
        <f t="shared" si="29"/>
        <v>دستگاه</v>
      </c>
      <c r="F472" s="4">
        <v>4</v>
      </c>
      <c r="G472" s="10">
        <v>1500000</v>
      </c>
      <c r="H472" s="10">
        <f t="shared" si="28"/>
        <v>6000000</v>
      </c>
    </row>
    <row r="473" spans="1:8" s="2" customFormat="1" ht="24" customHeight="1">
      <c r="A473" s="6">
        <v>472</v>
      </c>
      <c r="B473" s="4" t="str">
        <f>"1200000489"</f>
        <v>1200000489</v>
      </c>
      <c r="C473" s="5" t="str">
        <f>"عمق سنج معمولي 200ميليمتر"</f>
        <v>عمق سنج معمولي 200ميليمتر</v>
      </c>
      <c r="D473" s="4" t="str">
        <f>"200 mm--MITUTOYO"</f>
        <v>200 mm--MITUTOYO</v>
      </c>
      <c r="E473" s="4" t="str">
        <f t="shared" si="29"/>
        <v>دستگاه</v>
      </c>
      <c r="F473" s="4">
        <v>8</v>
      </c>
      <c r="G473" s="10">
        <v>1500000</v>
      </c>
      <c r="H473" s="10">
        <f t="shared" si="28"/>
        <v>12000000</v>
      </c>
    </row>
    <row r="474" spans="1:8" s="2" customFormat="1" ht="24" customHeight="1">
      <c r="A474" s="4">
        <v>473</v>
      </c>
      <c r="B474" s="4" t="str">
        <f>"1200000490"</f>
        <v>1200000490</v>
      </c>
      <c r="C474" s="5" t="str">
        <f>"عمق سنج معمولي 150ميليمتر"</f>
        <v>عمق سنج معمولي 150ميليمتر</v>
      </c>
      <c r="D474" s="4" t="str">
        <f>"150 mm--MITUTOYO"</f>
        <v>150 mm--MITUTOYO</v>
      </c>
      <c r="E474" s="4" t="str">
        <f t="shared" si="29"/>
        <v>دستگاه</v>
      </c>
      <c r="F474" s="4">
        <v>2</v>
      </c>
      <c r="G474" s="10">
        <v>1300000</v>
      </c>
      <c r="H474" s="10">
        <f t="shared" si="28"/>
        <v>2600000</v>
      </c>
    </row>
    <row r="475" spans="1:8" s="2" customFormat="1" ht="24" customHeight="1">
      <c r="A475" s="4">
        <v>474</v>
      </c>
      <c r="B475" s="4" t="str">
        <f>"1200000491"</f>
        <v>1200000491</v>
      </c>
      <c r="C475" s="5" t="str">
        <f>"عمق  سنج معمولي 150"</f>
        <v>عمق  سنج معمولي 150</v>
      </c>
      <c r="D475" s="4" t="str">
        <f>"150 mm--ASIMETO"</f>
        <v>150 mm--ASIMETO</v>
      </c>
      <c r="E475" s="4" t="str">
        <f t="shared" si="29"/>
        <v>دستگاه</v>
      </c>
      <c r="F475" s="4">
        <v>4</v>
      </c>
      <c r="G475" s="10">
        <v>800000</v>
      </c>
      <c r="H475" s="10">
        <f t="shared" si="28"/>
        <v>3200000</v>
      </c>
    </row>
    <row r="476" spans="1:8" s="2" customFormat="1" ht="24" customHeight="1">
      <c r="A476" s="4">
        <v>475</v>
      </c>
      <c r="B476" s="4" t="str">
        <f>"1200000492"</f>
        <v>1200000492</v>
      </c>
      <c r="C476" s="5" t="str">
        <f>"کوليس معمولي فک بلند 600"</f>
        <v>کوليس معمولي فک بلند 600</v>
      </c>
      <c r="D476" s="4" t="str">
        <f>"600mm--KANON-005042"</f>
        <v>600mm--KANON-005042</v>
      </c>
      <c r="E476" s="4" t="str">
        <f t="shared" si="29"/>
        <v>دستگاه</v>
      </c>
      <c r="F476" s="4">
        <v>1</v>
      </c>
      <c r="G476" s="10">
        <v>4500000</v>
      </c>
      <c r="H476" s="10">
        <f t="shared" si="28"/>
        <v>4500000</v>
      </c>
    </row>
    <row r="477" spans="1:8" s="2" customFormat="1" ht="24" customHeight="1">
      <c r="A477" s="6">
        <v>476</v>
      </c>
      <c r="B477" s="4" t="str">
        <f>"1200000493"</f>
        <v>1200000493</v>
      </c>
      <c r="C477" s="5" t="str">
        <f>"گونيا فلزي 300"</f>
        <v>گونيا فلزي 300</v>
      </c>
      <c r="D477" s="4" t="str">
        <f>"300 mm--SUPER"</f>
        <v>300 mm--SUPER</v>
      </c>
      <c r="E477" s="4" t="str">
        <f>"عدد"</f>
        <v>عدد</v>
      </c>
      <c r="F477" s="4">
        <v>6</v>
      </c>
      <c r="G477" s="10">
        <v>150000</v>
      </c>
      <c r="H477" s="10">
        <f t="shared" si="28"/>
        <v>900000</v>
      </c>
    </row>
    <row r="478" spans="1:8" s="2" customFormat="1" ht="24" customHeight="1">
      <c r="A478" s="4">
        <v>477</v>
      </c>
      <c r="B478" s="4" t="str">
        <f>"1200000494"</f>
        <v>1200000494</v>
      </c>
      <c r="C478" s="5" t="str">
        <f>"گونيا فلزي 600"</f>
        <v>گونيا فلزي 600</v>
      </c>
      <c r="D478" s="4" t="str">
        <f>"600 mm--SUPER"</f>
        <v>600 mm--SUPER</v>
      </c>
      <c r="E478" s="4" t="str">
        <f>"عدد"</f>
        <v>عدد</v>
      </c>
      <c r="F478" s="4">
        <v>3</v>
      </c>
      <c r="G478" s="10">
        <v>400000</v>
      </c>
      <c r="H478" s="10">
        <f t="shared" si="28"/>
        <v>1200000</v>
      </c>
    </row>
    <row r="479" spans="1:8" s="2" customFormat="1" ht="24" customHeight="1">
      <c r="A479" s="4">
        <v>478</v>
      </c>
      <c r="B479" s="4" t="str">
        <f>"1200000495"</f>
        <v>1200000495</v>
      </c>
      <c r="C479" s="5" t="str">
        <f>"شابلون اندازه گيري"</f>
        <v>شابلون اندازه گيري</v>
      </c>
      <c r="D479" s="4" t="str">
        <f>""</f>
        <v/>
      </c>
      <c r="E479" s="4" t="str">
        <f>"عدد"</f>
        <v>عدد</v>
      </c>
      <c r="F479" s="4">
        <v>2</v>
      </c>
      <c r="G479" s="10">
        <v>400000</v>
      </c>
      <c r="H479" s="10">
        <f t="shared" si="28"/>
        <v>800000</v>
      </c>
    </row>
    <row r="480" spans="1:8" s="2" customFormat="1" ht="24" customHeight="1">
      <c r="A480" s="4">
        <v>479</v>
      </c>
      <c r="B480" s="4" t="str">
        <f>"1200000496"</f>
        <v>1200000496</v>
      </c>
      <c r="C480" s="5" t="str">
        <f>"عمق سنج معمولي 400ميليمتر"</f>
        <v>عمق سنج معمولي 400ميليمتر</v>
      </c>
      <c r="D480" s="4" t="str">
        <f>"400 mm-01298"</f>
        <v>400 mm-01298</v>
      </c>
      <c r="E480" s="4" t="str">
        <f t="shared" ref="E480:E485" si="30">"دستگاه"</f>
        <v>دستگاه</v>
      </c>
      <c r="F480" s="4">
        <v>1</v>
      </c>
      <c r="G480" s="10">
        <v>1200000</v>
      </c>
      <c r="H480" s="10">
        <f t="shared" si="28"/>
        <v>1200000</v>
      </c>
    </row>
    <row r="481" spans="1:8" s="2" customFormat="1" ht="24" customHeight="1">
      <c r="A481" s="6">
        <v>480</v>
      </c>
      <c r="B481" s="4" t="str">
        <f>"1200000497"</f>
        <v>1200000497</v>
      </c>
      <c r="C481" s="5" t="str">
        <f>"کوليس فک بلند 800"</f>
        <v>کوليس فک بلند 800</v>
      </c>
      <c r="D481" s="4" t="str">
        <f>"800 mm--KWU-10452"</f>
        <v>800 mm--KWU-10452</v>
      </c>
      <c r="E481" s="4" t="str">
        <f t="shared" si="30"/>
        <v>دستگاه</v>
      </c>
      <c r="F481" s="4">
        <v>1</v>
      </c>
      <c r="G481" s="10">
        <v>5500000</v>
      </c>
      <c r="H481" s="10">
        <f t="shared" si="28"/>
        <v>5500000</v>
      </c>
    </row>
    <row r="482" spans="1:8" s="2" customFormat="1" ht="24" customHeight="1">
      <c r="A482" s="4">
        <v>481</v>
      </c>
      <c r="B482" s="4" t="str">
        <f>"1200000498"</f>
        <v>1200000498</v>
      </c>
      <c r="C482" s="5" t="str">
        <f>"کوليس فک بلند 1000"</f>
        <v>کوليس فک بلند 1000</v>
      </c>
      <c r="D482" s="4" t="str">
        <f>"1000 mm--MITUTOYO-JAPAN"</f>
        <v>1000 mm--MITUTOYO-JAPAN</v>
      </c>
      <c r="E482" s="4" t="str">
        <f t="shared" si="30"/>
        <v>دستگاه</v>
      </c>
      <c r="F482" s="4">
        <v>1</v>
      </c>
      <c r="G482" s="10">
        <v>35000000</v>
      </c>
      <c r="H482" s="10">
        <f t="shared" si="28"/>
        <v>35000000</v>
      </c>
    </row>
    <row r="483" spans="1:8" s="2" customFormat="1" ht="24" customHeight="1">
      <c r="A483" s="4">
        <v>482</v>
      </c>
      <c r="B483" s="4" t="str">
        <f>"1200000499"</f>
        <v>1200000499</v>
      </c>
      <c r="C483" s="5" t="str">
        <f>"کوليس معمولي 400"</f>
        <v>کوليس معمولي 400</v>
      </c>
      <c r="D483" s="4" t="str">
        <f>"USSR 400 mm-T24190-424378-424389"</f>
        <v>USSR 400 mm-T24190-424378-424389</v>
      </c>
      <c r="E483" s="4" t="str">
        <f t="shared" si="30"/>
        <v>دستگاه</v>
      </c>
      <c r="F483" s="4">
        <v>3</v>
      </c>
      <c r="G483" s="10">
        <v>1800000</v>
      </c>
      <c r="H483" s="10">
        <f t="shared" si="28"/>
        <v>5400000</v>
      </c>
    </row>
    <row r="484" spans="1:8" s="2" customFormat="1" ht="24" customHeight="1">
      <c r="A484" s="4">
        <v>483</v>
      </c>
      <c r="B484" s="4" t="str">
        <f>"1200000500"</f>
        <v>1200000500</v>
      </c>
      <c r="C484" s="5" t="str">
        <f>"کوليس معمولي 500"</f>
        <v>کوليس معمولي 500</v>
      </c>
      <c r="D484" s="4" t="str">
        <f>"USSR 500 mm-3693"</f>
        <v>USSR 500 mm-3693</v>
      </c>
      <c r="E484" s="4" t="str">
        <f t="shared" si="30"/>
        <v>دستگاه</v>
      </c>
      <c r="F484" s="4">
        <v>1</v>
      </c>
      <c r="G484" s="10">
        <v>2500000</v>
      </c>
      <c r="H484" s="10">
        <f t="shared" si="28"/>
        <v>2500000</v>
      </c>
    </row>
    <row r="485" spans="1:8" s="2" customFormat="1" ht="24" customHeight="1">
      <c r="A485" s="6">
        <v>484</v>
      </c>
      <c r="B485" s="4" t="str">
        <f>"1200000502"</f>
        <v>1200000502</v>
      </c>
      <c r="C485" s="5" t="str">
        <f>"کوليس ديجيتال فک بلند 600"</f>
        <v>کوليس ديجيتال فک بلند 600</v>
      </c>
      <c r="D485" s="4" t="str">
        <f>"600 mm--GUANGLU-24اينچ-RZ 080231"</f>
        <v>600 mm--GUANGLU-24اينچ-RZ 080231</v>
      </c>
      <c r="E485" s="4" t="str">
        <f t="shared" si="30"/>
        <v>دستگاه</v>
      </c>
      <c r="F485" s="4">
        <v>1</v>
      </c>
      <c r="G485" s="10">
        <v>20000000</v>
      </c>
      <c r="H485" s="10">
        <f t="shared" si="28"/>
        <v>20000000</v>
      </c>
    </row>
    <row r="486" spans="1:8" s="2" customFormat="1" ht="24" customHeight="1">
      <c r="A486" s="4">
        <v>485</v>
      </c>
      <c r="B486" s="4" t="str">
        <f>"1200000503"</f>
        <v>1200000503</v>
      </c>
      <c r="C486" s="5" t="str">
        <f>"خط کش فلزي استيل 100"</f>
        <v>خط کش فلزي استيل 100</v>
      </c>
      <c r="D486" s="4" t="str">
        <f>"SB 100cm"</f>
        <v>SB 100cm</v>
      </c>
      <c r="E486" s="4" t="str">
        <f t="shared" ref="E486:E494" si="31">"عدد"</f>
        <v>عدد</v>
      </c>
      <c r="F486" s="4">
        <v>12</v>
      </c>
      <c r="G486" s="10">
        <v>650000</v>
      </c>
      <c r="H486" s="10">
        <f t="shared" si="28"/>
        <v>7800000</v>
      </c>
    </row>
    <row r="487" spans="1:8" s="2" customFormat="1" ht="24" customHeight="1">
      <c r="A487" s="4">
        <v>486</v>
      </c>
      <c r="B487" s="4" t="str">
        <f>"1200000504"</f>
        <v>1200000504</v>
      </c>
      <c r="C487" s="5" t="str">
        <f>"خط کش فلزي استيل 150"</f>
        <v>خط کش فلزي استيل 150</v>
      </c>
      <c r="D487" s="4" t="str">
        <f>"MC 150 cm-INOX"</f>
        <v>MC 150 cm-INOX</v>
      </c>
      <c r="E487" s="4" t="str">
        <f t="shared" si="31"/>
        <v>عدد</v>
      </c>
      <c r="F487" s="4">
        <v>4</v>
      </c>
      <c r="G487" s="10">
        <v>750000</v>
      </c>
      <c r="H487" s="10">
        <f t="shared" si="28"/>
        <v>3000000</v>
      </c>
    </row>
    <row r="488" spans="1:8" s="2" customFormat="1" ht="24" customHeight="1">
      <c r="A488" s="4">
        <v>487</v>
      </c>
      <c r="B488" s="4" t="str">
        <f>"1200000505"</f>
        <v>1200000505</v>
      </c>
      <c r="C488" s="5" t="str">
        <f>"خط کش فلزي استيل 50"</f>
        <v>خط کش فلزي استيل 50</v>
      </c>
      <c r="D488" s="4" t="str">
        <f>"SB 50 cm"</f>
        <v>SB 50 cm</v>
      </c>
      <c r="E488" s="4" t="str">
        <f t="shared" si="31"/>
        <v>عدد</v>
      </c>
      <c r="F488" s="4">
        <v>2</v>
      </c>
      <c r="G488" s="10">
        <v>250000</v>
      </c>
      <c r="H488" s="10">
        <f t="shared" si="28"/>
        <v>500000</v>
      </c>
    </row>
    <row r="489" spans="1:8" s="2" customFormat="1" ht="24" customHeight="1">
      <c r="A489" s="6">
        <v>488</v>
      </c>
      <c r="B489" s="4" t="str">
        <f>"1200000506"</f>
        <v>1200000506</v>
      </c>
      <c r="C489" s="5" t="str">
        <f>"تراز موئي"</f>
        <v>تراز موئي</v>
      </c>
      <c r="D489" s="4" t="str">
        <f>"0.15-100 cm--KINEX-AUSSCHLAG-17094-31261-17992"</f>
        <v>0.15-100 cm--KINEX-AUSSCHLAG-17094-31261-17992</v>
      </c>
      <c r="E489" s="4" t="str">
        <f t="shared" si="31"/>
        <v>عدد</v>
      </c>
      <c r="F489" s="4">
        <v>3</v>
      </c>
      <c r="G489" s="10">
        <v>750000</v>
      </c>
      <c r="H489" s="10">
        <f t="shared" si="28"/>
        <v>2250000</v>
      </c>
    </row>
    <row r="490" spans="1:8" s="2" customFormat="1" ht="24" customHeight="1">
      <c r="A490" s="4">
        <v>489</v>
      </c>
      <c r="B490" s="4" t="str">
        <f>"1200000507"</f>
        <v>1200000507</v>
      </c>
      <c r="C490" s="5" t="str">
        <f>"تراز چوبي 100سانتمتر"</f>
        <v>تراز چوبي 100سانتمتر</v>
      </c>
      <c r="D490" s="4" t="str">
        <f>"100cm--RICHTER"</f>
        <v>100cm--RICHTER</v>
      </c>
      <c r="E490" s="4" t="str">
        <f t="shared" si="31"/>
        <v>عدد</v>
      </c>
      <c r="F490" s="4">
        <v>1</v>
      </c>
      <c r="G490" s="10">
        <v>600000</v>
      </c>
      <c r="H490" s="10">
        <f t="shared" si="28"/>
        <v>600000</v>
      </c>
    </row>
    <row r="491" spans="1:8" s="2" customFormat="1" ht="24" customHeight="1">
      <c r="A491" s="4">
        <v>490</v>
      </c>
      <c r="B491" s="4" t="str">
        <f>"1200000508"</f>
        <v>1200000508</v>
      </c>
      <c r="C491" s="5" t="str">
        <f>"تراز آلومينيومي 200سانتيمتر"</f>
        <v>تراز آلومينيومي 200سانتيمتر</v>
      </c>
      <c r="D491" s="4" t="str">
        <f>"200 cm"</f>
        <v>200 cm</v>
      </c>
      <c r="E491" s="4" t="str">
        <f t="shared" si="31"/>
        <v>عدد</v>
      </c>
      <c r="F491" s="4">
        <v>1</v>
      </c>
      <c r="G491" s="10">
        <v>3350000</v>
      </c>
      <c r="H491" s="10">
        <f t="shared" si="28"/>
        <v>3350000</v>
      </c>
    </row>
    <row r="492" spans="1:8" s="2" customFormat="1" ht="24" customHeight="1">
      <c r="A492" s="4">
        <v>491</v>
      </c>
      <c r="B492" s="4" t="str">
        <f>"1200000509"</f>
        <v>1200000509</v>
      </c>
      <c r="C492" s="5" t="str">
        <f>"تراز آلومينيومي 150سانتيمتر"</f>
        <v>تراز آلومينيومي 150سانتيمتر</v>
      </c>
      <c r="D492" s="4" t="str">
        <f>"150 cm--KAPRO"</f>
        <v>150 cm--KAPRO</v>
      </c>
      <c r="E492" s="4" t="str">
        <f t="shared" si="31"/>
        <v>عدد</v>
      </c>
      <c r="F492" s="4">
        <v>1</v>
      </c>
      <c r="G492" s="10">
        <v>2300000</v>
      </c>
      <c r="H492" s="10">
        <f t="shared" si="28"/>
        <v>2300000</v>
      </c>
    </row>
    <row r="493" spans="1:8" s="2" customFormat="1" ht="24" customHeight="1">
      <c r="A493" s="6">
        <v>492</v>
      </c>
      <c r="B493" s="4" t="str">
        <f>"1200000510"</f>
        <v>1200000510</v>
      </c>
      <c r="C493" s="5" t="str">
        <f>"تراز آلومينيومي 80سانتيمتر"</f>
        <v>تراز آلومينيومي 80سانتيمتر</v>
      </c>
      <c r="D493" s="4" t="str">
        <f>"80 cm--STABILA"</f>
        <v>80 cm--STABILA</v>
      </c>
      <c r="E493" s="4" t="str">
        <f t="shared" si="31"/>
        <v>عدد</v>
      </c>
      <c r="F493" s="4">
        <v>2</v>
      </c>
      <c r="G493" s="10">
        <v>1200000</v>
      </c>
      <c r="H493" s="10">
        <f t="shared" si="28"/>
        <v>2400000</v>
      </c>
    </row>
    <row r="494" spans="1:8" s="2" customFormat="1" ht="24" customHeight="1">
      <c r="A494" s="4">
        <v>493</v>
      </c>
      <c r="B494" s="4" t="str">
        <f>"1200000511"</f>
        <v>1200000511</v>
      </c>
      <c r="C494" s="5" t="str">
        <f>"تراز آلومينيومي 40سانتيمتر"</f>
        <v>تراز آلومينيومي 40سانتيمتر</v>
      </c>
      <c r="D494" s="4" t="str">
        <f>"40 cm--ARCA"</f>
        <v>40 cm--ARCA</v>
      </c>
      <c r="E494" s="4" t="str">
        <f t="shared" si="31"/>
        <v>عدد</v>
      </c>
      <c r="F494" s="4">
        <v>2</v>
      </c>
      <c r="G494" s="10">
        <v>550000</v>
      </c>
      <c r="H494" s="10">
        <f t="shared" si="28"/>
        <v>1100000</v>
      </c>
    </row>
    <row r="495" spans="1:8" s="2" customFormat="1" ht="24" customHeight="1">
      <c r="A495" s="4">
        <v>494</v>
      </c>
      <c r="B495" s="4" t="str">
        <f>"1200000512"</f>
        <v>1200000512</v>
      </c>
      <c r="C495" s="5" t="str">
        <f>"لوله پخ کن اکسپندر3/4 - 1/8 (9عددي)"</f>
        <v>لوله پخ کن اکسپندر3/4 - 1/8 (9عددي)</v>
      </c>
      <c r="D495" s="4" t="str">
        <f>"151--P&amp;M-"</f>
        <v>151--P&amp;M-</v>
      </c>
      <c r="E495" s="4" t="str">
        <f>"ست"</f>
        <v>ست</v>
      </c>
      <c r="F495" s="4">
        <v>1</v>
      </c>
      <c r="G495" s="10">
        <v>3000000</v>
      </c>
      <c r="H495" s="10">
        <f t="shared" si="28"/>
        <v>3000000</v>
      </c>
    </row>
    <row r="496" spans="1:8" s="2" customFormat="1" ht="24" customHeight="1">
      <c r="A496" s="4">
        <v>495</v>
      </c>
      <c r="B496" s="4" t="str">
        <f>"1200000513"</f>
        <v>1200000513</v>
      </c>
      <c r="C496" s="5" t="str">
        <f>"ميکرومتر خارج سنج9عددي75 تا 300 MITUTOYO"</f>
        <v>ميکرومتر خارج سنج9عددي75 تا 300 MITUTOYO</v>
      </c>
      <c r="D496" s="4" t="str">
        <f>"75-100و100-125و125-150و150-175و175-200و200-225و225-250و250-275و275-300"</f>
        <v>75-100و100-125و125-150و150-175و175-200و200-225و225-250و250-275و275-300</v>
      </c>
      <c r="E496" s="4" t="str">
        <f>"ست"</f>
        <v>ست</v>
      </c>
      <c r="F496" s="4">
        <v>1</v>
      </c>
      <c r="G496" s="10">
        <v>6500000</v>
      </c>
      <c r="H496" s="10">
        <f t="shared" si="28"/>
        <v>6500000</v>
      </c>
    </row>
    <row r="497" spans="1:8" s="2" customFormat="1" ht="24" customHeight="1">
      <c r="A497" s="6">
        <v>496</v>
      </c>
      <c r="B497" s="4" t="str">
        <f>"1200000514"</f>
        <v>1200000514</v>
      </c>
      <c r="C497" s="5" t="str">
        <f>"نقاله متغير گردان   180-0"</f>
        <v>نقاله متغير گردان   180-0</v>
      </c>
      <c r="D497" s="4" t="str">
        <f>"کاليبره 17310 -    -21710"</f>
        <v>کاليبره 17310 -    -21710</v>
      </c>
      <c r="E497" s="4" t="str">
        <f>"عدد"</f>
        <v>عدد</v>
      </c>
      <c r="F497" s="4">
        <v>1</v>
      </c>
      <c r="G497" s="10">
        <v>3500000</v>
      </c>
      <c r="H497" s="10">
        <f t="shared" si="28"/>
        <v>3500000</v>
      </c>
    </row>
    <row r="498" spans="1:8" s="2" customFormat="1" ht="24" customHeight="1">
      <c r="A498" s="4">
        <v>497</v>
      </c>
      <c r="B498" s="4" t="str">
        <f>"1200000516"</f>
        <v>1200000516</v>
      </c>
      <c r="C498" s="5" t="str">
        <f>"ميکرومتر داخل سنج 35-50"</f>
        <v>ميکرومتر داخل سنج 35-50</v>
      </c>
      <c r="D498" s="4" t="str">
        <f>"35-50 cm--MAUSAR17097"</f>
        <v>35-50 cm--MAUSAR17097</v>
      </c>
      <c r="E498" s="4" t="str">
        <f>"دستگاه"</f>
        <v>دستگاه</v>
      </c>
      <c r="F498" s="4">
        <v>1</v>
      </c>
      <c r="G498" s="10">
        <v>5500000</v>
      </c>
      <c r="H498" s="10">
        <f t="shared" si="28"/>
        <v>5500000</v>
      </c>
    </row>
    <row r="499" spans="1:8" s="2" customFormat="1" ht="24" customHeight="1">
      <c r="A499" s="4">
        <v>498</v>
      </c>
      <c r="B499" s="4" t="str">
        <f>"1200000517"</f>
        <v>1200000517</v>
      </c>
      <c r="C499" s="5" t="str">
        <f>"ميکرومتر داخل سنج     75-10"</f>
        <v>ميکرومتر داخل سنج     75-10</v>
      </c>
      <c r="D499" s="4" t="str">
        <f>"کاليبره  17971-"</f>
        <v>کاليبره  17971-</v>
      </c>
      <c r="E499" s="4" t="str">
        <f>"دستگاه"</f>
        <v>دستگاه</v>
      </c>
      <c r="F499" s="4">
        <v>1</v>
      </c>
      <c r="G499" s="10">
        <v>5000000</v>
      </c>
      <c r="H499" s="10">
        <f t="shared" si="28"/>
        <v>5000000</v>
      </c>
    </row>
    <row r="500" spans="1:8" s="2" customFormat="1" ht="24" customHeight="1">
      <c r="A500" s="4">
        <v>499</v>
      </c>
      <c r="B500" s="4" t="str">
        <f>"1200000518"</f>
        <v>1200000518</v>
      </c>
      <c r="C500" s="5" t="str">
        <f>"ميکرومتر داخل سنج اينچي"</f>
        <v>ميکرومتر داخل سنج اينچي</v>
      </c>
      <c r="D500" s="4" t="str">
        <f>"40927 کاليبره    -BOCCHI"</f>
        <v>40927 کاليبره    -BOCCHI</v>
      </c>
      <c r="E500" s="4" t="str">
        <f>"دستگاه"</f>
        <v>دستگاه</v>
      </c>
      <c r="F500" s="4">
        <v>2</v>
      </c>
      <c r="G500" s="10">
        <v>4000000</v>
      </c>
      <c r="H500" s="10">
        <f t="shared" si="28"/>
        <v>8000000</v>
      </c>
    </row>
    <row r="501" spans="1:8" s="2" customFormat="1" ht="24" customHeight="1">
      <c r="A501" s="6">
        <v>500</v>
      </c>
      <c r="B501" s="4" t="str">
        <f>"1200000519"</f>
        <v>1200000519</v>
      </c>
      <c r="C501" s="5" t="str">
        <f>"ميکرومتر خارج سنج سرکجBOCCHI"</f>
        <v>ميکرومتر خارج سنج سرکجBOCCHI</v>
      </c>
      <c r="D501" s="4" t="str">
        <f>"0-25 mm--BOCCHI"</f>
        <v>0-25 mm--BOCCHI</v>
      </c>
      <c r="E501" s="4" t="str">
        <f>"دستگاه"</f>
        <v>دستگاه</v>
      </c>
      <c r="F501" s="4">
        <v>1</v>
      </c>
      <c r="G501" s="10">
        <v>2500000</v>
      </c>
      <c r="H501" s="10">
        <f t="shared" si="28"/>
        <v>2500000</v>
      </c>
    </row>
    <row r="502" spans="1:8" s="2" customFormat="1" ht="24" customHeight="1">
      <c r="A502" s="4">
        <v>501</v>
      </c>
      <c r="B502" s="4" t="str">
        <f>"1200000552"</f>
        <v>1200000552</v>
      </c>
      <c r="C502" s="5" t="str">
        <f>"آچار چپقي   28 ميليمتر"</f>
        <v>آچار چپقي   28 ميليمتر</v>
      </c>
      <c r="D502" s="4" t="str">
        <f>"NO 530 ACEZA"</f>
        <v>NO 530 ACEZA</v>
      </c>
      <c r="E502" s="4" t="str">
        <f t="shared" ref="E502:E540" si="32">"عدد"</f>
        <v>عدد</v>
      </c>
      <c r="F502" s="4">
        <v>17</v>
      </c>
      <c r="G502" s="10">
        <v>350000</v>
      </c>
      <c r="H502" s="10">
        <f t="shared" si="28"/>
        <v>5950000</v>
      </c>
    </row>
    <row r="503" spans="1:8" s="2" customFormat="1" ht="24" customHeight="1">
      <c r="A503" s="4">
        <v>502</v>
      </c>
      <c r="B503" s="4" t="str">
        <f>"1200000524"</f>
        <v>1200000524</v>
      </c>
      <c r="C503" s="5" t="str">
        <f>"آچار يكسرتخت يكسر رينگي 16ميليمتر"</f>
        <v>آچار يكسرتخت يكسر رينگي 16ميليمتر</v>
      </c>
      <c r="D503" s="4" t="str">
        <f>""</f>
        <v/>
      </c>
      <c r="E503" s="4" t="str">
        <f t="shared" si="32"/>
        <v>عدد</v>
      </c>
      <c r="F503" s="4">
        <v>38</v>
      </c>
      <c r="G503" s="10">
        <v>150000</v>
      </c>
      <c r="H503" s="10">
        <f t="shared" si="28"/>
        <v>5700000</v>
      </c>
    </row>
    <row r="504" spans="1:8" s="2" customFormat="1" ht="24" customHeight="1">
      <c r="A504" s="4">
        <v>503</v>
      </c>
      <c r="B504" s="4" t="str">
        <f>"1200000525"</f>
        <v>1200000525</v>
      </c>
      <c r="C504" s="5" t="str">
        <f>"آچار دو سر تخت19-18ميليمتر"</f>
        <v>آچار دو سر تخت19-18ميليمتر</v>
      </c>
      <c r="D504" s="4" t="str">
        <f>""</f>
        <v/>
      </c>
      <c r="E504" s="4" t="str">
        <f t="shared" si="32"/>
        <v>عدد</v>
      </c>
      <c r="F504" s="4">
        <v>13</v>
      </c>
      <c r="G504" s="10">
        <v>200000</v>
      </c>
      <c r="H504" s="10">
        <f t="shared" si="28"/>
        <v>2600000</v>
      </c>
    </row>
    <row r="505" spans="1:8" s="2" customFormat="1" ht="24" customHeight="1">
      <c r="A505" s="6">
        <v>504</v>
      </c>
      <c r="B505" s="4" t="str">
        <f>"1200000526"</f>
        <v>1200000526</v>
      </c>
      <c r="C505" s="5" t="str">
        <f>"آچار دو سر تخت 28-25ميليمتر"</f>
        <v>آچار دو سر تخت 28-25ميليمتر</v>
      </c>
      <c r="D505" s="4" t="str">
        <f>""</f>
        <v/>
      </c>
      <c r="E505" s="4" t="str">
        <f t="shared" si="32"/>
        <v>عدد</v>
      </c>
      <c r="F505" s="4">
        <v>20</v>
      </c>
      <c r="G505" s="10">
        <v>250000</v>
      </c>
      <c r="H505" s="10">
        <f t="shared" si="28"/>
        <v>5000000</v>
      </c>
    </row>
    <row r="506" spans="1:8" s="2" customFormat="1" ht="24" customHeight="1">
      <c r="A506" s="4">
        <v>505</v>
      </c>
      <c r="B506" s="4" t="str">
        <f>"1200000527"</f>
        <v>1200000527</v>
      </c>
      <c r="C506" s="5" t="str">
        <f>"آچار يكسرتخت يكسر رينگي 8ميليمتر"</f>
        <v>آچار يكسرتخت يكسر رينگي 8ميليمتر</v>
      </c>
      <c r="D506" s="4" t="str">
        <f>""</f>
        <v/>
      </c>
      <c r="E506" s="4" t="str">
        <f t="shared" si="32"/>
        <v>عدد</v>
      </c>
      <c r="F506" s="4">
        <v>42</v>
      </c>
      <c r="G506" s="10">
        <v>100000</v>
      </c>
      <c r="H506" s="10">
        <f t="shared" si="28"/>
        <v>4200000</v>
      </c>
    </row>
    <row r="507" spans="1:8" s="2" customFormat="1" ht="24" customHeight="1">
      <c r="A507" s="4">
        <v>506</v>
      </c>
      <c r="B507" s="4" t="str">
        <f>"1200000528"</f>
        <v>1200000528</v>
      </c>
      <c r="C507" s="5" t="str">
        <f>"آچار دو سر تخت23-21ميليمتر"</f>
        <v>آچار دو سر تخت23-21ميليمتر</v>
      </c>
      <c r="D507" s="4" t="str">
        <f>""</f>
        <v/>
      </c>
      <c r="E507" s="4" t="str">
        <f t="shared" si="32"/>
        <v>عدد</v>
      </c>
      <c r="F507" s="4">
        <v>18</v>
      </c>
      <c r="G507" s="10">
        <v>200000</v>
      </c>
      <c r="H507" s="10">
        <f t="shared" si="28"/>
        <v>3600000</v>
      </c>
    </row>
    <row r="508" spans="1:8" s="2" customFormat="1" ht="24" customHeight="1">
      <c r="A508" s="4">
        <v>507</v>
      </c>
      <c r="B508" s="4" t="str">
        <f>"1200000529"</f>
        <v>1200000529</v>
      </c>
      <c r="C508" s="5" t="str">
        <f>"آچار دو سر تخت22-20ميليمتر"</f>
        <v>آچار دو سر تخت22-20ميليمتر</v>
      </c>
      <c r="D508" s="4" t="str">
        <f>""</f>
        <v/>
      </c>
      <c r="E508" s="4" t="str">
        <f t="shared" si="32"/>
        <v>عدد</v>
      </c>
      <c r="F508" s="4">
        <v>15</v>
      </c>
      <c r="G508" s="10">
        <v>200000</v>
      </c>
      <c r="H508" s="10">
        <f t="shared" si="28"/>
        <v>3000000</v>
      </c>
    </row>
    <row r="509" spans="1:8" s="2" customFormat="1" ht="24" customHeight="1">
      <c r="A509" s="6">
        <v>508</v>
      </c>
      <c r="B509" s="4" t="str">
        <f>"1200000530"</f>
        <v>1200000530</v>
      </c>
      <c r="C509" s="5" t="str">
        <f>"آچار دو سر تخت9-8ميليمتر"</f>
        <v>آچار دو سر تخت9-8ميليمتر</v>
      </c>
      <c r="D509" s="4" t="str">
        <f>""</f>
        <v/>
      </c>
      <c r="E509" s="4" t="str">
        <f t="shared" si="32"/>
        <v>عدد</v>
      </c>
      <c r="F509" s="4">
        <v>12</v>
      </c>
      <c r="G509" s="10">
        <v>100000</v>
      </c>
      <c r="H509" s="10">
        <f t="shared" si="28"/>
        <v>1200000</v>
      </c>
    </row>
    <row r="510" spans="1:8" s="2" customFormat="1" ht="24" customHeight="1">
      <c r="A510" s="4">
        <v>509</v>
      </c>
      <c r="B510" s="4" t="str">
        <f>"1200000531"</f>
        <v>1200000531</v>
      </c>
      <c r="C510" s="5" t="str">
        <f>"سوهان تخت  20سانتي بدون دسته"</f>
        <v>سوهان تخت  20سانتي بدون دسته</v>
      </c>
      <c r="D510" s="4" t="str">
        <f>""</f>
        <v/>
      </c>
      <c r="E510" s="4" t="str">
        <f t="shared" si="32"/>
        <v>عدد</v>
      </c>
      <c r="F510" s="4">
        <v>26</v>
      </c>
      <c r="G510" s="10">
        <v>250000</v>
      </c>
      <c r="H510" s="10">
        <f t="shared" si="28"/>
        <v>6500000</v>
      </c>
    </row>
    <row r="511" spans="1:8" s="2" customFormat="1" ht="24" customHeight="1">
      <c r="A511" s="4">
        <v>510</v>
      </c>
      <c r="B511" s="4" t="str">
        <f>"1200000532"</f>
        <v>1200000532</v>
      </c>
      <c r="C511" s="5" t="str">
        <f>"سوهان گرد 15 سانتي بدون دسته"</f>
        <v>سوهان گرد 15 سانتي بدون دسته</v>
      </c>
      <c r="D511" s="4" t="str">
        <f>""</f>
        <v/>
      </c>
      <c r="E511" s="4" t="str">
        <f t="shared" si="32"/>
        <v>عدد</v>
      </c>
      <c r="F511" s="4">
        <v>32</v>
      </c>
      <c r="G511" s="10">
        <v>200000</v>
      </c>
      <c r="H511" s="10">
        <f t="shared" si="28"/>
        <v>6400000</v>
      </c>
    </row>
    <row r="512" spans="1:8" s="2" customFormat="1" ht="24" customHeight="1">
      <c r="A512" s="4">
        <v>511</v>
      </c>
      <c r="B512" s="4" t="str">
        <f>"1200000533"</f>
        <v>1200000533</v>
      </c>
      <c r="C512" s="5" t="str">
        <f>"سوهان گرد 20سانتي بدون دسته"</f>
        <v>سوهان گرد 20سانتي بدون دسته</v>
      </c>
      <c r="D512" s="4" t="str">
        <f>""</f>
        <v/>
      </c>
      <c r="E512" s="4" t="str">
        <f t="shared" si="32"/>
        <v>عدد</v>
      </c>
      <c r="F512" s="4">
        <v>32</v>
      </c>
      <c r="G512" s="10">
        <v>250000</v>
      </c>
      <c r="H512" s="10">
        <f t="shared" si="28"/>
        <v>8000000</v>
      </c>
    </row>
    <row r="513" spans="1:8" s="2" customFormat="1" ht="24" customHeight="1">
      <c r="A513" s="6">
        <v>512</v>
      </c>
      <c r="B513" s="4" t="str">
        <f>"1200000534"</f>
        <v>1200000534</v>
      </c>
      <c r="C513" s="5" t="str">
        <f>"سوهان گرد 25 سانتي بدون دسته"</f>
        <v>سوهان گرد 25 سانتي بدون دسته</v>
      </c>
      <c r="D513" s="4" t="str">
        <f>""</f>
        <v/>
      </c>
      <c r="E513" s="4" t="str">
        <f t="shared" si="32"/>
        <v>عدد</v>
      </c>
      <c r="F513" s="4">
        <v>12</v>
      </c>
      <c r="G513" s="10">
        <v>280000</v>
      </c>
      <c r="H513" s="10">
        <f t="shared" si="28"/>
        <v>3360000</v>
      </c>
    </row>
    <row r="514" spans="1:8" s="2" customFormat="1" ht="24" customHeight="1">
      <c r="A514" s="4">
        <v>513</v>
      </c>
      <c r="B514" s="4" t="str">
        <f>"1200000535"</f>
        <v>1200000535</v>
      </c>
      <c r="C514" s="5" t="str">
        <f>"آچار آلن 8 ميليمتر"</f>
        <v>آچار آلن 8 ميليمتر</v>
      </c>
      <c r="D514" s="4" t="str">
        <f>""</f>
        <v/>
      </c>
      <c r="E514" s="4" t="str">
        <f t="shared" si="32"/>
        <v>عدد</v>
      </c>
      <c r="F514" s="4">
        <v>8</v>
      </c>
      <c r="G514" s="10">
        <v>100000</v>
      </c>
      <c r="H514" s="10">
        <f t="shared" si="28"/>
        <v>800000</v>
      </c>
    </row>
    <row r="515" spans="1:8" s="2" customFormat="1" ht="24" customHeight="1">
      <c r="A515" s="4">
        <v>514</v>
      </c>
      <c r="B515" s="4" t="str">
        <f>"1200000536"</f>
        <v>1200000536</v>
      </c>
      <c r="C515" s="5" t="str">
        <f>"سوهان گرد زبر مخصوص نجاري"</f>
        <v>سوهان گرد زبر مخصوص نجاري</v>
      </c>
      <c r="D515" s="4" t="str">
        <f>""</f>
        <v/>
      </c>
      <c r="E515" s="4" t="str">
        <f t="shared" si="32"/>
        <v>عدد</v>
      </c>
      <c r="F515" s="4">
        <v>3</v>
      </c>
      <c r="G515" s="10">
        <v>250000</v>
      </c>
      <c r="H515" s="10">
        <f t="shared" si="28"/>
        <v>750000</v>
      </c>
    </row>
    <row r="516" spans="1:8" s="2" customFormat="1" ht="24" customHeight="1">
      <c r="A516" s="4">
        <v>515</v>
      </c>
      <c r="B516" s="4" t="str">
        <f>"1200000537"</f>
        <v>1200000537</v>
      </c>
      <c r="C516" s="5" t="str">
        <f>"سوهان گرد 30سانتي"</f>
        <v>سوهان گرد 30سانتي</v>
      </c>
      <c r="D516" s="4" t="str">
        <f>""</f>
        <v/>
      </c>
      <c r="E516" s="4" t="str">
        <f t="shared" si="32"/>
        <v>عدد</v>
      </c>
      <c r="F516" s="4">
        <v>3</v>
      </c>
      <c r="G516" s="10">
        <v>350000</v>
      </c>
      <c r="H516" s="10">
        <f t="shared" si="28"/>
        <v>1050000</v>
      </c>
    </row>
    <row r="517" spans="1:8" s="2" customFormat="1" ht="24" customHeight="1">
      <c r="A517" s="6">
        <v>516</v>
      </c>
      <c r="B517" s="4" t="str">
        <f>"1200000538"</f>
        <v>1200000538</v>
      </c>
      <c r="C517" s="5" t="str">
        <f>"سوهان نيم گرد زبر مخصوص نجاري"</f>
        <v>سوهان نيم گرد زبر مخصوص نجاري</v>
      </c>
      <c r="D517" s="4" t="str">
        <f>""</f>
        <v/>
      </c>
      <c r="E517" s="4" t="str">
        <f t="shared" si="32"/>
        <v>عدد</v>
      </c>
      <c r="F517" s="4">
        <v>7</v>
      </c>
      <c r="G517" s="10">
        <v>250000</v>
      </c>
      <c r="H517" s="10">
        <f t="shared" ref="H517:H580" si="33">F517*G517</f>
        <v>1750000</v>
      </c>
    </row>
    <row r="518" spans="1:8" s="2" customFormat="1" ht="24" customHeight="1">
      <c r="A518" s="4">
        <v>517</v>
      </c>
      <c r="B518" s="4" t="str">
        <f>"1200000539"</f>
        <v>1200000539</v>
      </c>
      <c r="C518" s="5" t="str">
        <f>"پيچ گوشتي دو سو مچي"</f>
        <v>پيچ گوشتي دو سو مچي</v>
      </c>
      <c r="D518" s="4" t="str">
        <f>"WESSEL"</f>
        <v>WESSEL</v>
      </c>
      <c r="E518" s="4" t="str">
        <f t="shared" si="32"/>
        <v>عدد</v>
      </c>
      <c r="F518" s="4">
        <v>8</v>
      </c>
      <c r="G518" s="10">
        <v>40000</v>
      </c>
      <c r="H518" s="10">
        <f t="shared" si="33"/>
        <v>320000</v>
      </c>
    </row>
    <row r="519" spans="1:8" s="2" customFormat="1" ht="24" customHeight="1">
      <c r="A519" s="4">
        <v>518</v>
      </c>
      <c r="B519" s="4" t="str">
        <f>"1200000540"</f>
        <v>1200000540</v>
      </c>
      <c r="C519" s="5" t="str">
        <f>"چكش يكسر گرد يكسر تخت آلماني"</f>
        <v>چكش يكسر گرد يكسر تخت آلماني</v>
      </c>
      <c r="D519" s="4" t="str">
        <f>""</f>
        <v/>
      </c>
      <c r="E519" s="4" t="str">
        <f t="shared" si="32"/>
        <v>عدد</v>
      </c>
      <c r="F519" s="4">
        <v>6</v>
      </c>
      <c r="G519" s="10">
        <v>200000</v>
      </c>
      <c r="H519" s="10">
        <f t="shared" si="33"/>
        <v>1200000</v>
      </c>
    </row>
    <row r="520" spans="1:8" s="2" customFormat="1" ht="24" customHeight="1">
      <c r="A520" s="4">
        <v>519</v>
      </c>
      <c r="B520" s="4" t="str">
        <f>"1200000541"</f>
        <v>1200000541</v>
      </c>
      <c r="C520" s="5" t="str">
        <f>"سوهان نيم گرد35سانتي بدون دسته"</f>
        <v>سوهان نيم گرد35سانتي بدون دسته</v>
      </c>
      <c r="D520" s="4" t="str">
        <f>""</f>
        <v/>
      </c>
      <c r="E520" s="4" t="str">
        <f t="shared" si="32"/>
        <v>عدد</v>
      </c>
      <c r="F520" s="4">
        <v>9</v>
      </c>
      <c r="G520" s="10">
        <v>350000</v>
      </c>
      <c r="H520" s="10">
        <f t="shared" si="33"/>
        <v>3150000</v>
      </c>
    </row>
    <row r="521" spans="1:8" s="2" customFormat="1" ht="24" customHeight="1">
      <c r="A521" s="6">
        <v>520</v>
      </c>
      <c r="B521" s="4" t="str">
        <f>"1200000542"</f>
        <v>1200000542</v>
      </c>
      <c r="C521" s="5" t="str">
        <f>"آچار آلن 4ميليمتر"</f>
        <v>آچار آلن 4ميليمتر</v>
      </c>
      <c r="D521" s="4" t="str">
        <f>"JAPAN-EIGET-4MM"</f>
        <v>JAPAN-EIGET-4MM</v>
      </c>
      <c r="E521" s="4" t="str">
        <f t="shared" si="32"/>
        <v>عدد</v>
      </c>
      <c r="F521" s="4">
        <v>34</v>
      </c>
      <c r="G521" s="10">
        <v>25000</v>
      </c>
      <c r="H521" s="10">
        <f t="shared" si="33"/>
        <v>850000</v>
      </c>
    </row>
    <row r="522" spans="1:8" s="2" customFormat="1" ht="24" customHeight="1">
      <c r="A522" s="4">
        <v>521</v>
      </c>
      <c r="B522" s="4" t="str">
        <f>"1200000543"</f>
        <v>1200000543</v>
      </c>
      <c r="C522" s="5" t="str">
        <f>"سوهان سه گوش 30سانتي بدون دسته"</f>
        <v>سوهان سه گوش 30سانتي بدون دسته</v>
      </c>
      <c r="D522" s="4" t="str">
        <f>""</f>
        <v/>
      </c>
      <c r="E522" s="4" t="str">
        <f t="shared" si="32"/>
        <v>عدد</v>
      </c>
      <c r="F522" s="4">
        <v>14</v>
      </c>
      <c r="G522" s="10">
        <v>350000</v>
      </c>
      <c r="H522" s="10">
        <f t="shared" si="33"/>
        <v>4900000</v>
      </c>
    </row>
    <row r="523" spans="1:8" s="2" customFormat="1" ht="24" customHeight="1">
      <c r="A523" s="4">
        <v>522</v>
      </c>
      <c r="B523" s="4" t="str">
        <f>"1200000544"</f>
        <v>1200000544</v>
      </c>
      <c r="C523" s="5" t="str">
        <f>"پيچ گوشتي چهار سو ضربه خور"</f>
        <v>پيچ گوشتي چهار سو ضربه خور</v>
      </c>
      <c r="D523" s="4" t="str">
        <f>"VESSEL - PH 1- 2- 3"</f>
        <v>VESSEL - PH 1- 2- 3</v>
      </c>
      <c r="E523" s="4" t="str">
        <f t="shared" si="32"/>
        <v>عدد</v>
      </c>
      <c r="F523" s="4">
        <v>21</v>
      </c>
      <c r="G523" s="10">
        <v>85000</v>
      </c>
      <c r="H523" s="10">
        <f t="shared" si="33"/>
        <v>1785000</v>
      </c>
    </row>
    <row r="524" spans="1:8" s="2" customFormat="1" ht="24" customHeight="1">
      <c r="A524" s="4">
        <v>523</v>
      </c>
      <c r="B524" s="4" t="str">
        <f>"1200000545"</f>
        <v>1200000545</v>
      </c>
      <c r="C524" s="5" t="str">
        <f>"سوهان سه گوش 20 سانتي بدون دسته"</f>
        <v>سوهان سه گوش 20 سانتي بدون دسته</v>
      </c>
      <c r="D524" s="4" t="str">
        <f>""</f>
        <v/>
      </c>
      <c r="E524" s="4" t="str">
        <f t="shared" si="32"/>
        <v>عدد</v>
      </c>
      <c r="F524" s="4">
        <v>11</v>
      </c>
      <c r="G524" s="10">
        <v>250000</v>
      </c>
      <c r="H524" s="10">
        <f t="shared" si="33"/>
        <v>2750000</v>
      </c>
    </row>
    <row r="525" spans="1:8" s="2" customFormat="1" ht="24" customHeight="1">
      <c r="A525" s="6">
        <v>524</v>
      </c>
      <c r="B525" s="4" t="str">
        <f>"1200000546"</f>
        <v>1200000546</v>
      </c>
      <c r="C525" s="5" t="str">
        <f>"انبر دست فشار قوي"</f>
        <v>انبر دست فشار قوي</v>
      </c>
      <c r="D525" s="4" t="str">
        <f>"عايق دار دسته قرمز"</f>
        <v>عايق دار دسته قرمز</v>
      </c>
      <c r="E525" s="4" t="str">
        <f t="shared" si="32"/>
        <v>عدد</v>
      </c>
      <c r="F525" s="4">
        <v>19</v>
      </c>
      <c r="G525" s="10">
        <v>600000</v>
      </c>
      <c r="H525" s="10">
        <f t="shared" si="33"/>
        <v>11400000</v>
      </c>
    </row>
    <row r="526" spans="1:8" s="2" customFormat="1" ht="24" customHeight="1">
      <c r="A526" s="4">
        <v>525</v>
      </c>
      <c r="B526" s="4" t="str">
        <f>"1200000547"</f>
        <v>1200000547</v>
      </c>
      <c r="C526" s="5" t="str">
        <f>"گيره چوب 25 سانتي"</f>
        <v>گيره چوب 25 سانتي</v>
      </c>
      <c r="D526" s="4" t="str">
        <f>""</f>
        <v/>
      </c>
      <c r="E526" s="4" t="str">
        <f t="shared" si="32"/>
        <v>عدد</v>
      </c>
      <c r="F526" s="4">
        <v>3</v>
      </c>
      <c r="G526" s="10">
        <v>350000</v>
      </c>
      <c r="H526" s="10">
        <f t="shared" si="33"/>
        <v>1050000</v>
      </c>
    </row>
    <row r="527" spans="1:8" s="2" customFormat="1" ht="24" customHeight="1">
      <c r="A527" s="4">
        <v>526</v>
      </c>
      <c r="B527" s="4" t="str">
        <f>"1200000548"</f>
        <v>1200000548</v>
      </c>
      <c r="C527" s="5" t="str">
        <f>"گيره چوب 20سانتي"</f>
        <v>گيره چوب 20سانتي</v>
      </c>
      <c r="D527" s="4" t="str">
        <f>""</f>
        <v/>
      </c>
      <c r="E527" s="4" t="str">
        <f t="shared" si="32"/>
        <v>عدد</v>
      </c>
      <c r="F527" s="4">
        <v>3</v>
      </c>
      <c r="G527" s="10">
        <v>250000</v>
      </c>
      <c r="H527" s="10">
        <f t="shared" si="33"/>
        <v>750000</v>
      </c>
    </row>
    <row r="528" spans="1:8" s="2" customFormat="1" ht="24" customHeight="1">
      <c r="A528" s="4">
        <v>527</v>
      </c>
      <c r="B528" s="4" t="str">
        <f>"1200000549"</f>
        <v>1200000549</v>
      </c>
      <c r="C528" s="5" t="str">
        <f>"چكش 100 گرمي دسته چوبي"</f>
        <v>چكش 100 گرمي دسته چوبي</v>
      </c>
      <c r="D528" s="4" t="str">
        <f>"ايران پتك"</f>
        <v>ايران پتك</v>
      </c>
      <c r="E528" s="4" t="str">
        <f t="shared" si="32"/>
        <v>عدد</v>
      </c>
      <c r="F528" s="4">
        <v>1</v>
      </c>
      <c r="G528" s="10">
        <v>130000</v>
      </c>
      <c r="H528" s="10">
        <f t="shared" si="33"/>
        <v>130000</v>
      </c>
    </row>
    <row r="529" spans="1:8" s="2" customFormat="1" ht="24" customHeight="1">
      <c r="A529" s="6">
        <v>528</v>
      </c>
      <c r="B529" s="4" t="str">
        <f>"1200000550"</f>
        <v>1200000550</v>
      </c>
      <c r="C529" s="5" t="str">
        <f>"انبر دست عايق دار 6 اينچ"</f>
        <v>انبر دست عايق دار 6 اينچ</v>
      </c>
      <c r="D529" s="4" t="str">
        <f>""</f>
        <v/>
      </c>
      <c r="E529" s="4" t="str">
        <f t="shared" si="32"/>
        <v>عدد</v>
      </c>
      <c r="F529" s="4">
        <v>6</v>
      </c>
      <c r="G529" s="10">
        <v>500000</v>
      </c>
      <c r="H529" s="10">
        <f t="shared" si="33"/>
        <v>3000000</v>
      </c>
    </row>
    <row r="530" spans="1:8" s="2" customFormat="1" ht="24" customHeight="1">
      <c r="A530" s="4">
        <v>529</v>
      </c>
      <c r="B530" s="4" t="str">
        <f>"1200000551"</f>
        <v>1200000551</v>
      </c>
      <c r="C530" s="5" t="str">
        <f>"قلم کنده کاري نوک تيز-30سانتي"</f>
        <v>قلم کنده کاري نوک تيز-30سانتي</v>
      </c>
      <c r="D530" s="4" t="str">
        <f>""</f>
        <v/>
      </c>
      <c r="E530" s="4" t="str">
        <f t="shared" si="32"/>
        <v>عدد</v>
      </c>
      <c r="F530" s="4">
        <v>7</v>
      </c>
      <c r="G530" s="10">
        <v>250000</v>
      </c>
      <c r="H530" s="10">
        <f t="shared" si="33"/>
        <v>1750000</v>
      </c>
    </row>
    <row r="531" spans="1:8" s="2" customFormat="1" ht="24" customHeight="1">
      <c r="A531" s="4">
        <v>530</v>
      </c>
      <c r="B531" s="4" t="str">
        <f>"1200000553"</f>
        <v>1200000553</v>
      </c>
      <c r="C531" s="5" t="str">
        <f>"آچار چكش خور تخت 105 ميليمتر"</f>
        <v>آچار چكش خور تخت 105 ميليمتر</v>
      </c>
      <c r="D531" s="4" t="str">
        <f>""</f>
        <v/>
      </c>
      <c r="E531" s="4" t="str">
        <f t="shared" si="32"/>
        <v>عدد</v>
      </c>
      <c r="F531" s="4">
        <v>1</v>
      </c>
      <c r="G531" s="10">
        <v>2500000</v>
      </c>
      <c r="H531" s="10">
        <f t="shared" si="33"/>
        <v>2500000</v>
      </c>
    </row>
    <row r="532" spans="1:8" s="2" customFormat="1" ht="24" customHeight="1">
      <c r="A532" s="4">
        <v>531</v>
      </c>
      <c r="B532" s="4" t="str">
        <f>"1200000554"</f>
        <v>1200000554</v>
      </c>
      <c r="C532" s="5" t="str">
        <f>"قلم کنده کاري نوک تيز-40 سانتي"</f>
        <v>قلم کنده کاري نوک تيز-40 سانتي</v>
      </c>
      <c r="D532" s="4" t="str">
        <f>""</f>
        <v/>
      </c>
      <c r="E532" s="4" t="str">
        <f t="shared" si="32"/>
        <v>عدد</v>
      </c>
      <c r="F532" s="4">
        <v>16</v>
      </c>
      <c r="G532" s="10">
        <v>350000</v>
      </c>
      <c r="H532" s="10">
        <f t="shared" si="33"/>
        <v>5600000</v>
      </c>
    </row>
    <row r="533" spans="1:8" s="2" customFormat="1" ht="24" customHeight="1">
      <c r="A533" s="6">
        <v>532</v>
      </c>
      <c r="B533" s="4" t="str">
        <f>"1200000555"</f>
        <v>1200000555</v>
      </c>
      <c r="C533" s="5" t="str">
        <f>"آچار بكس 12پر 32 ميليمتر درايو1/2"</f>
        <v>آچار بكس 12پر 32 ميليمتر درايو1/2</v>
      </c>
      <c r="D533" s="4" t="str">
        <f>" درايو 1/2GEDORE"</f>
        <v xml:space="preserve"> درايو 1/2GEDORE</v>
      </c>
      <c r="E533" s="4" t="str">
        <f t="shared" si="32"/>
        <v>عدد</v>
      </c>
      <c r="F533" s="4">
        <v>9</v>
      </c>
      <c r="G533" s="10">
        <v>150000</v>
      </c>
      <c r="H533" s="10">
        <f t="shared" si="33"/>
        <v>1350000</v>
      </c>
    </row>
    <row r="534" spans="1:8" s="2" customFormat="1" ht="24" customHeight="1">
      <c r="A534" s="4">
        <v>533</v>
      </c>
      <c r="B534" s="4" t="str">
        <f>"1200000556"</f>
        <v>1200000556</v>
      </c>
      <c r="C534" s="5" t="str">
        <f>"آچار بكس 12پر 10ميليمتر درايو1/2"</f>
        <v>آچار بكس 12پر 10ميليمتر درايو1/2</v>
      </c>
      <c r="D534" s="4" t="str">
        <f>"درايو 1/2"</f>
        <v>درايو 1/2</v>
      </c>
      <c r="E534" s="4" t="str">
        <f t="shared" si="32"/>
        <v>عدد</v>
      </c>
      <c r="F534" s="4">
        <v>17</v>
      </c>
      <c r="G534" s="10">
        <v>50000</v>
      </c>
      <c r="H534" s="10">
        <f t="shared" si="33"/>
        <v>850000</v>
      </c>
    </row>
    <row r="535" spans="1:8" s="2" customFormat="1" ht="24" customHeight="1">
      <c r="A535" s="4">
        <v>534</v>
      </c>
      <c r="B535" s="4" t="str">
        <f>"1200000557"</f>
        <v>1200000557</v>
      </c>
      <c r="C535" s="5" t="str">
        <f>"آچار چکش خور تخت135 ميليمتر"</f>
        <v>آچار چکش خور تخت135 ميليمتر</v>
      </c>
      <c r="D535" s="4" t="str">
        <f>"WALTER"</f>
        <v>WALTER</v>
      </c>
      <c r="E535" s="4" t="str">
        <f t="shared" si="32"/>
        <v>عدد</v>
      </c>
      <c r="F535" s="4">
        <v>1</v>
      </c>
      <c r="G535" s="10">
        <v>2800000</v>
      </c>
      <c r="H535" s="10">
        <f t="shared" si="33"/>
        <v>2800000</v>
      </c>
    </row>
    <row r="536" spans="1:8" s="2" customFormat="1" ht="24" customHeight="1">
      <c r="A536" s="4">
        <v>535</v>
      </c>
      <c r="B536" s="4" t="str">
        <f>"1200000558"</f>
        <v>1200000558</v>
      </c>
      <c r="C536" s="5" t="str">
        <f>"آچار بكس 12پر 27ميليمتردرايو1/2"</f>
        <v>آچار بكس 12پر 27ميليمتردرايو1/2</v>
      </c>
      <c r="D536" s="4" t="str">
        <f>"GEDORE1/2"</f>
        <v>GEDORE1/2</v>
      </c>
      <c r="E536" s="4" t="str">
        <f t="shared" si="32"/>
        <v>عدد</v>
      </c>
      <c r="F536" s="4">
        <v>5</v>
      </c>
      <c r="G536" s="10">
        <v>150000</v>
      </c>
      <c r="H536" s="10">
        <f t="shared" si="33"/>
        <v>750000</v>
      </c>
    </row>
    <row r="537" spans="1:8" s="2" customFormat="1" ht="24" customHeight="1">
      <c r="A537" s="6">
        <v>536</v>
      </c>
      <c r="B537" s="4" t="str">
        <f>"1200000559"</f>
        <v>1200000559</v>
      </c>
      <c r="C537" s="5" t="str">
        <f>"آچار شمعي شش پر  19-17ميليمتر"</f>
        <v>آچار شمعي شش پر  19-17ميليمتر</v>
      </c>
      <c r="D537" s="4" t="str">
        <f>"GEDORE - HAECO"</f>
        <v>GEDORE - HAECO</v>
      </c>
      <c r="E537" s="4" t="str">
        <f t="shared" si="32"/>
        <v>عدد</v>
      </c>
      <c r="F537" s="4">
        <v>4</v>
      </c>
      <c r="G537" s="10">
        <v>200000</v>
      </c>
      <c r="H537" s="10">
        <f t="shared" si="33"/>
        <v>800000</v>
      </c>
    </row>
    <row r="538" spans="1:8" s="2" customFormat="1" ht="24" customHeight="1">
      <c r="A538" s="4">
        <v>537</v>
      </c>
      <c r="B538" s="4" t="str">
        <f>"1200000560"</f>
        <v>1200000560</v>
      </c>
      <c r="C538" s="5" t="str">
        <f>"آچار بكس 6 پردسته دار32 ميليمتر"</f>
        <v>آچار بكس 6 پردسته دار32 ميليمتر</v>
      </c>
      <c r="D538" s="4" t="str">
        <f>"TA"</f>
        <v>TA</v>
      </c>
      <c r="E538" s="4" t="str">
        <f t="shared" si="32"/>
        <v>عدد</v>
      </c>
      <c r="F538" s="4">
        <v>2</v>
      </c>
      <c r="G538" s="10">
        <v>400000</v>
      </c>
      <c r="H538" s="10">
        <f t="shared" si="33"/>
        <v>800000</v>
      </c>
    </row>
    <row r="539" spans="1:8" s="2" customFormat="1" ht="24" customHeight="1">
      <c r="A539" s="4">
        <v>538</v>
      </c>
      <c r="B539" s="4" t="str">
        <f>"1200000561"</f>
        <v>1200000561</v>
      </c>
      <c r="C539" s="5" t="str">
        <f>"اسکراپ"</f>
        <v>اسکراپ</v>
      </c>
      <c r="D539" s="4" t="str">
        <f>"مخصوص كنده كاري رنگ"</f>
        <v>مخصوص كنده كاري رنگ</v>
      </c>
      <c r="E539" s="4" t="str">
        <f t="shared" si="32"/>
        <v>عدد</v>
      </c>
      <c r="F539" s="4">
        <v>38</v>
      </c>
      <c r="G539" s="10">
        <v>300000</v>
      </c>
      <c r="H539" s="10">
        <f t="shared" si="33"/>
        <v>11400000</v>
      </c>
    </row>
    <row r="540" spans="1:8" s="2" customFormat="1" ht="24" customHeight="1">
      <c r="A540" s="4">
        <v>539</v>
      </c>
      <c r="B540" s="4" t="str">
        <f>"1200000562"</f>
        <v>1200000562</v>
      </c>
      <c r="C540" s="5" t="str">
        <f>"دم باريک بدون عايق"</f>
        <v>دم باريک بدون عايق</v>
      </c>
      <c r="D540" s="4" t="str">
        <f>""</f>
        <v/>
      </c>
      <c r="E540" s="4" t="str">
        <f t="shared" si="32"/>
        <v>عدد</v>
      </c>
      <c r="F540" s="4">
        <v>5</v>
      </c>
      <c r="G540" s="10">
        <v>100000</v>
      </c>
      <c r="H540" s="10">
        <f t="shared" si="33"/>
        <v>500000</v>
      </c>
    </row>
    <row r="541" spans="1:8" s="2" customFormat="1" ht="24" customHeight="1">
      <c r="A541" s="6">
        <v>540</v>
      </c>
      <c r="B541" s="4" t="str">
        <f>"1200000563"</f>
        <v>1200000563</v>
      </c>
      <c r="C541" s="5" t="str">
        <f>"قلم پانچ واشربر26ميليمتر"</f>
        <v>قلم پانچ واشربر26ميليمتر</v>
      </c>
      <c r="D541" s="4" t="str">
        <f>"VBW -26MM"</f>
        <v>VBW -26MM</v>
      </c>
      <c r="E541" s="4" t="str">
        <f>"دستگاه"</f>
        <v>دستگاه</v>
      </c>
      <c r="F541" s="4">
        <v>1</v>
      </c>
      <c r="G541" s="10">
        <v>200000</v>
      </c>
      <c r="H541" s="10">
        <f t="shared" si="33"/>
        <v>200000</v>
      </c>
    </row>
    <row r="542" spans="1:8" s="2" customFormat="1" ht="24" customHeight="1">
      <c r="A542" s="4">
        <v>541</v>
      </c>
      <c r="B542" s="4" t="str">
        <f>"1200000564"</f>
        <v>1200000564</v>
      </c>
      <c r="C542" s="5" t="str">
        <f>"قلم پانچ واشربر 28 ميليمتر"</f>
        <v>قلم پانچ واشربر 28 ميليمتر</v>
      </c>
      <c r="D542" s="4" t="str">
        <f>"GERMANY -28MM"</f>
        <v>GERMANY -28MM</v>
      </c>
      <c r="E542" s="4" t="str">
        <f>"دستگاه"</f>
        <v>دستگاه</v>
      </c>
      <c r="F542" s="4">
        <v>1</v>
      </c>
      <c r="G542" s="10">
        <v>230000</v>
      </c>
      <c r="H542" s="10">
        <f t="shared" si="33"/>
        <v>230000</v>
      </c>
    </row>
    <row r="543" spans="1:8" s="2" customFormat="1" ht="24" customHeight="1">
      <c r="A543" s="4">
        <v>542</v>
      </c>
      <c r="B543" s="4" t="str">
        <f>"1200000565"</f>
        <v>1200000565</v>
      </c>
      <c r="C543" s="5" t="str">
        <f>"قلم پانچ واشربر22ميليمتر"</f>
        <v>قلم پانچ واشربر22ميليمتر</v>
      </c>
      <c r="D543" s="4" t="str">
        <f>"VBW-22MM"</f>
        <v>VBW-22MM</v>
      </c>
      <c r="E543" s="4" t="str">
        <f>"دستگاه"</f>
        <v>دستگاه</v>
      </c>
      <c r="F543" s="4">
        <v>1</v>
      </c>
      <c r="G543" s="10">
        <v>170000</v>
      </c>
      <c r="H543" s="10">
        <f t="shared" si="33"/>
        <v>170000</v>
      </c>
    </row>
    <row r="544" spans="1:8" s="2" customFormat="1" ht="24" customHeight="1">
      <c r="A544" s="4">
        <v>543</v>
      </c>
      <c r="B544" s="4" t="str">
        <f>"1200000566"</f>
        <v>1200000566</v>
      </c>
      <c r="C544" s="5" t="str">
        <f>"پيچ گوشتي مينياتوري چهارسو کوچک60*0"</f>
        <v>پيچ گوشتي مينياتوري چهارسو کوچک60*0</v>
      </c>
      <c r="D544" s="4" t="str">
        <f>"PH0*60--  1000V14--KRAFTGRIP SLOVENIA"</f>
        <v>PH0*60--  1000V14--KRAFTGRIP SLOVENIA</v>
      </c>
      <c r="E544" s="4" t="str">
        <f t="shared" ref="E544:E552" si="34">"عدد"</f>
        <v>عدد</v>
      </c>
      <c r="F544" s="4">
        <v>11</v>
      </c>
      <c r="G544" s="10">
        <v>80000</v>
      </c>
      <c r="H544" s="10">
        <f t="shared" si="33"/>
        <v>880000</v>
      </c>
    </row>
    <row r="545" spans="1:8" s="2" customFormat="1" ht="24" customHeight="1">
      <c r="A545" s="6">
        <v>544</v>
      </c>
      <c r="B545" s="4" t="str">
        <f>"1200000567"</f>
        <v>1200000567</v>
      </c>
      <c r="C545" s="5" t="str">
        <f>"پيچ گوشتي مينياتوري دوسو بزرگ150*6.5*1.2"</f>
        <v>پيچ گوشتي مينياتوري دوسو بزرگ150*6.5*1.2</v>
      </c>
      <c r="D545" s="4" t="str">
        <f>"DIM1.2*6.5*150.1000V14--KRAFTGRIP SLOVENIA"</f>
        <v>DIM1.2*6.5*150.1000V14--KRAFTGRIP SLOVENIA</v>
      </c>
      <c r="E545" s="4" t="str">
        <f t="shared" si="34"/>
        <v>عدد</v>
      </c>
      <c r="F545" s="4">
        <v>30</v>
      </c>
      <c r="G545" s="10">
        <v>120000</v>
      </c>
      <c r="H545" s="10">
        <f t="shared" si="33"/>
        <v>3600000</v>
      </c>
    </row>
    <row r="546" spans="1:8" s="2" customFormat="1" ht="24" customHeight="1">
      <c r="A546" s="4">
        <v>545</v>
      </c>
      <c r="B546" s="4" t="str">
        <f>"1200000568"</f>
        <v>1200000568</v>
      </c>
      <c r="C546" s="5" t="str">
        <f>"پيچ گوشتي مينياتوري چهار سو متوسط80*1"</f>
        <v>پيچ گوشتي مينياتوري چهار سو متوسط80*1</v>
      </c>
      <c r="D546" s="4" t="str">
        <f>"DIM PH 1*80VDE ART.100V14--KRAFTGRIP SLOVENIA"</f>
        <v>DIM PH 1*80VDE ART.100V14--KRAFTGRIP SLOVENIA</v>
      </c>
      <c r="E546" s="4" t="str">
        <f t="shared" si="34"/>
        <v>عدد</v>
      </c>
      <c r="F546" s="4">
        <v>30</v>
      </c>
      <c r="G546" s="10">
        <v>100000</v>
      </c>
      <c r="H546" s="10">
        <f t="shared" si="33"/>
        <v>3000000</v>
      </c>
    </row>
    <row r="547" spans="1:8" s="2" customFormat="1" ht="24" customHeight="1">
      <c r="A547" s="4">
        <v>546</v>
      </c>
      <c r="B547" s="4" t="str">
        <f>"1200000569"</f>
        <v>1200000569</v>
      </c>
      <c r="C547" s="5" t="str">
        <f>"پيچ گوشتي مينياتوري چهارسو بزرگ150*2"</f>
        <v>پيچ گوشتي مينياتوري چهارسو بزرگ150*2</v>
      </c>
      <c r="D547" s="4" t="str">
        <f>"DIM.PH 2*150 VDE ART1000V14--KRAFTGRIP SLOVENIA"</f>
        <v>DIM.PH 2*150 VDE ART1000V14--KRAFTGRIP SLOVENIA</v>
      </c>
      <c r="E547" s="4" t="str">
        <f t="shared" si="34"/>
        <v>عدد</v>
      </c>
      <c r="F547" s="4">
        <v>20</v>
      </c>
      <c r="G547" s="10">
        <v>120000</v>
      </c>
      <c r="H547" s="10">
        <f t="shared" si="33"/>
        <v>2400000</v>
      </c>
    </row>
    <row r="548" spans="1:8" s="2" customFormat="1" ht="24" customHeight="1">
      <c r="A548" s="4">
        <v>547</v>
      </c>
      <c r="B548" s="4" t="str">
        <f>"1200000570"</f>
        <v>1200000570</v>
      </c>
      <c r="C548" s="5" t="str">
        <f>"پيچ گوشتي مينياتوري دوسو 100*4*0.8"</f>
        <v>پيچ گوشتي مينياتوري دوسو 100*4*0.8</v>
      </c>
      <c r="D548" s="4" t="str">
        <f>"DIM- 0.8 *4*100 VDE ART 400--KRAFTGRIP SLOVENIA"</f>
        <v>DIM- 0.8 *4*100 VDE ART 400--KRAFTGRIP SLOVENIA</v>
      </c>
      <c r="E548" s="4" t="str">
        <f t="shared" si="34"/>
        <v>عدد</v>
      </c>
      <c r="F548" s="4">
        <v>10</v>
      </c>
      <c r="G548" s="10">
        <v>120000</v>
      </c>
      <c r="H548" s="10">
        <f t="shared" si="33"/>
        <v>1200000</v>
      </c>
    </row>
    <row r="549" spans="1:8" s="2" customFormat="1" ht="24" customHeight="1">
      <c r="A549" s="6">
        <v>548</v>
      </c>
      <c r="B549" s="4" t="str">
        <f>"1200000571"</f>
        <v>1200000571</v>
      </c>
      <c r="C549" s="5" t="str">
        <f>"پيچ گوشتي مينياتوري دو سو 75*2.5*0.4"</f>
        <v>پيچ گوشتي مينياتوري دو سو 75*2.5*0.4</v>
      </c>
      <c r="D549" s="4" t="str">
        <f>"DIM 0.4 *2.5*75 VDE  ART .400--KRAFTGRIP SLOVENIA"</f>
        <v>DIM 0.4 *2.5*75 VDE  ART .400--KRAFTGRIP SLOVENIA</v>
      </c>
      <c r="E549" s="4" t="str">
        <f t="shared" si="34"/>
        <v>عدد</v>
      </c>
      <c r="F549" s="4">
        <v>4</v>
      </c>
      <c r="G549" s="10">
        <v>100000</v>
      </c>
      <c r="H549" s="10">
        <f t="shared" si="33"/>
        <v>400000</v>
      </c>
    </row>
    <row r="550" spans="1:8" s="2" customFormat="1" ht="24" customHeight="1">
      <c r="A550" s="4">
        <v>549</v>
      </c>
      <c r="B550" s="4" t="str">
        <f>"1200000572"</f>
        <v>1200000572</v>
      </c>
      <c r="C550" s="5" t="str">
        <f>"آي بلت M30"</f>
        <v>آي بلت M30</v>
      </c>
      <c r="D550" s="4" t="str">
        <f>"M30"</f>
        <v>M30</v>
      </c>
      <c r="E550" s="4" t="str">
        <f t="shared" si="34"/>
        <v>عدد</v>
      </c>
      <c r="F550" s="4">
        <v>22</v>
      </c>
      <c r="G550" s="10">
        <v>750000</v>
      </c>
      <c r="H550" s="10">
        <f t="shared" si="33"/>
        <v>16500000</v>
      </c>
    </row>
    <row r="551" spans="1:8" s="2" customFormat="1" ht="24" customHeight="1">
      <c r="A551" s="4">
        <v>550</v>
      </c>
      <c r="B551" s="4" t="str">
        <f>"1200000573"</f>
        <v>1200000573</v>
      </c>
      <c r="C551" s="5" t="str">
        <f>"پراب چنگكي"</f>
        <v>پراب چنگكي</v>
      </c>
      <c r="D551" s="4" t="str">
        <f>"5ميليمتر از وسايل ابوعلي"</f>
        <v>5ميليمتر از وسايل ابوعلي</v>
      </c>
      <c r="E551" s="4" t="str">
        <f t="shared" si="34"/>
        <v>عدد</v>
      </c>
      <c r="F551" s="4">
        <v>20</v>
      </c>
      <c r="G551" s="10">
        <v>50000</v>
      </c>
      <c r="H551" s="10">
        <f t="shared" si="33"/>
        <v>1000000</v>
      </c>
    </row>
    <row r="552" spans="1:8" s="2" customFormat="1" ht="24" customHeight="1">
      <c r="A552" s="4">
        <v>551</v>
      </c>
      <c r="B552" s="4" t="str">
        <f>"1200000575"</f>
        <v>1200000575</v>
      </c>
      <c r="C552" s="5" t="str">
        <f>"قلع کش"</f>
        <v>قلع کش</v>
      </c>
      <c r="D552" s="4" t="str">
        <f>"GS-108--GOOT SOLDER JAPAN"</f>
        <v>GS-108--GOOT SOLDER JAPAN</v>
      </c>
      <c r="E552" s="4" t="str">
        <f t="shared" si="34"/>
        <v>عدد</v>
      </c>
      <c r="F552" s="4">
        <v>1</v>
      </c>
      <c r="G552" s="10">
        <v>400000</v>
      </c>
      <c r="H552" s="10">
        <f t="shared" si="33"/>
        <v>400000</v>
      </c>
    </row>
    <row r="553" spans="1:8" s="2" customFormat="1" ht="24" customHeight="1">
      <c r="A553" s="6">
        <v>552</v>
      </c>
      <c r="B553" s="4" t="str">
        <f>"1200000576"</f>
        <v>1200000576</v>
      </c>
      <c r="C553" s="5" t="str">
        <f>"هويه 40 وات"</f>
        <v>هويه 40 وات</v>
      </c>
      <c r="D553" s="4" t="str">
        <f>"KS-40R--GOOT SOLDER JAPAN"</f>
        <v>KS-40R--GOOT SOLDER JAPAN</v>
      </c>
      <c r="E553" s="4" t="str">
        <f>"دستگاه"</f>
        <v>دستگاه</v>
      </c>
      <c r="F553" s="4">
        <v>1</v>
      </c>
      <c r="G553" s="10">
        <v>500000</v>
      </c>
      <c r="H553" s="10">
        <f t="shared" si="33"/>
        <v>500000</v>
      </c>
    </row>
    <row r="554" spans="1:8" s="2" customFormat="1" ht="24" customHeight="1">
      <c r="A554" s="4">
        <v>553</v>
      </c>
      <c r="B554" s="4" t="str">
        <f>"1200000577"</f>
        <v>1200000577</v>
      </c>
      <c r="C554" s="5" t="str">
        <f>"هويه 60 وات"</f>
        <v>هويه 60 وات</v>
      </c>
      <c r="D554" s="4" t="str">
        <f>"KS 60R--GOOT SOLDER JAPAN"</f>
        <v>KS 60R--GOOT SOLDER JAPAN</v>
      </c>
      <c r="E554" s="4" t="str">
        <f>"دستگاه"</f>
        <v>دستگاه</v>
      </c>
      <c r="F554" s="4">
        <v>1</v>
      </c>
      <c r="G554" s="10">
        <v>750000</v>
      </c>
      <c r="H554" s="10">
        <f t="shared" si="33"/>
        <v>750000</v>
      </c>
    </row>
    <row r="555" spans="1:8" s="2" customFormat="1" ht="24" customHeight="1">
      <c r="A555" s="4">
        <v>554</v>
      </c>
      <c r="B555" s="4" t="str">
        <f>"1200000579"</f>
        <v>1200000579</v>
      </c>
      <c r="C555" s="5" t="str">
        <f>"آچار آلن ستاره اي (مچي)T9-T10-T15-T20-T25-T27-T30-T40"</f>
        <v>آچار آلن ستاره اي (مچي)T9-T10-T15-T20-T25-T27-T30-T40</v>
      </c>
      <c r="D555" s="4" t="str">
        <f>"HW-221 J--PROSKIT"</f>
        <v>HW-221 J--PROSKIT</v>
      </c>
      <c r="E555" s="4" t="str">
        <f>"ست"</f>
        <v>ست</v>
      </c>
      <c r="F555" s="4">
        <v>4</v>
      </c>
      <c r="G555" s="10">
        <v>350000</v>
      </c>
      <c r="H555" s="10">
        <f t="shared" si="33"/>
        <v>1400000</v>
      </c>
    </row>
    <row r="556" spans="1:8" s="2" customFormat="1" ht="24" customHeight="1">
      <c r="A556" s="4">
        <v>555</v>
      </c>
      <c r="B556" s="4" t="str">
        <f>"1200000580"</f>
        <v>1200000580</v>
      </c>
      <c r="C556" s="5" t="str">
        <f>"پيچ گوشتي ستاره اي"</f>
        <v>پيچ گوشتي ستاره اي</v>
      </c>
      <c r="D556" s="4" t="str">
        <f>"T20-7920--GENIUS"</f>
        <v>T20-7920--GENIUS</v>
      </c>
      <c r="E556" s="4" t="str">
        <f t="shared" ref="E556:E567" si="35">"عدد"</f>
        <v>عدد</v>
      </c>
      <c r="F556" s="4">
        <v>11</v>
      </c>
      <c r="G556" s="10">
        <v>500000</v>
      </c>
      <c r="H556" s="10">
        <f t="shared" si="33"/>
        <v>5500000</v>
      </c>
    </row>
    <row r="557" spans="1:8" s="2" customFormat="1" ht="24" customHeight="1">
      <c r="A557" s="6">
        <v>556</v>
      </c>
      <c r="B557" s="4" t="str">
        <f>"1200000581"</f>
        <v>1200000581</v>
      </c>
      <c r="C557" s="5" t="str">
        <f>"فازمتر جيبي کوچک عايق دار"</f>
        <v>فازمتر جيبي کوچک عايق دار</v>
      </c>
      <c r="D557" s="4" t="str">
        <f>"220-250V--KRAFTGRIP SLOVENIA"</f>
        <v>220-250V--KRAFTGRIP SLOVENIA</v>
      </c>
      <c r="E557" s="4" t="str">
        <f t="shared" si="35"/>
        <v>عدد</v>
      </c>
      <c r="F557" s="4">
        <v>1</v>
      </c>
      <c r="G557" s="10">
        <v>100000</v>
      </c>
      <c r="H557" s="10">
        <f t="shared" si="33"/>
        <v>100000</v>
      </c>
    </row>
    <row r="558" spans="1:8" s="2" customFormat="1" ht="24" customHeight="1">
      <c r="A558" s="4">
        <v>557</v>
      </c>
      <c r="B558" s="4" t="str">
        <f>"1200000582"</f>
        <v>1200000582</v>
      </c>
      <c r="C558" s="5" t="str">
        <f>"سيم لخت کن"</f>
        <v>سيم لخت کن</v>
      </c>
      <c r="D558" s="4" t="str">
        <f>"DIN 48-160--ORBIS GERMANY"</f>
        <v>DIN 48-160--ORBIS GERMANY</v>
      </c>
      <c r="E558" s="4" t="str">
        <f t="shared" si="35"/>
        <v>عدد</v>
      </c>
      <c r="F558" s="4">
        <v>3</v>
      </c>
      <c r="G558" s="10">
        <v>200000</v>
      </c>
      <c r="H558" s="10">
        <f t="shared" si="33"/>
        <v>600000</v>
      </c>
    </row>
    <row r="559" spans="1:8" s="2" customFormat="1" ht="24" customHeight="1">
      <c r="A559" s="4">
        <v>558</v>
      </c>
      <c r="B559" s="4" t="str">
        <f>"1200000583"</f>
        <v>1200000583</v>
      </c>
      <c r="C559" s="5" t="str">
        <f>"پيچ گوشتي چهار سو مچي"</f>
        <v>پيچ گوشتي چهار سو مچي</v>
      </c>
      <c r="D559" s="4" t="str">
        <f>"ARCA2*38MM"</f>
        <v>ARCA2*38MM</v>
      </c>
      <c r="E559" s="4" t="str">
        <f t="shared" si="35"/>
        <v>عدد</v>
      </c>
      <c r="F559" s="4">
        <v>2</v>
      </c>
      <c r="G559" s="10">
        <v>40000</v>
      </c>
      <c r="H559" s="10">
        <f t="shared" si="33"/>
        <v>80000</v>
      </c>
    </row>
    <row r="560" spans="1:8" s="2" customFormat="1" ht="24" customHeight="1">
      <c r="A560" s="4">
        <v>559</v>
      </c>
      <c r="B560" s="4" t="str">
        <f>"1200000584"</f>
        <v>1200000584</v>
      </c>
      <c r="C560" s="5" t="str">
        <f>"آهن رباي تلسکوپي جيبي"</f>
        <v>آهن رباي تلسکوپي جيبي</v>
      </c>
      <c r="D560" s="4" t="str">
        <f>"AT - B16--GENIUS"</f>
        <v>AT - B16--GENIUS</v>
      </c>
      <c r="E560" s="4" t="str">
        <f t="shared" si="35"/>
        <v>عدد</v>
      </c>
      <c r="F560" s="4">
        <v>16</v>
      </c>
      <c r="G560" s="10">
        <v>250000</v>
      </c>
      <c r="H560" s="10">
        <f t="shared" si="33"/>
        <v>4000000</v>
      </c>
    </row>
    <row r="561" spans="1:8" s="2" customFormat="1" ht="24" customHeight="1">
      <c r="A561" s="6">
        <v>560</v>
      </c>
      <c r="B561" s="4" t="str">
        <f>"1200000585"</f>
        <v>1200000585</v>
      </c>
      <c r="C561" s="5" t="str">
        <f>"آچار يکسرتخت يکسر رينگي 27ميليمتر"</f>
        <v>آچار يکسرتخت يکسر رينگي 27ميليمتر</v>
      </c>
      <c r="D561" s="4" t="str">
        <f>"27MM CHROME VANDIUM--IRON MAX"</f>
        <v>27MM CHROME VANDIUM--IRON MAX</v>
      </c>
      <c r="E561" s="4" t="str">
        <f t="shared" si="35"/>
        <v>عدد</v>
      </c>
      <c r="F561" s="4">
        <v>37</v>
      </c>
      <c r="G561" s="10">
        <v>250000</v>
      </c>
      <c r="H561" s="10">
        <f t="shared" si="33"/>
        <v>9250000</v>
      </c>
    </row>
    <row r="562" spans="1:8" s="2" customFormat="1" ht="24" customHeight="1">
      <c r="A562" s="4">
        <v>561</v>
      </c>
      <c r="B562" s="4" t="str">
        <f>"1200000586"</f>
        <v>1200000586</v>
      </c>
      <c r="C562" s="5" t="str">
        <f>"آچار يکسرتخت يکسر رينگي 17ميليمتر"</f>
        <v>آچار يکسرتخت يکسر رينگي 17ميليمتر</v>
      </c>
      <c r="D562" s="4" t="str">
        <f>"17MM--IRON MAX"</f>
        <v>17MM--IRON MAX</v>
      </c>
      <c r="E562" s="4" t="str">
        <f t="shared" si="35"/>
        <v>عدد</v>
      </c>
      <c r="F562" s="4">
        <v>33</v>
      </c>
      <c r="G562" s="10">
        <v>150000</v>
      </c>
      <c r="H562" s="10">
        <f t="shared" si="33"/>
        <v>4950000</v>
      </c>
    </row>
    <row r="563" spans="1:8" s="2" customFormat="1" ht="24" customHeight="1">
      <c r="A563" s="4">
        <v>562</v>
      </c>
      <c r="B563" s="4" t="str">
        <f>"1200000587"</f>
        <v>1200000587</v>
      </c>
      <c r="C563" s="5" t="str">
        <f>"آچار يکسرتخت يکسر رينگي 14ميليمتر"</f>
        <v>آچار يکسرتخت يکسر رينگي 14ميليمتر</v>
      </c>
      <c r="D563" s="4" t="str">
        <f>"14MM CHROM VANDIUM--IRON MAX"</f>
        <v>14MM CHROM VANDIUM--IRON MAX</v>
      </c>
      <c r="E563" s="4" t="str">
        <f t="shared" si="35"/>
        <v>عدد</v>
      </c>
      <c r="F563" s="4">
        <v>42</v>
      </c>
      <c r="G563" s="10">
        <v>120000</v>
      </c>
      <c r="H563" s="10">
        <f t="shared" si="33"/>
        <v>5040000</v>
      </c>
    </row>
    <row r="564" spans="1:8" s="2" customFormat="1" ht="24" customHeight="1">
      <c r="A564" s="4">
        <v>563</v>
      </c>
      <c r="B564" s="4" t="str">
        <f>"1200000588"</f>
        <v>1200000588</v>
      </c>
      <c r="C564" s="5" t="str">
        <f>"آچار يکسرتخت يکسر رينگي 13ميليمتر"</f>
        <v>آچار يکسرتخت يکسر رينگي 13ميليمتر</v>
      </c>
      <c r="D564" s="4" t="str">
        <f>"13MM  CHROM VANDIUM--STAREX 21714"</f>
        <v>13MM  CHROM VANDIUM--STAREX 21714</v>
      </c>
      <c r="E564" s="4" t="str">
        <f t="shared" si="35"/>
        <v>عدد</v>
      </c>
      <c r="F564" s="4">
        <v>42</v>
      </c>
      <c r="G564" s="10">
        <v>100000</v>
      </c>
      <c r="H564" s="10">
        <f t="shared" si="33"/>
        <v>4200000</v>
      </c>
    </row>
    <row r="565" spans="1:8" s="2" customFormat="1" ht="24" customHeight="1">
      <c r="A565" s="6">
        <v>564</v>
      </c>
      <c r="B565" s="4" t="str">
        <f>"1200000589"</f>
        <v>1200000589</v>
      </c>
      <c r="C565" s="5" t="str">
        <f>"آچار يکسرتخت يکسر رينگي 10ميليمتر"</f>
        <v>آچار يکسرتخت يکسر رينگي 10ميليمتر</v>
      </c>
      <c r="D565" s="4" t="str">
        <f>"10MM CHROM VANDIUM--IRON MAX"</f>
        <v>10MM CHROM VANDIUM--IRON MAX</v>
      </c>
      <c r="E565" s="4" t="str">
        <f t="shared" si="35"/>
        <v>عدد</v>
      </c>
      <c r="F565" s="4">
        <v>47</v>
      </c>
      <c r="G565" s="10">
        <v>70000</v>
      </c>
      <c r="H565" s="10">
        <f t="shared" si="33"/>
        <v>3290000</v>
      </c>
    </row>
    <row r="566" spans="1:8" s="2" customFormat="1" ht="24" customHeight="1">
      <c r="A566" s="4">
        <v>565</v>
      </c>
      <c r="B566" s="4" t="str">
        <f>"1200000590"</f>
        <v>1200000590</v>
      </c>
      <c r="C566" s="5" t="str">
        <f>"آچار آلن 6MM"</f>
        <v>آچار آلن 6MM</v>
      </c>
      <c r="D566" s="4" t="str">
        <f>"S NCM+V--EIGHT JAPAN"</f>
        <v>S NCM+V--EIGHT JAPAN</v>
      </c>
      <c r="E566" s="4" t="str">
        <f t="shared" si="35"/>
        <v>عدد</v>
      </c>
      <c r="F566" s="4">
        <v>10</v>
      </c>
      <c r="G566" s="10">
        <v>55000</v>
      </c>
      <c r="H566" s="10">
        <f t="shared" si="33"/>
        <v>550000</v>
      </c>
    </row>
    <row r="567" spans="1:8" s="2" customFormat="1" ht="24" customHeight="1">
      <c r="A567" s="4">
        <v>566</v>
      </c>
      <c r="B567" s="4" t="str">
        <f>"1200000591"</f>
        <v>1200000591</v>
      </c>
      <c r="C567" s="5" t="str">
        <f>"آچار آلن 17ميليمتر"</f>
        <v>آچار آلن 17ميليمتر</v>
      </c>
      <c r="D567" s="4" t="str">
        <f>"S NCM+V--EIGHT JAPAN"</f>
        <v>S NCM+V--EIGHT JAPAN</v>
      </c>
      <c r="E567" s="4" t="str">
        <f t="shared" si="35"/>
        <v>عدد</v>
      </c>
      <c r="F567" s="4">
        <v>7</v>
      </c>
      <c r="G567" s="10">
        <v>500000</v>
      </c>
      <c r="H567" s="10">
        <f t="shared" si="33"/>
        <v>3500000</v>
      </c>
    </row>
    <row r="568" spans="1:8" s="2" customFormat="1" ht="24" customHeight="1">
      <c r="A568" s="4">
        <v>567</v>
      </c>
      <c r="B568" s="4" t="str">
        <f>"1200000592"</f>
        <v>1200000592</v>
      </c>
      <c r="C568" s="5" t="str">
        <f>"آچار آلن ستاره اي  T20"</f>
        <v>آچار آلن ستاره اي  T20</v>
      </c>
      <c r="D568" s="4" t="str">
        <f>"T20-S2--ASTER TAIWAN"</f>
        <v>T20-S2--ASTER TAIWAN</v>
      </c>
      <c r="E568" s="4" t="str">
        <f>"ست"</f>
        <v>ست</v>
      </c>
      <c r="F568" s="4">
        <v>5</v>
      </c>
      <c r="G568" s="10">
        <v>80000</v>
      </c>
      <c r="H568" s="10">
        <f t="shared" si="33"/>
        <v>400000</v>
      </c>
    </row>
    <row r="569" spans="1:8" s="2" customFormat="1" ht="24" customHeight="1">
      <c r="A569" s="6">
        <v>568</v>
      </c>
      <c r="B569" s="4" t="str">
        <f>"1200000593"</f>
        <v>1200000593</v>
      </c>
      <c r="C569" s="5" t="str">
        <f>"سيم سيار قرقره اي 20متري فردان الكتريك"</f>
        <v>سيم سيار قرقره اي 20متري فردان الكتريك</v>
      </c>
      <c r="D569" s="4" t="str">
        <f>"16/250/20M--فردان الکتريک"</f>
        <v>16/250/20M--فردان الکتريک</v>
      </c>
      <c r="E569" s="4" t="str">
        <f>"عدد"</f>
        <v>عدد</v>
      </c>
      <c r="F569" s="4">
        <v>4</v>
      </c>
      <c r="G569" s="10">
        <v>1300000</v>
      </c>
      <c r="H569" s="10">
        <f t="shared" si="33"/>
        <v>5200000</v>
      </c>
    </row>
    <row r="570" spans="1:8" s="2" customFormat="1" ht="24" customHeight="1">
      <c r="A570" s="4">
        <v>569</v>
      </c>
      <c r="B570" s="4" t="str">
        <f>"1200000594"</f>
        <v>1200000594</v>
      </c>
      <c r="C570" s="5" t="str">
        <f>"سيم سيار قر قره اي 10متري"</f>
        <v>سيم سيار قر قره اي 10متري</v>
      </c>
      <c r="D570" s="4" t="str">
        <f>"----پارت الکتريک10 متري"</f>
        <v>----پارت الکتريک10 متري</v>
      </c>
      <c r="E570" s="4" t="str">
        <f>"عدد"</f>
        <v>عدد</v>
      </c>
      <c r="F570" s="4">
        <v>1</v>
      </c>
      <c r="G570" s="10">
        <v>850000</v>
      </c>
      <c r="H570" s="10">
        <f t="shared" si="33"/>
        <v>850000</v>
      </c>
    </row>
    <row r="571" spans="1:8" s="2" customFormat="1" ht="24" customHeight="1">
      <c r="A571" s="4">
        <v>570</v>
      </c>
      <c r="B571" s="4" t="str">
        <f>"1200000595"</f>
        <v>1200000595</v>
      </c>
      <c r="C571" s="5" t="str">
        <f>"سيم سيار قرقره اي20متري و30متري"</f>
        <v>سيم سيار قرقره اي20متري و30متري</v>
      </c>
      <c r="D571" s="4" t="str">
        <f>"20 متري 30 متري"</f>
        <v>20 متري 30 متري</v>
      </c>
      <c r="E571" s="4" t="str">
        <f>"عدد"</f>
        <v>عدد</v>
      </c>
      <c r="F571" s="4">
        <v>14</v>
      </c>
      <c r="G571" s="10">
        <v>1500000</v>
      </c>
      <c r="H571" s="10">
        <f t="shared" si="33"/>
        <v>21000000</v>
      </c>
    </row>
    <row r="572" spans="1:8" s="2" customFormat="1" ht="24" customHeight="1">
      <c r="A572" s="4">
        <v>571</v>
      </c>
      <c r="B572" s="4" t="str">
        <f>"1200000596"</f>
        <v>1200000596</v>
      </c>
      <c r="C572" s="5" t="str">
        <f>"کارواش آب سرد وگرم"</f>
        <v>کارواش آب سرد وگرم</v>
      </c>
      <c r="D572" s="4" t="str">
        <f>"LAVOR- RIO-آّب سرد و گرم"</f>
        <v>LAVOR- RIO-آّب سرد و گرم</v>
      </c>
      <c r="E572" s="4" t="str">
        <f t="shared" ref="E572:E577" si="36">"دستگاه"</f>
        <v>دستگاه</v>
      </c>
      <c r="F572" s="4">
        <v>2</v>
      </c>
      <c r="G572" s="10">
        <v>37000000</v>
      </c>
      <c r="H572" s="10">
        <f t="shared" si="33"/>
        <v>74000000</v>
      </c>
    </row>
    <row r="573" spans="1:8" s="2" customFormat="1" ht="24" customHeight="1">
      <c r="A573" s="6">
        <v>572</v>
      </c>
      <c r="B573" s="4" t="str">
        <f>"1200000597"</f>
        <v>1200000597</v>
      </c>
      <c r="C573" s="5" t="str">
        <f>"خار باز کن بدون عايق"</f>
        <v>خار باز کن بدون عايق</v>
      </c>
      <c r="D573" s="4" t="str">
        <f>"GERMANY"</f>
        <v>GERMANY</v>
      </c>
      <c r="E573" s="4" t="str">
        <f t="shared" si="36"/>
        <v>دستگاه</v>
      </c>
      <c r="F573" s="4">
        <v>3</v>
      </c>
      <c r="G573" s="10">
        <v>600000</v>
      </c>
      <c r="H573" s="10">
        <f t="shared" si="33"/>
        <v>1800000</v>
      </c>
    </row>
    <row r="574" spans="1:8" s="2" customFormat="1" ht="24" customHeight="1">
      <c r="A574" s="4">
        <v>573</v>
      </c>
      <c r="B574" s="4" t="str">
        <f>"1200000598"</f>
        <v>1200000598</v>
      </c>
      <c r="C574" s="5" t="str">
        <f>"اتو پلي اتيلن  200"</f>
        <v>اتو پلي اتيلن  200</v>
      </c>
      <c r="D574" s="4" t="str">
        <f>"2280422--T03HDA"</f>
        <v>2280422--T03HDA</v>
      </c>
      <c r="E574" s="4" t="str">
        <f t="shared" si="36"/>
        <v>دستگاه</v>
      </c>
      <c r="F574" s="4">
        <v>1</v>
      </c>
      <c r="G574" s="10">
        <v>7500000</v>
      </c>
      <c r="H574" s="10">
        <f t="shared" si="33"/>
        <v>7500000</v>
      </c>
    </row>
    <row r="575" spans="1:8" s="2" customFormat="1" ht="24" customHeight="1">
      <c r="A575" s="4">
        <v>574</v>
      </c>
      <c r="B575" s="4" t="str">
        <f>"1200000599"</f>
        <v>1200000599</v>
      </c>
      <c r="C575" s="5" t="str">
        <f>"رنده برقي 8اينچ"</f>
        <v>رنده برقي 8اينچ</v>
      </c>
      <c r="D575" s="4" t="str">
        <f>"8 اينچ"</f>
        <v>8 اينچ</v>
      </c>
      <c r="E575" s="4" t="str">
        <f t="shared" si="36"/>
        <v>دستگاه</v>
      </c>
      <c r="F575" s="4">
        <v>1</v>
      </c>
      <c r="G575" s="10">
        <v>4000000</v>
      </c>
      <c r="H575" s="10">
        <f t="shared" si="33"/>
        <v>4000000</v>
      </c>
    </row>
    <row r="576" spans="1:8" s="2" customFormat="1" ht="24" customHeight="1">
      <c r="A576" s="4">
        <v>575</v>
      </c>
      <c r="B576" s="4" t="str">
        <f>"1200000600"</f>
        <v>1200000600</v>
      </c>
      <c r="C576" s="5" t="str">
        <f>"رنده  برقي 6 اينچ"</f>
        <v>رنده  برقي 6 اينچ</v>
      </c>
      <c r="D576" s="4" t="str">
        <f>"6 اينچ"</f>
        <v>6 اينچ</v>
      </c>
      <c r="E576" s="4" t="str">
        <f t="shared" si="36"/>
        <v>دستگاه</v>
      </c>
      <c r="F576" s="4">
        <v>1</v>
      </c>
      <c r="G576" s="10">
        <v>3000000</v>
      </c>
      <c r="H576" s="10">
        <f t="shared" si="33"/>
        <v>3000000</v>
      </c>
    </row>
    <row r="577" spans="1:8" s="2" customFormat="1" ht="24" customHeight="1">
      <c r="A577" s="6">
        <v>576</v>
      </c>
      <c r="B577" s="4" t="str">
        <f>"1200000601"</f>
        <v>1200000601</v>
      </c>
      <c r="C577" s="5" t="str">
        <f>"جارو برقي صنعتي"</f>
        <v>جارو برقي صنعتي</v>
      </c>
      <c r="D577" s="4" t="str">
        <f>"2400W--آنا"</f>
        <v>2400W--آنا</v>
      </c>
      <c r="E577" s="4" t="str">
        <f t="shared" si="36"/>
        <v>دستگاه</v>
      </c>
      <c r="F577" s="4">
        <v>2</v>
      </c>
      <c r="G577" s="10">
        <v>6500000</v>
      </c>
      <c r="H577" s="10">
        <f t="shared" si="33"/>
        <v>13000000</v>
      </c>
    </row>
    <row r="578" spans="1:8" s="2" customFormat="1" ht="24" customHeight="1">
      <c r="A578" s="4">
        <v>577</v>
      </c>
      <c r="B578" s="4" t="str">
        <f>"1200000603"</f>
        <v>1200000603</v>
      </c>
      <c r="C578" s="5" t="str">
        <f>"سيم سيار چرخدار تک فاز"</f>
        <v>سيم سيار چرخدار تک فاز</v>
      </c>
      <c r="D578" s="4" t="str">
        <f>"100M -"</f>
        <v>100M -</v>
      </c>
      <c r="E578" s="4" t="str">
        <f>"عدد"</f>
        <v>عدد</v>
      </c>
      <c r="F578" s="4">
        <v>2</v>
      </c>
      <c r="G578" s="10">
        <v>3300000</v>
      </c>
      <c r="H578" s="10">
        <f t="shared" si="33"/>
        <v>6600000</v>
      </c>
    </row>
    <row r="579" spans="1:8" s="2" customFormat="1" ht="24" customHeight="1">
      <c r="A579" s="4">
        <v>578</v>
      </c>
      <c r="B579" s="4" t="str">
        <f>"1200000604"</f>
        <v>1200000604</v>
      </c>
      <c r="C579" s="5" t="str">
        <f>"دستگاه جوش پلي اتيلن200"</f>
        <v>دستگاه جوش پلي اتيلن200</v>
      </c>
      <c r="D579" s="4" t="str">
        <f>"11674-200--RPTHN GRAN"</f>
        <v>11674-200--RPTHN GRAN</v>
      </c>
      <c r="E579" s="4" t="str">
        <f t="shared" ref="E579:E585" si="37">"دستگاه"</f>
        <v>دستگاه</v>
      </c>
      <c r="F579" s="4">
        <v>1</v>
      </c>
      <c r="G579" s="10">
        <v>7500000</v>
      </c>
      <c r="H579" s="10">
        <f t="shared" si="33"/>
        <v>7500000</v>
      </c>
    </row>
    <row r="580" spans="1:8" s="2" customFormat="1" ht="24" customHeight="1">
      <c r="A580" s="4">
        <v>579</v>
      </c>
      <c r="B580" s="4" t="str">
        <f>"1200000605"</f>
        <v>1200000605</v>
      </c>
      <c r="C580" s="5" t="str">
        <f>"دستگاه جوش پلي اتيلن400"</f>
        <v>دستگاه جوش پلي اتيلن400</v>
      </c>
      <c r="D580" s="4" t="str">
        <f>"11675-400--rothn gran"</f>
        <v>11675-400--rothn gran</v>
      </c>
      <c r="E580" s="4" t="str">
        <f t="shared" si="37"/>
        <v>دستگاه</v>
      </c>
      <c r="F580" s="4">
        <v>1</v>
      </c>
      <c r="G580" s="10">
        <v>9000000</v>
      </c>
      <c r="H580" s="10">
        <f t="shared" si="33"/>
        <v>9000000</v>
      </c>
    </row>
    <row r="581" spans="1:8" s="2" customFormat="1" ht="24" customHeight="1">
      <c r="A581" s="6">
        <v>580</v>
      </c>
      <c r="B581" s="4" t="str">
        <f>"1200000606"</f>
        <v>1200000606</v>
      </c>
      <c r="C581" s="5" t="str">
        <f>"دريل بزرگ چکشي  پيکور dewalt"</f>
        <v>دريل بزرگ چکشي  پيکور dewalt</v>
      </c>
      <c r="D581" s="4" t="str">
        <f>"D25899-QS--dewalt"</f>
        <v>D25899-QS--dewalt</v>
      </c>
      <c r="E581" s="4" t="str">
        <f t="shared" si="37"/>
        <v>دستگاه</v>
      </c>
      <c r="F581" s="4">
        <v>1</v>
      </c>
      <c r="G581" s="10">
        <v>60000000</v>
      </c>
      <c r="H581" s="10">
        <f t="shared" ref="H581:H644" si="38">F581*G581</f>
        <v>60000000</v>
      </c>
    </row>
    <row r="582" spans="1:8" s="2" customFormat="1" ht="24" customHeight="1">
      <c r="A582" s="4">
        <v>581</v>
      </c>
      <c r="B582" s="4" t="str">
        <f>"1200000607"</f>
        <v>1200000607</v>
      </c>
      <c r="C582" s="5" t="str">
        <f>"دستگاه لپنيگ KVS 369/300"</f>
        <v>دستگاه لپنيگ KVS 369/300</v>
      </c>
      <c r="D582" s="4" t="str">
        <f>"UNIGRIND- متعلقات49قلم شامل صفحه لپينگ-دريل -پيچ و صفحه محورنگهدانده"</f>
        <v>UNIGRIND- متعلقات49قلم شامل صفحه لپينگ-دريل -پيچ و صفحه محورنگهدانده</v>
      </c>
      <c r="E582" s="4" t="str">
        <f t="shared" si="37"/>
        <v>دستگاه</v>
      </c>
      <c r="F582" s="4">
        <v>2</v>
      </c>
      <c r="G582" s="36">
        <v>560000000</v>
      </c>
      <c r="H582" s="36">
        <f t="shared" si="38"/>
        <v>1120000000</v>
      </c>
    </row>
    <row r="583" spans="1:8" s="2" customFormat="1" ht="24" customHeight="1">
      <c r="A583" s="4">
        <v>582</v>
      </c>
      <c r="B583" s="4" t="str">
        <f>"1200000608"</f>
        <v>1200000608</v>
      </c>
      <c r="C583" s="5" t="str">
        <f>"دستگاه لپنيگ SLIM 600 بامتعلقات"</f>
        <v>دستگاه لپنيگ SLIM 600 بامتعلقات</v>
      </c>
      <c r="D583" s="4" t="str">
        <f>"UNIRGRIND-متعلقات شامل تلسکوپي-دريل-چراغ قوه صفحه هاي لپينگ-گيره دستي-گيره و صفحه گيره"</f>
        <v>UNIRGRIND-متعلقات شامل تلسکوپي-دريل-چراغ قوه صفحه هاي لپينگ-گيره دستي-گيره و صفحه گيره</v>
      </c>
      <c r="E583" s="4" t="str">
        <f t="shared" si="37"/>
        <v>دستگاه</v>
      </c>
      <c r="F583" s="4">
        <v>3</v>
      </c>
      <c r="G583" s="36">
        <v>1060000000</v>
      </c>
      <c r="H583" s="36">
        <f t="shared" si="38"/>
        <v>3180000000</v>
      </c>
    </row>
    <row r="584" spans="1:8" s="2" customFormat="1" ht="24" customHeight="1">
      <c r="A584" s="4">
        <v>583</v>
      </c>
      <c r="B584" s="4" t="str">
        <f>"1200000609"</f>
        <v>1200000609</v>
      </c>
      <c r="C584" s="5" t="str">
        <f>"دستگاه لپنيگ SLIM1000 با متعلقات"</f>
        <v>دستگاه لپنيگ SLIM1000 با متعلقات</v>
      </c>
      <c r="D584" s="4" t="str">
        <f>"UNIRGRINDمتعلقات شامل تلسکوپي-گيره-صفحه هاي لپينگ-گيره دستي"</f>
        <v>UNIRGRINDمتعلقات شامل تلسکوپي-گيره-صفحه هاي لپينگ-گيره دستي</v>
      </c>
      <c r="E584" s="4" t="str">
        <f t="shared" si="37"/>
        <v>دستگاه</v>
      </c>
      <c r="F584" s="4">
        <v>1</v>
      </c>
      <c r="G584" s="36">
        <v>1980000000</v>
      </c>
      <c r="H584" s="36">
        <f t="shared" si="38"/>
        <v>1980000000</v>
      </c>
    </row>
    <row r="585" spans="1:8" s="2" customFormat="1" ht="24" customHeight="1">
      <c r="A585" s="6">
        <v>584</v>
      </c>
      <c r="B585" s="4" t="str">
        <f>"1200000611"</f>
        <v>1200000611</v>
      </c>
      <c r="C585" s="5" t="str">
        <f>"ترازوي ديجيتال 5تني"</f>
        <v>ترازوي ديجيتال 5تني</v>
      </c>
      <c r="D585" s="4" t="str">
        <f>"5000 KG--ANYLAND"</f>
        <v>5000 KG--ANYLAND</v>
      </c>
      <c r="E585" s="4" t="str">
        <f t="shared" si="37"/>
        <v>دستگاه</v>
      </c>
      <c r="F585" s="4">
        <v>1</v>
      </c>
      <c r="G585" s="10">
        <v>50000000</v>
      </c>
      <c r="H585" s="10">
        <f t="shared" si="38"/>
        <v>50000000</v>
      </c>
    </row>
    <row r="586" spans="1:8" s="2" customFormat="1" ht="24" customHeight="1">
      <c r="A586" s="4">
        <v>585</v>
      </c>
      <c r="B586" s="4" t="str">
        <f>"1200000612"</f>
        <v>1200000612</v>
      </c>
      <c r="C586" s="5" t="str">
        <f>"اتو پلي اتيلن 400"</f>
        <v>اتو پلي اتيلن 400</v>
      </c>
      <c r="D586" s="4" t="str">
        <f>"CR -90L4B"</f>
        <v>CR -90L4B</v>
      </c>
      <c r="E586" s="4" t="str">
        <f>"عدد"</f>
        <v>عدد</v>
      </c>
      <c r="F586" s="4">
        <v>1</v>
      </c>
      <c r="G586" s="10">
        <v>9000000</v>
      </c>
      <c r="H586" s="10">
        <f t="shared" si="38"/>
        <v>9000000</v>
      </c>
    </row>
    <row r="587" spans="1:8" s="2" customFormat="1" ht="24" customHeight="1">
      <c r="A587" s="4">
        <v>586</v>
      </c>
      <c r="B587" s="4" t="str">
        <f>"1200000613"</f>
        <v>1200000613</v>
      </c>
      <c r="C587" s="5" t="str">
        <f>"جيم پلاگ 1.5تن"</f>
        <v>جيم پلاگ 1.5تن</v>
      </c>
      <c r="D587" s="4" t="str">
        <f>"1.5  ton--vetal ozaka"</f>
        <v>1.5  ton--vetal ozaka</v>
      </c>
      <c r="E587" s="4" t="str">
        <f>"عدد"</f>
        <v>عدد</v>
      </c>
      <c r="F587" s="4">
        <v>2</v>
      </c>
      <c r="G587" s="10">
        <v>3000000</v>
      </c>
      <c r="H587" s="10">
        <f t="shared" si="38"/>
        <v>6000000</v>
      </c>
    </row>
    <row r="588" spans="1:8" s="2" customFormat="1" ht="24" customHeight="1">
      <c r="A588" s="4">
        <v>587</v>
      </c>
      <c r="B588" s="4" t="str">
        <f>"1200000614"</f>
        <v>1200000614</v>
      </c>
      <c r="C588" s="5" t="str">
        <f>"آچار آلن شماره 7"</f>
        <v>آچار آلن شماره 7</v>
      </c>
      <c r="D588" s="4" t="str">
        <f>"EIGHIT"</f>
        <v>EIGHIT</v>
      </c>
      <c r="E588" s="4" t="str">
        <f>"عدد"</f>
        <v>عدد</v>
      </c>
      <c r="F588" s="4">
        <v>3</v>
      </c>
      <c r="G588" s="10">
        <v>80000</v>
      </c>
      <c r="H588" s="10">
        <f t="shared" si="38"/>
        <v>240000</v>
      </c>
    </row>
    <row r="589" spans="1:8" s="2" customFormat="1" ht="24" customHeight="1">
      <c r="A589" s="6">
        <v>588</v>
      </c>
      <c r="B589" s="4" t="str">
        <f>"1200000615"</f>
        <v>1200000615</v>
      </c>
      <c r="C589" s="5" t="str">
        <f>"ترازوي ديجيتال 7كيليويي"</f>
        <v>ترازوي ديجيتال 7كيليويي</v>
      </c>
      <c r="D589" s="4" t="str">
        <f>"7000 gr 7 کيلويي--sf 400"</f>
        <v>7000 gr 7 کيلويي--sf 400</v>
      </c>
      <c r="E589" s="4" t="str">
        <f>"دستگاه"</f>
        <v>دستگاه</v>
      </c>
      <c r="F589" s="4">
        <v>1</v>
      </c>
      <c r="G589" s="10">
        <v>1500000</v>
      </c>
      <c r="H589" s="10">
        <f t="shared" si="38"/>
        <v>1500000</v>
      </c>
    </row>
    <row r="590" spans="1:8" s="2" customFormat="1" ht="24" customHeight="1">
      <c r="A590" s="4">
        <v>589</v>
      </c>
      <c r="B590" s="4" t="str">
        <f>"1200000616"</f>
        <v>1200000616</v>
      </c>
      <c r="C590" s="5" t="str">
        <f>"آچار آلن اينچي 1/4"</f>
        <v>آچار آلن اينچي 1/4</v>
      </c>
      <c r="D590" s="4" t="str">
        <f>"1/4 اينچ"</f>
        <v>1/4 اينچ</v>
      </c>
      <c r="E590" s="4" t="str">
        <f>"عدد"</f>
        <v>عدد</v>
      </c>
      <c r="F590" s="4">
        <v>1</v>
      </c>
      <c r="G590" s="10">
        <v>75000</v>
      </c>
      <c r="H590" s="10">
        <f t="shared" si="38"/>
        <v>75000</v>
      </c>
    </row>
    <row r="591" spans="1:8" s="2" customFormat="1" ht="24" customHeight="1">
      <c r="A591" s="4">
        <v>590</v>
      </c>
      <c r="B591" s="4" t="str">
        <f>"1200000617"</f>
        <v>1200000617</v>
      </c>
      <c r="C591" s="5" t="str">
        <f>"دسته حديده M12-M16"</f>
        <v>دسته حديده M12-M16</v>
      </c>
      <c r="D591" s="4" t="str">
        <f>"M12 - M16"</f>
        <v>M12 - M16</v>
      </c>
      <c r="E591" s="4" t="str">
        <f>"عدد"</f>
        <v>عدد</v>
      </c>
      <c r="F591" s="4">
        <v>16</v>
      </c>
      <c r="G591" s="10">
        <v>1200000</v>
      </c>
      <c r="H591" s="10">
        <f t="shared" si="38"/>
        <v>19200000</v>
      </c>
    </row>
    <row r="592" spans="1:8" s="2" customFormat="1" ht="24" customHeight="1">
      <c r="A592" s="4">
        <v>591</v>
      </c>
      <c r="B592" s="4" t="str">
        <f>"1200000618"</f>
        <v>1200000618</v>
      </c>
      <c r="C592" s="5" t="str">
        <f>"جيم بلاگ دستي(تيفور) 1.5تن"</f>
        <v>جيم بلاگ دستي(تيفور) 1.5تن</v>
      </c>
      <c r="D592" s="4" t="str">
        <f>"1.5 ton--vetal ozaka"</f>
        <v>1.5 ton--vetal ozaka</v>
      </c>
      <c r="E592" s="4" t="str">
        <f>"عدد"</f>
        <v>عدد</v>
      </c>
      <c r="F592" s="4">
        <v>1</v>
      </c>
      <c r="G592" s="10">
        <v>3500000</v>
      </c>
      <c r="H592" s="10">
        <f t="shared" si="38"/>
        <v>3500000</v>
      </c>
    </row>
    <row r="593" spans="1:8" s="2" customFormat="1" ht="24" customHeight="1">
      <c r="A593" s="6">
        <v>592</v>
      </c>
      <c r="B593" s="4" t="str">
        <f>"1200000619"</f>
        <v>1200000619</v>
      </c>
      <c r="C593" s="5" t="str">
        <f>"جيم بلاگ دستي(تيفور)6 تن"</f>
        <v>جيم بلاگ دستي(تيفور)6 تن</v>
      </c>
      <c r="D593" s="4" t="str">
        <f>"6  ton--vetal ozaka"</f>
        <v>6  ton--vetal ozaka</v>
      </c>
      <c r="E593" s="4" t="str">
        <f>"عدد"</f>
        <v>عدد</v>
      </c>
      <c r="F593" s="4">
        <v>1</v>
      </c>
      <c r="G593" s="10">
        <v>7500000</v>
      </c>
      <c r="H593" s="10">
        <f t="shared" si="38"/>
        <v>7500000</v>
      </c>
    </row>
    <row r="594" spans="1:8" s="2" customFormat="1" ht="24" customHeight="1">
      <c r="A594" s="4">
        <v>593</v>
      </c>
      <c r="B594" s="4" t="str">
        <f>"1200000620"</f>
        <v>1200000620</v>
      </c>
      <c r="C594" s="5" t="str">
        <f>"دستگاه لپنيگ SLIM 300"</f>
        <v>دستگاه لپنيگ SLIM 300</v>
      </c>
      <c r="D594" s="4" t="str">
        <f>"SLIM 300--uni grind"</f>
        <v>SLIM 300--uni grind</v>
      </c>
      <c r="E594" s="4" t="str">
        <f t="shared" ref="E594:E600" si="39">"دستگاه"</f>
        <v>دستگاه</v>
      </c>
      <c r="F594" s="4">
        <v>1</v>
      </c>
      <c r="G594" s="36">
        <v>800000000</v>
      </c>
      <c r="H594" s="36">
        <f t="shared" si="38"/>
        <v>800000000</v>
      </c>
    </row>
    <row r="595" spans="1:8" s="2" customFormat="1" ht="24" customHeight="1">
      <c r="A595" s="4">
        <v>594</v>
      </c>
      <c r="B595" s="4" t="str">
        <f>"1200000621"</f>
        <v>1200000621</v>
      </c>
      <c r="C595" s="5" t="str">
        <f>"قلم پانچ واشربر 24 ميليمتر15/16 اينچ"</f>
        <v>قلم پانچ واشربر 24 ميليمتر15/16 اينچ</v>
      </c>
      <c r="D595" s="4" t="str">
        <f>"VBW -GERMANY"</f>
        <v>VBW -GERMANY</v>
      </c>
      <c r="E595" s="4" t="str">
        <f t="shared" si="39"/>
        <v>دستگاه</v>
      </c>
      <c r="F595" s="4">
        <v>3</v>
      </c>
      <c r="G595" s="10">
        <v>350000</v>
      </c>
      <c r="H595" s="10">
        <f t="shared" si="38"/>
        <v>1050000</v>
      </c>
    </row>
    <row r="596" spans="1:8" s="2" customFormat="1" ht="24" customHeight="1">
      <c r="A596" s="4">
        <v>595</v>
      </c>
      <c r="B596" s="4" t="str">
        <f>"1200000622"</f>
        <v>1200000622</v>
      </c>
      <c r="C596" s="5" t="str">
        <f>"جک مكانيكي عمودي 2تني (هندلي)"</f>
        <v>جک مكانيكي عمودي 2تني (هندلي)</v>
      </c>
      <c r="D596" s="4" t="str">
        <f>"2000 kg--osaka"</f>
        <v>2000 kg--osaka</v>
      </c>
      <c r="E596" s="4" t="str">
        <f t="shared" si="39"/>
        <v>دستگاه</v>
      </c>
      <c r="F596" s="4">
        <v>2</v>
      </c>
      <c r="G596" s="10">
        <v>1100000</v>
      </c>
      <c r="H596" s="10">
        <f t="shared" si="38"/>
        <v>2200000</v>
      </c>
    </row>
    <row r="597" spans="1:8" s="2" customFormat="1" ht="24" customHeight="1">
      <c r="A597" s="6">
        <v>596</v>
      </c>
      <c r="B597" s="4" t="str">
        <f>"1200000623"</f>
        <v>1200000623</v>
      </c>
      <c r="C597" s="5" t="str">
        <f>"جک مكانيكي عمودي 1.5 تني(هندلي)"</f>
        <v>جک مكانيكي عمودي 1.5 تني(هندلي)</v>
      </c>
      <c r="D597" s="4" t="str">
        <f>"1.5 ton--osaka"</f>
        <v>1.5 ton--osaka</v>
      </c>
      <c r="E597" s="4" t="str">
        <f t="shared" si="39"/>
        <v>دستگاه</v>
      </c>
      <c r="F597" s="4">
        <v>1</v>
      </c>
      <c r="G597" s="10">
        <v>900000</v>
      </c>
      <c r="H597" s="10">
        <f t="shared" si="38"/>
        <v>900000</v>
      </c>
    </row>
    <row r="598" spans="1:8" s="2" customFormat="1" ht="24" customHeight="1">
      <c r="A598" s="4">
        <v>597</v>
      </c>
      <c r="B598" s="4" t="str">
        <f>"1200000625"</f>
        <v>1200000625</v>
      </c>
      <c r="C598" s="5" t="str">
        <f>"الکترو  موتور گيربكس"</f>
        <v>الکترو  موتور گيربكس</v>
      </c>
      <c r="D598" s="4" t="str">
        <f>" EURO-DRIVE-SN 0151448922-SEW -RF-47DT80N4"</f>
        <v xml:space="preserve"> EURO-DRIVE-SN 0151448922-SEW -RF-47DT80N4</v>
      </c>
      <c r="E598" s="4" t="str">
        <f t="shared" si="39"/>
        <v>دستگاه</v>
      </c>
      <c r="F598" s="4">
        <v>1</v>
      </c>
      <c r="G598" s="10">
        <v>9000000</v>
      </c>
      <c r="H598" s="10">
        <f t="shared" si="38"/>
        <v>9000000</v>
      </c>
    </row>
    <row r="599" spans="1:8" s="2" customFormat="1" ht="24" customHeight="1">
      <c r="A599" s="4">
        <v>598</v>
      </c>
      <c r="B599" s="4" t="str">
        <f>"1200000626"</f>
        <v>1200000626</v>
      </c>
      <c r="C599" s="5" t="str">
        <f>"ترازوي ديجيتال صفحه اي"</f>
        <v>ترازوي ديجيتال صفحه اي</v>
      </c>
      <c r="D599" s="4" t="str">
        <f>"982-10a  110 kg--accu charge"</f>
        <v>982-10a  110 kg--accu charge</v>
      </c>
      <c r="E599" s="4" t="str">
        <f t="shared" si="39"/>
        <v>دستگاه</v>
      </c>
      <c r="F599" s="4">
        <v>1</v>
      </c>
      <c r="G599" s="10">
        <v>5000000</v>
      </c>
      <c r="H599" s="10">
        <f t="shared" si="38"/>
        <v>5000000</v>
      </c>
    </row>
    <row r="600" spans="1:8" s="2" customFormat="1" ht="24" customHeight="1">
      <c r="A600" s="4">
        <v>599</v>
      </c>
      <c r="B600" s="4" t="str">
        <f>"1200000627"</f>
        <v>1200000627</v>
      </c>
      <c r="C600" s="5" t="str">
        <f>"آي بلت M36"</f>
        <v>آي بلت M36</v>
      </c>
      <c r="D600" s="4" t="str">
        <f>"M 36"</f>
        <v>M 36</v>
      </c>
      <c r="E600" s="4" t="str">
        <f t="shared" si="39"/>
        <v>دستگاه</v>
      </c>
      <c r="F600" s="4">
        <v>19</v>
      </c>
      <c r="G600" s="10">
        <v>850000</v>
      </c>
      <c r="H600" s="10">
        <f t="shared" si="38"/>
        <v>16150000</v>
      </c>
    </row>
    <row r="601" spans="1:8" s="2" customFormat="1" ht="24" customHeight="1">
      <c r="A601" s="6">
        <v>600</v>
      </c>
      <c r="B601" s="4" t="str">
        <f>"1200000628"</f>
        <v>1200000628</v>
      </c>
      <c r="C601" s="5" t="str">
        <f>"پانچ حروف انگليسي 4ميليمتر"</f>
        <v>پانچ حروف انگليسي 4ميليمتر</v>
      </c>
      <c r="D601" s="4" t="str">
        <f>""</f>
        <v/>
      </c>
      <c r="E601" s="4" t="str">
        <f>"ست"</f>
        <v>ست</v>
      </c>
      <c r="F601" s="4">
        <v>1</v>
      </c>
      <c r="G601" s="10">
        <v>600000</v>
      </c>
      <c r="H601" s="10">
        <f t="shared" si="38"/>
        <v>600000</v>
      </c>
    </row>
    <row r="602" spans="1:8" s="2" customFormat="1" ht="24" customHeight="1">
      <c r="A602" s="4">
        <v>601</v>
      </c>
      <c r="B602" s="4" t="str">
        <f>"1200000631"</f>
        <v>1200000631</v>
      </c>
      <c r="C602" s="5" t="str">
        <f>"هلدپانچ 3mm - 30mm و3mm - 40mm"</f>
        <v>هلدپانچ 3mm - 30mm و3mm - 40mm</v>
      </c>
      <c r="D602" s="4" t="str">
        <f>"3MM-40MM - 3MM -30MM"</f>
        <v>3MM-40MM - 3MM -30MM</v>
      </c>
      <c r="E602" s="4" t="str">
        <f>"ست"</f>
        <v>ست</v>
      </c>
      <c r="F602" s="4">
        <v>2</v>
      </c>
      <c r="G602" s="10">
        <v>650000</v>
      </c>
      <c r="H602" s="10">
        <f t="shared" si="38"/>
        <v>1300000</v>
      </c>
    </row>
    <row r="603" spans="1:8" s="2" customFormat="1" ht="24" customHeight="1">
      <c r="A603" s="4">
        <v>602</v>
      </c>
      <c r="B603" s="4" t="str">
        <f>"1200000632"</f>
        <v>1200000632</v>
      </c>
      <c r="C603" s="5" t="str">
        <f>"جعبه هلد پانچ 2MM -50MM"</f>
        <v>جعبه هلد پانچ 2MM -50MM</v>
      </c>
      <c r="D603" s="4" t="str">
        <f>"2MM-50MM"</f>
        <v>2MM-50MM</v>
      </c>
      <c r="E603" s="4" t="str">
        <f>"ست"</f>
        <v>ست</v>
      </c>
      <c r="F603" s="4">
        <v>3</v>
      </c>
      <c r="G603" s="10">
        <v>7500000</v>
      </c>
      <c r="H603" s="10">
        <f t="shared" si="38"/>
        <v>22500000</v>
      </c>
    </row>
    <row r="604" spans="1:8" s="2" customFormat="1" ht="24" customHeight="1">
      <c r="A604" s="4">
        <v>603</v>
      </c>
      <c r="B604" s="4" t="str">
        <f>"1200000633"</f>
        <v>1200000633</v>
      </c>
      <c r="C604" s="5" t="str">
        <f>"پانچ حروف انگليسي 3ميليمتر"</f>
        <v>پانچ حروف انگليسي 3ميليمتر</v>
      </c>
      <c r="D604" s="4" t="str">
        <f>""</f>
        <v/>
      </c>
      <c r="E604" s="4" t="str">
        <f>"ست"</f>
        <v>ست</v>
      </c>
      <c r="F604" s="4">
        <v>1</v>
      </c>
      <c r="G604" s="10">
        <v>500000</v>
      </c>
      <c r="H604" s="10">
        <f t="shared" si="38"/>
        <v>500000</v>
      </c>
    </row>
    <row r="605" spans="1:8" s="2" customFormat="1" ht="24" customHeight="1">
      <c r="A605" s="6">
        <v>604</v>
      </c>
      <c r="B605" s="4" t="str">
        <f>"1200000634"</f>
        <v>1200000634</v>
      </c>
      <c r="C605" s="5" t="str">
        <f>"پانچ واشربر 85ميلي متر"</f>
        <v>پانچ واشربر 85ميلي متر</v>
      </c>
      <c r="D605" s="4" t="str">
        <f>"85ميليمتر"</f>
        <v>85ميليمتر</v>
      </c>
      <c r="E605" s="4" t="str">
        <f t="shared" ref="E605:E613" si="40">"دستگاه"</f>
        <v>دستگاه</v>
      </c>
      <c r="F605" s="4">
        <v>1</v>
      </c>
      <c r="G605" s="10">
        <v>650000</v>
      </c>
      <c r="H605" s="10">
        <f t="shared" si="38"/>
        <v>650000</v>
      </c>
    </row>
    <row r="606" spans="1:8" s="2" customFormat="1" ht="24" customHeight="1">
      <c r="A606" s="4">
        <v>605</v>
      </c>
      <c r="B606" s="4" t="str">
        <f>"1200000635"</f>
        <v>1200000635</v>
      </c>
      <c r="C606" s="5" t="str">
        <f>"گرم کن القايي 230 وات EQSYTHERM 1"</f>
        <v>گرم کن القايي 230 وات EQSYTHERM 1</v>
      </c>
      <c r="D606" s="4" t="str">
        <f>"EQSYTHERM1 01500013 -01500012"</f>
        <v>EQSYTHERM1 01500013 -01500012</v>
      </c>
      <c r="E606" s="4" t="str">
        <f t="shared" si="40"/>
        <v>دستگاه</v>
      </c>
      <c r="F606" s="4">
        <v>2</v>
      </c>
      <c r="G606" s="10">
        <v>115000000</v>
      </c>
      <c r="H606" s="10">
        <f t="shared" si="38"/>
        <v>230000000</v>
      </c>
    </row>
    <row r="607" spans="1:8" s="2" customFormat="1" ht="24" customHeight="1">
      <c r="A607" s="4">
        <v>606</v>
      </c>
      <c r="B607" s="4" t="str">
        <f>"1200000636"</f>
        <v>1200000636</v>
      </c>
      <c r="C607" s="5" t="str">
        <f>"دسته قلاويز كوچك M1-M12"</f>
        <v>دسته قلاويز كوچك M1-M12</v>
      </c>
      <c r="D607" s="4" t="str">
        <f>"M1 - M12  ---- 1/16 - 1/2"</f>
        <v>M1 - M12  ---- 1/16 - 1/2</v>
      </c>
      <c r="E607" s="4" t="str">
        <f t="shared" si="40"/>
        <v>دستگاه</v>
      </c>
      <c r="F607" s="4">
        <v>23</v>
      </c>
      <c r="G607" s="10">
        <v>450000</v>
      </c>
      <c r="H607" s="10">
        <f t="shared" si="38"/>
        <v>10350000</v>
      </c>
    </row>
    <row r="608" spans="1:8" s="2" customFormat="1" ht="24" customHeight="1">
      <c r="A608" s="4">
        <v>607</v>
      </c>
      <c r="B608" s="4" t="str">
        <f>"1200000637"</f>
        <v>1200000637</v>
      </c>
      <c r="C608" s="5" t="str">
        <f>"سنگ سمباده زن (نارنجي)"</f>
        <v>سنگ سمباده زن (نارنجي)</v>
      </c>
      <c r="D608" s="4" t="str">
        <f>"بدون كد - نارنجي"</f>
        <v>بدون كد - نارنجي</v>
      </c>
      <c r="E608" s="4" t="str">
        <f t="shared" si="40"/>
        <v>دستگاه</v>
      </c>
      <c r="F608" s="4">
        <v>1</v>
      </c>
      <c r="G608" s="10">
        <v>2500000</v>
      </c>
      <c r="H608" s="10">
        <f t="shared" si="38"/>
        <v>2500000</v>
      </c>
    </row>
    <row r="609" spans="1:8" s="2" customFormat="1" ht="24" customHeight="1">
      <c r="A609" s="6">
        <v>608</v>
      </c>
      <c r="B609" s="4" t="str">
        <f>"1200000638"</f>
        <v>1200000638</v>
      </c>
      <c r="C609" s="5" t="str">
        <f>"گرم کن القايي230 وات EQSYTHERM 2"</f>
        <v>گرم کن القايي230 وات EQSYTHERM 2</v>
      </c>
      <c r="D609" s="4" t="str">
        <f>"EQSYTHERM2 015000007 -01400811"</f>
        <v>EQSYTHERM2 015000007 -01400811</v>
      </c>
      <c r="E609" s="4" t="str">
        <f t="shared" si="40"/>
        <v>دستگاه</v>
      </c>
      <c r="F609" s="4">
        <v>2</v>
      </c>
      <c r="G609" s="10">
        <v>165000000</v>
      </c>
      <c r="H609" s="10">
        <f t="shared" si="38"/>
        <v>330000000</v>
      </c>
    </row>
    <row r="610" spans="1:8" s="2" customFormat="1" ht="24" customHeight="1">
      <c r="A610" s="4">
        <v>609</v>
      </c>
      <c r="B610" s="4" t="str">
        <f>"1200000640"</f>
        <v>1200000640</v>
      </c>
      <c r="C610" s="5" t="str">
        <f>"پانچ واشربر 80ميليمتر"</f>
        <v>پانچ واشربر 80ميليمتر</v>
      </c>
      <c r="D610" s="4" t="str">
        <f>"80ميليمتر"</f>
        <v>80ميليمتر</v>
      </c>
      <c r="E610" s="4" t="str">
        <f t="shared" si="40"/>
        <v>دستگاه</v>
      </c>
      <c r="F610" s="4">
        <v>1</v>
      </c>
      <c r="G610" s="10">
        <v>900000</v>
      </c>
      <c r="H610" s="10">
        <f t="shared" si="38"/>
        <v>900000</v>
      </c>
    </row>
    <row r="611" spans="1:8" s="2" customFormat="1" ht="24" customHeight="1">
      <c r="A611" s="4">
        <v>610</v>
      </c>
      <c r="B611" s="4" t="str">
        <f>"1200000830"</f>
        <v>1200000830</v>
      </c>
      <c r="C611" s="5" t="str">
        <f>"آچار گيربكس دارمتوسط درايو 3/4 مدل 5203"</f>
        <v>آچار گيربكس دارمتوسط درايو 3/4 مدل 5203</v>
      </c>
      <c r="D611" s="4" t="str">
        <f>"تيپ XVR -A8900- دسته جغجغه -دسته -آچار هزار خار"</f>
        <v>تيپ XVR -A8900- دسته جغجغه -دسته -آچار هزار خار</v>
      </c>
      <c r="E611" s="4" t="str">
        <f t="shared" si="40"/>
        <v>دستگاه</v>
      </c>
      <c r="F611" s="4">
        <v>2</v>
      </c>
      <c r="G611" s="10">
        <v>5000000</v>
      </c>
      <c r="H611" s="10">
        <f t="shared" si="38"/>
        <v>10000000</v>
      </c>
    </row>
    <row r="612" spans="1:8" s="2" customFormat="1" ht="24" customHeight="1">
      <c r="A612" s="4">
        <v>611</v>
      </c>
      <c r="B612" s="4" t="str">
        <f>"1200000829"</f>
        <v>1200000829</v>
      </c>
      <c r="C612" s="5" t="str">
        <f>"تست پمپ هيدروليکي دستي25بار"</f>
        <v>تست پمپ هيدروليکي دستي25بار</v>
      </c>
      <c r="D612" s="4" t="str">
        <f>"super ego -spain--"</f>
        <v>super ego -spain--</v>
      </c>
      <c r="E612" s="4" t="str">
        <f t="shared" si="40"/>
        <v>دستگاه</v>
      </c>
      <c r="F612" s="4">
        <v>1</v>
      </c>
      <c r="G612" s="10">
        <v>14500000</v>
      </c>
      <c r="H612" s="10">
        <f t="shared" si="38"/>
        <v>14500000</v>
      </c>
    </row>
    <row r="613" spans="1:8" s="2" customFormat="1" ht="24" customHeight="1">
      <c r="A613" s="6">
        <v>612</v>
      </c>
      <c r="B613" s="4" t="str">
        <f>"1200000643"</f>
        <v>1200000643</v>
      </c>
      <c r="C613" s="5" t="str">
        <f>"سنگ فرز انگشتي بوشGGS27 L گلو بلند"</f>
        <v>سنگ فرز انگشتي بوشGGS27 L گلو بلند</v>
      </c>
      <c r="D613" s="4" t="str">
        <f>" SN : 106000523"</f>
        <v xml:space="preserve"> SN : 106000523</v>
      </c>
      <c r="E613" s="4" t="str">
        <f t="shared" si="40"/>
        <v>دستگاه</v>
      </c>
      <c r="F613" s="4">
        <v>2</v>
      </c>
      <c r="G613" s="10">
        <v>10000000</v>
      </c>
      <c r="H613" s="10">
        <f t="shared" si="38"/>
        <v>20000000</v>
      </c>
    </row>
    <row r="614" spans="1:8" s="2" customFormat="1" ht="24" customHeight="1">
      <c r="A614" s="4">
        <v>613</v>
      </c>
      <c r="B614" s="4" t="str">
        <f>"1200000644"</f>
        <v>1200000644</v>
      </c>
      <c r="C614" s="5" t="str">
        <f>"آي بلت M16"</f>
        <v>آي بلت M16</v>
      </c>
      <c r="D614" s="4" t="str">
        <f>"M16"</f>
        <v>M16</v>
      </c>
      <c r="E614" s="4" t="str">
        <f t="shared" ref="E614:E619" si="41">"عدد"</f>
        <v>عدد</v>
      </c>
      <c r="F614" s="4">
        <v>20</v>
      </c>
      <c r="G614" s="10">
        <v>150000</v>
      </c>
      <c r="H614" s="10">
        <f t="shared" si="38"/>
        <v>3000000</v>
      </c>
    </row>
    <row r="615" spans="1:8" s="2" customFormat="1" ht="24" customHeight="1">
      <c r="A615" s="4">
        <v>614</v>
      </c>
      <c r="B615" s="4" t="str">
        <f>"1200000645"</f>
        <v>1200000645</v>
      </c>
      <c r="C615" s="5" t="str">
        <f>"شگل 2تنDIN1"</f>
        <v>شگل 2تنDIN1</v>
      </c>
      <c r="D615" s="4" t="str">
        <f>"DIN.1"</f>
        <v>DIN.1</v>
      </c>
      <c r="E615" s="4" t="str">
        <f t="shared" si="41"/>
        <v>عدد</v>
      </c>
      <c r="F615" s="4">
        <v>3</v>
      </c>
      <c r="G615" s="10">
        <v>100000</v>
      </c>
      <c r="H615" s="10">
        <f t="shared" si="38"/>
        <v>300000</v>
      </c>
    </row>
    <row r="616" spans="1:8" s="2" customFormat="1" ht="24" customHeight="1">
      <c r="A616" s="4">
        <v>615</v>
      </c>
      <c r="B616" s="4" t="str">
        <f>"1200000646"</f>
        <v>1200000646</v>
      </c>
      <c r="C616" s="5" t="str">
        <f>"آي بلت M27"</f>
        <v>آي بلت M27</v>
      </c>
      <c r="D616" s="4" t="str">
        <f>"M27"</f>
        <v>M27</v>
      </c>
      <c r="E616" s="4" t="str">
        <f t="shared" si="41"/>
        <v>عدد</v>
      </c>
      <c r="F616" s="4">
        <v>5</v>
      </c>
      <c r="G616" s="10">
        <v>230000</v>
      </c>
      <c r="H616" s="10">
        <f t="shared" si="38"/>
        <v>1150000</v>
      </c>
    </row>
    <row r="617" spans="1:8" s="2" customFormat="1" ht="24" customHeight="1">
      <c r="A617" s="6">
        <v>616</v>
      </c>
      <c r="B617" s="4" t="str">
        <f>"1200000648"</f>
        <v>1200000648</v>
      </c>
      <c r="C617" s="5" t="str">
        <f>"آي بلت M42"</f>
        <v>آي بلت M42</v>
      </c>
      <c r="D617" s="4" t="str">
        <f>"M42"</f>
        <v>M42</v>
      </c>
      <c r="E617" s="4" t="str">
        <f t="shared" si="41"/>
        <v>عدد</v>
      </c>
      <c r="F617" s="4">
        <v>17</v>
      </c>
      <c r="G617" s="10">
        <v>1050000</v>
      </c>
      <c r="H617" s="10">
        <f t="shared" si="38"/>
        <v>17850000</v>
      </c>
    </row>
    <row r="618" spans="1:8" s="2" customFormat="1" ht="24" customHeight="1">
      <c r="A618" s="4">
        <v>617</v>
      </c>
      <c r="B618" s="4" t="str">
        <f>"1200000649"</f>
        <v>1200000649</v>
      </c>
      <c r="C618" s="5" t="str">
        <f>"آي بلت M20"</f>
        <v>آي بلت M20</v>
      </c>
      <c r="D618" s="4" t="str">
        <f>"M20"</f>
        <v>M20</v>
      </c>
      <c r="E618" s="4" t="str">
        <f t="shared" si="41"/>
        <v>عدد</v>
      </c>
      <c r="F618" s="4">
        <v>23</v>
      </c>
      <c r="G618" s="10">
        <v>200000</v>
      </c>
      <c r="H618" s="10">
        <f t="shared" si="38"/>
        <v>4600000</v>
      </c>
    </row>
    <row r="619" spans="1:8" s="2" customFormat="1" ht="24" customHeight="1">
      <c r="A619" s="4">
        <v>618</v>
      </c>
      <c r="B619" s="4" t="str">
        <f>"1200000650"</f>
        <v>1200000650</v>
      </c>
      <c r="C619" s="5" t="str">
        <f>"آي بلت M12"</f>
        <v>آي بلت M12</v>
      </c>
      <c r="D619" s="4" t="str">
        <f>"M12"</f>
        <v>M12</v>
      </c>
      <c r="E619" s="4" t="str">
        <f t="shared" si="41"/>
        <v>عدد</v>
      </c>
      <c r="F619" s="4">
        <v>35</v>
      </c>
      <c r="G619" s="10">
        <v>130000</v>
      </c>
      <c r="H619" s="10">
        <f t="shared" si="38"/>
        <v>4550000</v>
      </c>
    </row>
    <row r="620" spans="1:8" s="2" customFormat="1" ht="24" customHeight="1">
      <c r="A620" s="4">
        <v>619</v>
      </c>
      <c r="B620" s="4" t="str">
        <f>"1200000651"</f>
        <v>1200000651</v>
      </c>
      <c r="C620" s="5" t="str">
        <f>"آچار آلن بكس ستاره اي درايو 1/2"</f>
        <v>آچار آلن بكس ستاره اي درايو 1/2</v>
      </c>
      <c r="D620" s="4" t="str">
        <f>"T20-T60--HANS"</f>
        <v>T20-T60--HANS</v>
      </c>
      <c r="E620" s="4" t="str">
        <f>"ست"</f>
        <v>ست</v>
      </c>
      <c r="F620" s="4">
        <v>2</v>
      </c>
      <c r="G620" s="10">
        <v>600000</v>
      </c>
      <c r="H620" s="10">
        <f t="shared" si="38"/>
        <v>1200000</v>
      </c>
    </row>
    <row r="621" spans="1:8" s="2" customFormat="1" ht="24" customHeight="1">
      <c r="A621" s="6">
        <v>620</v>
      </c>
      <c r="B621" s="4" t="str">
        <f>"1200000652"</f>
        <v>1200000652</v>
      </c>
      <c r="C621" s="5" t="str">
        <f>"دريل برقي ماکيتا (دسته دار) 6301"</f>
        <v>دريل برقي ماکيتا (دسته دار) 6301</v>
      </c>
      <c r="D621" s="4" t="str">
        <f>"6301"</f>
        <v>6301</v>
      </c>
      <c r="E621" s="4" t="str">
        <f>"دستگاه"</f>
        <v>دستگاه</v>
      </c>
      <c r="F621" s="4">
        <v>2</v>
      </c>
      <c r="G621" s="10">
        <v>3500000</v>
      </c>
      <c r="H621" s="10">
        <f t="shared" si="38"/>
        <v>7000000</v>
      </c>
    </row>
    <row r="622" spans="1:8" s="2" customFormat="1" ht="24" customHeight="1">
      <c r="A622" s="4">
        <v>621</v>
      </c>
      <c r="B622" s="4" t="str">
        <f>"1200000653"</f>
        <v>1200000653</v>
      </c>
      <c r="C622" s="5" t="str">
        <f>"ترک متر 1/2 اينچ"</f>
        <v>ترک متر 1/2 اينچ</v>
      </c>
      <c r="D622" s="4" t="str">
        <f>"80-300 NM"</f>
        <v>80-300 NM</v>
      </c>
      <c r="E622" s="4" t="str">
        <f>"دستگاه"</f>
        <v>دستگاه</v>
      </c>
      <c r="F622" s="4">
        <v>1</v>
      </c>
      <c r="G622" s="10">
        <v>7000000</v>
      </c>
      <c r="H622" s="10">
        <f t="shared" si="38"/>
        <v>7000000</v>
      </c>
    </row>
    <row r="623" spans="1:8" s="2" customFormat="1" ht="24" customHeight="1">
      <c r="A623" s="4">
        <v>622</v>
      </c>
      <c r="B623" s="4" t="str">
        <f>"1200000655"</f>
        <v>1200000655</v>
      </c>
      <c r="C623" s="5" t="str">
        <f>"پانچ واشربر70MM"</f>
        <v>پانچ واشربر70MM</v>
      </c>
      <c r="D623" s="4" t="str">
        <f>"70MM"</f>
        <v>70MM</v>
      </c>
      <c r="E623" s="4" t="str">
        <f>"دستگاه"</f>
        <v>دستگاه</v>
      </c>
      <c r="F623" s="4">
        <v>1</v>
      </c>
      <c r="G623" s="10">
        <v>800000</v>
      </c>
      <c r="H623" s="10">
        <f t="shared" si="38"/>
        <v>800000</v>
      </c>
    </row>
    <row r="624" spans="1:8" s="2" customFormat="1" ht="24" customHeight="1">
      <c r="A624" s="4">
        <v>623</v>
      </c>
      <c r="B624" s="4" t="str">
        <f>"1200000656"</f>
        <v>1200000656</v>
      </c>
      <c r="C624" s="5" t="str">
        <f>"پانچ واشربر 65MM"</f>
        <v>پانچ واشربر 65MM</v>
      </c>
      <c r="D624" s="4" t="str">
        <f>"65MM"</f>
        <v>65MM</v>
      </c>
      <c r="E624" s="4" t="str">
        <f>"متر"</f>
        <v>متر</v>
      </c>
      <c r="F624" s="4">
        <v>1</v>
      </c>
      <c r="G624" s="10">
        <v>700000</v>
      </c>
      <c r="H624" s="10">
        <f t="shared" si="38"/>
        <v>700000</v>
      </c>
    </row>
    <row r="625" spans="1:8" s="2" customFormat="1" ht="24" customHeight="1">
      <c r="A625" s="6">
        <v>624</v>
      </c>
      <c r="B625" s="4" t="str">
        <f>"1200000658"</f>
        <v>1200000658</v>
      </c>
      <c r="C625" s="5" t="str">
        <f>"شگل DIN10"</f>
        <v>شگل DIN10</v>
      </c>
      <c r="D625" s="4" t="str">
        <f>"DIN 10"</f>
        <v>DIN 10</v>
      </c>
      <c r="E625" s="4" t="str">
        <f>"عدد"</f>
        <v>عدد</v>
      </c>
      <c r="F625" s="4">
        <v>2</v>
      </c>
      <c r="G625" s="10">
        <v>600000</v>
      </c>
      <c r="H625" s="10">
        <f t="shared" si="38"/>
        <v>1200000</v>
      </c>
    </row>
    <row r="626" spans="1:8" s="2" customFormat="1" ht="24" customHeight="1">
      <c r="A626" s="4">
        <v>625</v>
      </c>
      <c r="B626" s="4" t="str">
        <f>"1200000659"</f>
        <v>1200000659</v>
      </c>
      <c r="C626" s="5" t="str">
        <f>"شگل DIN6"</f>
        <v>شگل DIN6</v>
      </c>
      <c r="D626" s="4" t="str">
        <f>"DIN 6"</f>
        <v>DIN 6</v>
      </c>
      <c r="E626" s="4" t="str">
        <f>"دستگاه"</f>
        <v>دستگاه</v>
      </c>
      <c r="F626" s="4">
        <v>1</v>
      </c>
      <c r="G626" s="10">
        <v>300000</v>
      </c>
      <c r="H626" s="10">
        <f t="shared" si="38"/>
        <v>300000</v>
      </c>
    </row>
    <row r="627" spans="1:8" s="2" customFormat="1" ht="24" customHeight="1">
      <c r="A627" s="4">
        <v>626</v>
      </c>
      <c r="B627" s="4" t="str">
        <f>"1200000660"</f>
        <v>1200000660</v>
      </c>
      <c r="C627" s="5" t="str">
        <f>"آچار فيلتر"</f>
        <v>آچار فيلتر</v>
      </c>
      <c r="D627" s="4" t="str">
        <f>"at -of12"</f>
        <v>at -of12</v>
      </c>
      <c r="E627" s="4" t="str">
        <f>"عدد"</f>
        <v>عدد</v>
      </c>
      <c r="F627" s="4">
        <v>1</v>
      </c>
      <c r="G627" s="10">
        <v>550000</v>
      </c>
      <c r="H627" s="10">
        <f t="shared" si="38"/>
        <v>550000</v>
      </c>
    </row>
    <row r="628" spans="1:8" s="2" customFormat="1" ht="24" customHeight="1">
      <c r="A628" s="4">
        <v>627</v>
      </c>
      <c r="B628" s="4" t="str">
        <f>"1200000661"</f>
        <v>1200000661</v>
      </c>
      <c r="C628" s="5" t="str">
        <f>"گاري حمل بار"</f>
        <v>گاري حمل بار</v>
      </c>
      <c r="D628" s="4" t="str">
        <f>"tr920"</f>
        <v>tr920</v>
      </c>
      <c r="E628" s="4" t="str">
        <f>"عدد"</f>
        <v>عدد</v>
      </c>
      <c r="F628" s="4">
        <v>3</v>
      </c>
      <c r="G628" s="10">
        <v>2000000</v>
      </c>
      <c r="H628" s="10">
        <f t="shared" si="38"/>
        <v>6000000</v>
      </c>
    </row>
    <row r="629" spans="1:8" s="2" customFormat="1" ht="24" customHeight="1">
      <c r="A629" s="6">
        <v>628</v>
      </c>
      <c r="B629" s="4" t="str">
        <f>"1200000662"</f>
        <v>1200000662</v>
      </c>
      <c r="C629" s="5" t="str">
        <f>"شگل DIN4"</f>
        <v>شگل DIN4</v>
      </c>
      <c r="D629" s="4" t="str">
        <f>"DIN4"</f>
        <v>DIN4</v>
      </c>
      <c r="E629" s="4" t="str">
        <f>"دستگاه"</f>
        <v>دستگاه</v>
      </c>
      <c r="F629" s="4">
        <v>2</v>
      </c>
      <c r="G629" s="10">
        <v>240000</v>
      </c>
      <c r="H629" s="10">
        <f t="shared" si="38"/>
        <v>480000</v>
      </c>
    </row>
    <row r="630" spans="1:8" s="2" customFormat="1" ht="24" customHeight="1">
      <c r="A630" s="4">
        <v>629</v>
      </c>
      <c r="B630" s="4" t="str">
        <f>"1200000664"</f>
        <v>1200000664</v>
      </c>
      <c r="C630" s="5" t="str">
        <f>"کوليس ديجيتالي  60سانتي"</f>
        <v>کوليس ديجيتالي  60سانتي</v>
      </c>
      <c r="D630" s="4" t="str">
        <f>"sin:403151036-1027"</f>
        <v>sin:403151036-1027</v>
      </c>
      <c r="E630" s="4" t="str">
        <f>"دستگاه"</f>
        <v>دستگاه</v>
      </c>
      <c r="F630" s="4">
        <v>3</v>
      </c>
      <c r="G630" s="10">
        <v>23000000</v>
      </c>
      <c r="H630" s="10">
        <f t="shared" si="38"/>
        <v>69000000</v>
      </c>
    </row>
    <row r="631" spans="1:8" s="2" customFormat="1" ht="24" customHeight="1">
      <c r="A631" s="4">
        <v>630</v>
      </c>
      <c r="B631" s="4" t="str">
        <f>"1200000665"</f>
        <v>1200000665</v>
      </c>
      <c r="C631" s="5" t="str">
        <f>"کوليس ديجيتالي 30سانتي"</f>
        <v>کوليس ديجيتالي 30سانتي</v>
      </c>
      <c r="D631" s="4" t="str">
        <f>"sin:2201153182-1202152478"</f>
        <v>sin:2201153182-1202152478</v>
      </c>
      <c r="E631" s="4" t="str">
        <f>"دستگاه"</f>
        <v>دستگاه</v>
      </c>
      <c r="F631" s="4">
        <v>2</v>
      </c>
      <c r="G631" s="10">
        <v>3500000</v>
      </c>
      <c r="H631" s="10">
        <f t="shared" si="38"/>
        <v>7000000</v>
      </c>
    </row>
    <row r="632" spans="1:8" s="2" customFormat="1" ht="24" customHeight="1">
      <c r="A632" s="4">
        <v>631</v>
      </c>
      <c r="B632" s="4" t="str">
        <f>"1200000666"</f>
        <v>1200000666</v>
      </c>
      <c r="C632" s="5" t="str">
        <f>"کوليس ديجيتالي 15 سانتي"</f>
        <v>کوليس ديجيتالي 15 سانتي</v>
      </c>
      <c r="D632" s="4" t="str">
        <f>"15سانت   INSAISE  -1112-150-264141175"</f>
        <v>15سانت   INSAISE  -1112-150-264141175</v>
      </c>
      <c r="E632" s="4" t="str">
        <f>"دستگاه"</f>
        <v>دستگاه</v>
      </c>
      <c r="F632" s="4">
        <v>1</v>
      </c>
      <c r="G632" s="10">
        <v>1800000</v>
      </c>
      <c r="H632" s="10">
        <f t="shared" si="38"/>
        <v>1800000</v>
      </c>
    </row>
    <row r="633" spans="1:8" s="2" customFormat="1" ht="24" customHeight="1">
      <c r="A633" s="6">
        <v>632</v>
      </c>
      <c r="B633" s="4" t="str">
        <f>"1200000667"</f>
        <v>1200000667</v>
      </c>
      <c r="C633" s="5" t="str">
        <f>"شگل DIN2"</f>
        <v>شگل DIN2</v>
      </c>
      <c r="D633" s="4" t="str">
        <f>"DIN2"</f>
        <v>DIN2</v>
      </c>
      <c r="E633" s="4" t="str">
        <f t="shared" ref="E633:E654" si="42">"عدد"</f>
        <v>عدد</v>
      </c>
      <c r="F633" s="4">
        <v>6</v>
      </c>
      <c r="G633" s="10">
        <v>100000</v>
      </c>
      <c r="H633" s="10">
        <f t="shared" si="38"/>
        <v>600000</v>
      </c>
    </row>
    <row r="634" spans="1:8" s="2" customFormat="1" ht="24" customHeight="1">
      <c r="A634" s="4">
        <v>633</v>
      </c>
      <c r="B634" s="4" t="str">
        <f>"1200000668"</f>
        <v>1200000668</v>
      </c>
      <c r="C634" s="5" t="str">
        <f>"آچار بکس 12 پر28ميلي متر درايو1/2"</f>
        <v>آچار بکس 12 پر28ميلي متر درايو1/2</v>
      </c>
      <c r="D634" s="4" t="s">
        <v>11</v>
      </c>
      <c r="E634" s="4" t="str">
        <f t="shared" si="42"/>
        <v>عدد</v>
      </c>
      <c r="F634" s="4">
        <v>1</v>
      </c>
      <c r="G634" s="10">
        <v>150000</v>
      </c>
      <c r="H634" s="10">
        <f t="shared" si="38"/>
        <v>150000</v>
      </c>
    </row>
    <row r="635" spans="1:8" s="2" customFormat="1" ht="24" customHeight="1">
      <c r="A635" s="4">
        <v>634</v>
      </c>
      <c r="B635" s="4" t="str">
        <f>"1200000670"</f>
        <v>1200000670</v>
      </c>
      <c r="C635" s="5" t="str">
        <f>"آي بلت M24"</f>
        <v>آي بلت M24</v>
      </c>
      <c r="D635" s="4" t="str">
        <f>"M24"</f>
        <v>M24</v>
      </c>
      <c r="E635" s="4" t="str">
        <f t="shared" si="42"/>
        <v>عدد</v>
      </c>
      <c r="F635" s="4">
        <v>23</v>
      </c>
      <c r="G635" s="10">
        <v>230000</v>
      </c>
      <c r="H635" s="10">
        <f t="shared" si="38"/>
        <v>5290000</v>
      </c>
    </row>
    <row r="636" spans="1:8" s="2" customFormat="1" ht="24" customHeight="1">
      <c r="A636" s="4">
        <v>635</v>
      </c>
      <c r="B636" s="4" t="str">
        <f>"1200000671"</f>
        <v>1200000671</v>
      </c>
      <c r="C636" s="5" t="str">
        <f>"آچار بکس 12 پر26ميلي متر درايو1/2"</f>
        <v>آچار بکس 12 پر26ميلي متر درايو1/2</v>
      </c>
      <c r="D636" s="4" t="s">
        <v>12</v>
      </c>
      <c r="E636" s="4" t="str">
        <f t="shared" si="42"/>
        <v>عدد</v>
      </c>
      <c r="F636" s="4">
        <v>2</v>
      </c>
      <c r="G636" s="10">
        <v>150000</v>
      </c>
      <c r="H636" s="10">
        <f t="shared" si="38"/>
        <v>300000</v>
      </c>
    </row>
    <row r="637" spans="1:8" s="2" customFormat="1" ht="24" customHeight="1">
      <c r="A637" s="6">
        <v>636</v>
      </c>
      <c r="B637" s="4" t="str">
        <f>"1200000672"</f>
        <v>1200000672</v>
      </c>
      <c r="C637" s="5" t="str">
        <f>"آچار بکس 12 پر 17ميلي متردرايو1/2"</f>
        <v>آچار بکس 12 پر 17ميلي متردرايو1/2</v>
      </c>
      <c r="D637" s="4" t="s">
        <v>12</v>
      </c>
      <c r="E637" s="4" t="str">
        <f t="shared" si="42"/>
        <v>عدد</v>
      </c>
      <c r="F637" s="4">
        <v>2</v>
      </c>
      <c r="G637" s="10">
        <v>120000</v>
      </c>
      <c r="H637" s="10">
        <f t="shared" si="38"/>
        <v>240000</v>
      </c>
    </row>
    <row r="638" spans="1:8" s="2" customFormat="1" ht="24" customHeight="1">
      <c r="A638" s="4">
        <v>637</v>
      </c>
      <c r="B638" s="4" t="str">
        <f>"1200000673"</f>
        <v>1200000673</v>
      </c>
      <c r="C638" s="5" t="str">
        <f>"آچار بکس 6 پر12ميليمتر درايو1/2"</f>
        <v>آچار بکس 6 پر12ميليمتر درايو1/2</v>
      </c>
      <c r="D638" s="4" t="str">
        <f>"درايو1/2"</f>
        <v>درايو1/2</v>
      </c>
      <c r="E638" s="4" t="str">
        <f t="shared" si="42"/>
        <v>عدد</v>
      </c>
      <c r="F638" s="4">
        <v>1</v>
      </c>
      <c r="G638" s="10">
        <v>120000</v>
      </c>
      <c r="H638" s="10">
        <f t="shared" si="38"/>
        <v>120000</v>
      </c>
    </row>
    <row r="639" spans="1:8" s="2" customFormat="1" ht="24" customHeight="1">
      <c r="A639" s="4">
        <v>638</v>
      </c>
      <c r="B639" s="4" t="str">
        <f>"1200000674"</f>
        <v>1200000674</v>
      </c>
      <c r="C639" s="5" t="str">
        <f>"آچار بکس 6 پر22 ميليمتري درايو1/2"</f>
        <v>آچار بکس 6 پر22 ميليمتري درايو1/2</v>
      </c>
      <c r="D639" s="4" t="s">
        <v>13</v>
      </c>
      <c r="E639" s="4" t="str">
        <f t="shared" si="42"/>
        <v>عدد</v>
      </c>
      <c r="F639" s="4">
        <v>2</v>
      </c>
      <c r="G639" s="10">
        <v>150000</v>
      </c>
      <c r="H639" s="10">
        <f t="shared" si="38"/>
        <v>300000</v>
      </c>
    </row>
    <row r="640" spans="1:8" s="2" customFormat="1" ht="24" customHeight="1">
      <c r="A640" s="4">
        <v>639</v>
      </c>
      <c r="B640" s="4" t="str">
        <f>"1200000675"</f>
        <v>1200000675</v>
      </c>
      <c r="C640" s="5" t="str">
        <f>"آچار بکس 6 پر 19 ميلي متردرايو 1/2"</f>
        <v>آچار بکس 6 پر 19 ميلي متردرايو 1/2</v>
      </c>
      <c r="D640" s="4" t="str">
        <f>"GEDOREE"</f>
        <v>GEDOREE</v>
      </c>
      <c r="E640" s="4" t="str">
        <f t="shared" si="42"/>
        <v>عدد</v>
      </c>
      <c r="F640" s="4">
        <v>1</v>
      </c>
      <c r="G640" s="10">
        <v>150000</v>
      </c>
      <c r="H640" s="10">
        <f t="shared" si="38"/>
        <v>150000</v>
      </c>
    </row>
    <row r="641" spans="1:8" s="2" customFormat="1" ht="24" customHeight="1">
      <c r="A641" s="6">
        <v>640</v>
      </c>
      <c r="B641" s="4" t="str">
        <f>"1200000676"</f>
        <v>1200000676</v>
      </c>
      <c r="C641" s="5" t="str">
        <f>"آچار بکس 6 پر55ميليمتردرايو3/4"</f>
        <v>آچار بکس 6 پر55ميليمتردرايو3/4</v>
      </c>
      <c r="D641" s="4" t="s">
        <v>14</v>
      </c>
      <c r="E641" s="4" t="str">
        <f t="shared" si="42"/>
        <v>عدد</v>
      </c>
      <c r="F641" s="4">
        <v>4</v>
      </c>
      <c r="G641" s="10">
        <v>450000</v>
      </c>
      <c r="H641" s="10">
        <f t="shared" si="38"/>
        <v>1800000</v>
      </c>
    </row>
    <row r="642" spans="1:8" s="2" customFormat="1" ht="24" customHeight="1">
      <c r="A642" s="4">
        <v>641</v>
      </c>
      <c r="B642" s="4" t="str">
        <f>"1200000677"</f>
        <v>1200000677</v>
      </c>
      <c r="C642" s="5" t="str">
        <f>"آچار بكس 12پر 23ميليمتر درايو3/4"</f>
        <v>آچار بكس 12پر 23ميليمتر درايو3/4</v>
      </c>
      <c r="D642" s="4" t="s">
        <v>15</v>
      </c>
      <c r="E642" s="4" t="str">
        <f t="shared" si="42"/>
        <v>عدد</v>
      </c>
      <c r="F642" s="4">
        <v>1</v>
      </c>
      <c r="G642" s="10">
        <v>300000</v>
      </c>
      <c r="H642" s="10">
        <f t="shared" si="38"/>
        <v>300000</v>
      </c>
    </row>
    <row r="643" spans="1:8" s="2" customFormat="1" ht="24" customHeight="1">
      <c r="A643" s="4">
        <v>642</v>
      </c>
      <c r="B643" s="4" t="str">
        <f>"1200000678"</f>
        <v>1200000678</v>
      </c>
      <c r="C643" s="5" t="str">
        <f>"آچار بکس 12 پر22ميلي متر درايو1/2"</f>
        <v>آچار بکس 12 پر22ميلي متر درايو1/2</v>
      </c>
      <c r="D643" s="4" t="str">
        <f>"geniusدرايو1/2"</f>
        <v>geniusدرايو1/2</v>
      </c>
      <c r="E643" s="4" t="str">
        <f t="shared" si="42"/>
        <v>عدد</v>
      </c>
      <c r="F643" s="4">
        <v>20</v>
      </c>
      <c r="G643" s="10">
        <v>150000</v>
      </c>
      <c r="H643" s="10">
        <f t="shared" si="38"/>
        <v>3000000</v>
      </c>
    </row>
    <row r="644" spans="1:8" s="2" customFormat="1" ht="24" customHeight="1">
      <c r="A644" s="4">
        <v>643</v>
      </c>
      <c r="B644" s="4" t="str">
        <f>"1200000679"</f>
        <v>1200000679</v>
      </c>
      <c r="C644" s="5" t="str">
        <f>"آچار بکس 6 پر 34 ميلي متر درايو3/4اينچ"</f>
        <v>آچار بکس 6 پر 34 ميلي متر درايو3/4اينچ</v>
      </c>
      <c r="D644" s="4" t="s">
        <v>16</v>
      </c>
      <c r="E644" s="4" t="str">
        <f t="shared" si="42"/>
        <v>عدد</v>
      </c>
      <c r="F644" s="4">
        <v>2</v>
      </c>
      <c r="G644" s="10">
        <v>350000</v>
      </c>
      <c r="H644" s="10">
        <f t="shared" si="38"/>
        <v>700000</v>
      </c>
    </row>
    <row r="645" spans="1:8" s="2" customFormat="1" ht="24" customHeight="1">
      <c r="A645" s="6">
        <v>644</v>
      </c>
      <c r="B645" s="4" t="str">
        <f>"1200000680"</f>
        <v>1200000680</v>
      </c>
      <c r="C645" s="5" t="str">
        <f>"آچار بکس 12 پر 36 ميلي متر درايو3/4اينچ"</f>
        <v>آچار بکس 12 پر 36 ميلي متر درايو3/4اينچ</v>
      </c>
      <c r="D645" s="4" t="str">
        <f>"geniusدرايو 3/4"</f>
        <v>geniusدرايو 3/4</v>
      </c>
      <c r="E645" s="4" t="str">
        <f t="shared" si="42"/>
        <v>عدد</v>
      </c>
      <c r="F645" s="4">
        <v>1</v>
      </c>
      <c r="G645" s="10">
        <v>350000</v>
      </c>
      <c r="H645" s="10">
        <f t="shared" ref="H645:H708" si="43">F645*G645</f>
        <v>350000</v>
      </c>
    </row>
    <row r="646" spans="1:8" s="2" customFormat="1" ht="24" customHeight="1">
      <c r="A646" s="4">
        <v>645</v>
      </c>
      <c r="B646" s="4" t="str">
        <f>"1200000681"</f>
        <v>1200000681</v>
      </c>
      <c r="C646" s="5" t="str">
        <f>"آچار بکس 12 پراينچي5/8-1اينچ دراو3/4(41ميليمتر)"</f>
        <v>آچار بکس 12 پراينچي5/8-1اينچ دراو3/4(41ميليمتر)</v>
      </c>
      <c r="D646" s="4" t="str">
        <f>"HAZETدرايو 3/4"</f>
        <v>HAZETدرايو 3/4</v>
      </c>
      <c r="E646" s="4" t="str">
        <f t="shared" si="42"/>
        <v>عدد</v>
      </c>
      <c r="F646" s="4">
        <v>2</v>
      </c>
      <c r="G646" s="10">
        <v>370000</v>
      </c>
      <c r="H646" s="10">
        <f t="shared" si="43"/>
        <v>740000</v>
      </c>
    </row>
    <row r="647" spans="1:8" s="2" customFormat="1" ht="24" customHeight="1">
      <c r="A647" s="4">
        <v>646</v>
      </c>
      <c r="B647" s="4" t="str">
        <f>"1200000682"</f>
        <v>1200000682</v>
      </c>
      <c r="C647" s="5" t="str">
        <f>"آچار بكس 12 پر 24 ميليمتر درايو3/4اينچ"</f>
        <v>آچار بكس 12 پر 24 ميليمتر درايو3/4اينچ</v>
      </c>
      <c r="D647" s="4" t="s">
        <v>17</v>
      </c>
      <c r="E647" s="4" t="str">
        <f t="shared" si="42"/>
        <v>عدد</v>
      </c>
      <c r="F647" s="4">
        <v>2</v>
      </c>
      <c r="G647" s="10">
        <v>300000</v>
      </c>
      <c r="H647" s="10">
        <f t="shared" si="43"/>
        <v>600000</v>
      </c>
    </row>
    <row r="648" spans="1:8" s="2" customFormat="1" ht="24" customHeight="1">
      <c r="A648" s="4">
        <v>647</v>
      </c>
      <c r="B648" s="4" t="str">
        <f>"1200000683"</f>
        <v>1200000683</v>
      </c>
      <c r="C648" s="5" t="str">
        <f>"آي بلت M10"</f>
        <v>آي بلت M10</v>
      </c>
      <c r="D648" s="4" t="str">
        <f>"M10"</f>
        <v>M10</v>
      </c>
      <c r="E648" s="4" t="str">
        <f t="shared" si="42"/>
        <v>عدد</v>
      </c>
      <c r="F648" s="4">
        <v>19</v>
      </c>
      <c r="G648" s="10">
        <v>100000</v>
      </c>
      <c r="H648" s="10">
        <f t="shared" si="43"/>
        <v>1900000</v>
      </c>
    </row>
    <row r="649" spans="1:8" s="2" customFormat="1" ht="24" customHeight="1">
      <c r="A649" s="6">
        <v>648</v>
      </c>
      <c r="B649" s="4" t="str">
        <f>"1200000684"</f>
        <v>1200000684</v>
      </c>
      <c r="C649" s="5" t="str">
        <f>"آچار دو سر تخت30-27ميليمتر"</f>
        <v>آچار دو سر تخت30-27ميليمتر</v>
      </c>
      <c r="D649" s="4" t="str">
        <f>"GEDORE"</f>
        <v>GEDORE</v>
      </c>
      <c r="E649" s="4" t="str">
        <f t="shared" si="42"/>
        <v>عدد</v>
      </c>
      <c r="F649" s="4">
        <v>1</v>
      </c>
      <c r="G649" s="10">
        <v>300000</v>
      </c>
      <c r="H649" s="10">
        <f t="shared" si="43"/>
        <v>300000</v>
      </c>
    </row>
    <row r="650" spans="1:8" s="2" customFormat="1" ht="24" customHeight="1">
      <c r="A650" s="4">
        <v>649</v>
      </c>
      <c r="B650" s="4" t="str">
        <f>"1200000685"</f>
        <v>1200000685</v>
      </c>
      <c r="C650" s="5" t="str">
        <f>"آچار بكس 6 پر 32 ميليمتر درايو 3/4اينچ"</f>
        <v>آچار بكس 6 پر 32 ميليمتر درايو 3/4اينچ</v>
      </c>
      <c r="D650" s="4" t="str">
        <f>"genius"</f>
        <v>genius</v>
      </c>
      <c r="E650" s="4" t="str">
        <f t="shared" si="42"/>
        <v>عدد</v>
      </c>
      <c r="F650" s="4">
        <v>5</v>
      </c>
      <c r="G650" s="10">
        <v>300000</v>
      </c>
      <c r="H650" s="10">
        <f t="shared" si="43"/>
        <v>1500000</v>
      </c>
    </row>
    <row r="651" spans="1:8" s="2" customFormat="1" ht="24" customHeight="1">
      <c r="A651" s="4">
        <v>650</v>
      </c>
      <c r="B651" s="4" t="str">
        <f>"1200000686"</f>
        <v>1200000686</v>
      </c>
      <c r="C651" s="5" t="str">
        <f>"آچار چکش خور رينگي 130ميليمتر"</f>
        <v>آچار چکش خور رينگي 130ميليمتر</v>
      </c>
      <c r="D651" s="4" t="str">
        <f>""</f>
        <v/>
      </c>
      <c r="E651" s="4" t="str">
        <f t="shared" si="42"/>
        <v>عدد</v>
      </c>
      <c r="F651" s="4">
        <v>1</v>
      </c>
      <c r="G651" s="10">
        <v>2800000</v>
      </c>
      <c r="H651" s="10">
        <f t="shared" si="43"/>
        <v>2800000</v>
      </c>
    </row>
    <row r="652" spans="1:8" s="2" customFormat="1" ht="24" customHeight="1">
      <c r="A652" s="4">
        <v>651</v>
      </c>
      <c r="B652" s="4" t="str">
        <f>"1200000687"</f>
        <v>1200000687</v>
      </c>
      <c r="C652" s="5" t="str">
        <f>"آچار چکش خور رينگي42ميليمتر"</f>
        <v>آچار چکش خور رينگي42ميليمتر</v>
      </c>
      <c r="D652" s="4" t="str">
        <f>"walter-dn133"</f>
        <v>walter-dn133</v>
      </c>
      <c r="E652" s="4" t="str">
        <f t="shared" si="42"/>
        <v>عدد</v>
      </c>
      <c r="F652" s="4">
        <v>1</v>
      </c>
      <c r="G652" s="10">
        <v>900000</v>
      </c>
      <c r="H652" s="10">
        <f t="shared" si="43"/>
        <v>900000</v>
      </c>
    </row>
    <row r="653" spans="1:8" s="2" customFormat="1" ht="24" customHeight="1">
      <c r="A653" s="6">
        <v>652</v>
      </c>
      <c r="B653" s="4" t="str">
        <f>"1200000688"</f>
        <v>1200000688</v>
      </c>
      <c r="C653" s="5" t="str">
        <f>"آچار چکش خور تخت 145 ميلي مترآلماني"</f>
        <v>آچار چکش خور تخت 145 ميلي مترآلماني</v>
      </c>
      <c r="D653" s="4" t="str">
        <f>"gedore-dn7444"</f>
        <v>gedore-dn7444</v>
      </c>
      <c r="E653" s="4" t="str">
        <f t="shared" si="42"/>
        <v>عدد</v>
      </c>
      <c r="F653" s="4">
        <v>1</v>
      </c>
      <c r="G653" s="10">
        <v>3200000</v>
      </c>
      <c r="H653" s="10">
        <f t="shared" si="43"/>
        <v>3200000</v>
      </c>
    </row>
    <row r="654" spans="1:8" s="2" customFormat="1" ht="24" customHeight="1">
      <c r="A654" s="4">
        <v>653</v>
      </c>
      <c r="B654" s="4" t="str">
        <f>"1200000689"</f>
        <v>1200000689</v>
      </c>
      <c r="C654" s="5" t="str">
        <f>"آچار چکش خور رينگي 145 طرح  آلماني"</f>
        <v>آچار چکش خور رينگي 145 طرح  آلماني</v>
      </c>
      <c r="D654" s="4" t="str">
        <f>""</f>
        <v/>
      </c>
      <c r="E654" s="4" t="str">
        <f t="shared" si="42"/>
        <v>عدد</v>
      </c>
      <c r="F654" s="4">
        <v>1</v>
      </c>
      <c r="G654" s="10">
        <v>3200000</v>
      </c>
      <c r="H654" s="10">
        <f t="shared" si="43"/>
        <v>3200000</v>
      </c>
    </row>
    <row r="655" spans="1:8" s="2" customFormat="1" ht="24" customHeight="1">
      <c r="A655" s="4">
        <v>654</v>
      </c>
      <c r="B655" s="4" t="str">
        <f>"1200000691"</f>
        <v>1200000691</v>
      </c>
      <c r="C655" s="5" t="str">
        <f>"پانچ حروف انگليسي 10ميليمتر"</f>
        <v>پانچ حروف انگليسي 10ميليمتر</v>
      </c>
      <c r="D655" s="4" t="str">
        <f>""</f>
        <v/>
      </c>
      <c r="E655" s="4" t="str">
        <f>"ست"</f>
        <v>ست</v>
      </c>
      <c r="F655" s="4">
        <v>8</v>
      </c>
      <c r="G655" s="10">
        <v>900000</v>
      </c>
      <c r="H655" s="10">
        <f t="shared" si="43"/>
        <v>7200000</v>
      </c>
    </row>
    <row r="656" spans="1:8" s="2" customFormat="1" ht="24" customHeight="1">
      <c r="A656" s="4">
        <v>655</v>
      </c>
      <c r="B656" s="4" t="str">
        <f>"1200000692"</f>
        <v>1200000692</v>
      </c>
      <c r="C656" s="5" t="str">
        <f>"آچار آلن 18 ميليمتر"</f>
        <v>آچار آلن 18 ميليمتر</v>
      </c>
      <c r="D656" s="4" t="str">
        <f>"ASH -18 -CR-MO"</f>
        <v>ASH -18 -CR-MO</v>
      </c>
      <c r="E656" s="4" t="str">
        <f>"دستگاه"</f>
        <v>دستگاه</v>
      </c>
      <c r="F656" s="4">
        <v>3</v>
      </c>
      <c r="G656" s="10">
        <v>750000</v>
      </c>
      <c r="H656" s="10">
        <f t="shared" si="43"/>
        <v>2250000</v>
      </c>
    </row>
    <row r="657" spans="1:8" s="2" customFormat="1" ht="24" customHeight="1">
      <c r="A657" s="6">
        <v>656</v>
      </c>
      <c r="B657" s="4" t="str">
        <f>"1200000693"</f>
        <v>1200000693</v>
      </c>
      <c r="C657" s="5" t="str">
        <f>"آچار دو سر تخت مسي18-16 ميليمتر-ضد جرقه"</f>
        <v>آچار دو سر تخت مسي18-16 ميليمتر-ضد جرقه</v>
      </c>
      <c r="D657" s="4" t="str">
        <f>"16-18  مسي -ميليمتر"</f>
        <v>16-18  مسي -ميليمتر</v>
      </c>
      <c r="E657" s="4" t="str">
        <f>"دستگاه"</f>
        <v>دستگاه</v>
      </c>
      <c r="F657" s="4">
        <v>1</v>
      </c>
      <c r="G657" s="10">
        <v>700000</v>
      </c>
      <c r="H657" s="10">
        <f t="shared" si="43"/>
        <v>700000</v>
      </c>
    </row>
    <row r="658" spans="1:8" s="2" customFormat="1" ht="24" customHeight="1">
      <c r="A658" s="4">
        <v>657</v>
      </c>
      <c r="B658" s="4" t="str">
        <f>"1200000695"</f>
        <v>1200000695</v>
      </c>
      <c r="C658" s="5" t="str">
        <f>"نوک پيچ گوشتي دوسو"</f>
        <v>نوک پيچ گوشتي دوسو</v>
      </c>
      <c r="D658" s="4" t="str">
        <f>""</f>
        <v/>
      </c>
      <c r="E658" s="4" t="str">
        <f t="shared" ref="E658:E670" si="44">"عدد"</f>
        <v>عدد</v>
      </c>
      <c r="F658" s="4">
        <v>92</v>
      </c>
      <c r="G658" s="10">
        <v>25000</v>
      </c>
      <c r="H658" s="10">
        <f t="shared" si="43"/>
        <v>2300000</v>
      </c>
    </row>
    <row r="659" spans="1:8" s="2" customFormat="1" ht="24" customHeight="1">
      <c r="A659" s="4">
        <v>658</v>
      </c>
      <c r="B659" s="4" t="str">
        <f>"1200000696"</f>
        <v>1200000696</v>
      </c>
      <c r="C659" s="5" t="str">
        <f>"نوک پيچ گوشتي چهارسو"</f>
        <v>نوک پيچ گوشتي چهارسو</v>
      </c>
      <c r="D659" s="4" t="str">
        <f>""</f>
        <v/>
      </c>
      <c r="E659" s="4" t="str">
        <f t="shared" si="44"/>
        <v>عدد</v>
      </c>
      <c r="F659" s="4">
        <v>178</v>
      </c>
      <c r="G659" s="10">
        <v>25000</v>
      </c>
      <c r="H659" s="10">
        <f t="shared" si="43"/>
        <v>4450000</v>
      </c>
    </row>
    <row r="660" spans="1:8" s="2" customFormat="1" ht="24" customHeight="1">
      <c r="A660" s="4">
        <v>659</v>
      </c>
      <c r="B660" s="4" t="str">
        <f>"1200000697"</f>
        <v>1200000697</v>
      </c>
      <c r="C660" s="5" t="str">
        <f>"آچار دو سر تخت مسي -ضد جرقه24-27 ميليمتر"</f>
        <v>آچار دو سر تخت مسي -ضد جرقه24-27 ميليمتر</v>
      </c>
      <c r="D660" s="4" t="str">
        <f>""</f>
        <v/>
      </c>
      <c r="E660" s="4" t="str">
        <f t="shared" si="44"/>
        <v>عدد</v>
      </c>
      <c r="F660" s="4">
        <v>3</v>
      </c>
      <c r="G660" s="10">
        <v>700000</v>
      </c>
      <c r="H660" s="10">
        <f t="shared" si="43"/>
        <v>2100000</v>
      </c>
    </row>
    <row r="661" spans="1:8" s="2" customFormat="1" ht="24" customHeight="1">
      <c r="A661" s="6">
        <v>660</v>
      </c>
      <c r="B661" s="4" t="str">
        <f>"1200000698"</f>
        <v>1200000698</v>
      </c>
      <c r="C661" s="5" t="str">
        <f>"چكش 2000گرمي(پتك)"</f>
        <v>چكش 2000گرمي(پتك)</v>
      </c>
      <c r="D661" s="4" t="str">
        <f>""</f>
        <v/>
      </c>
      <c r="E661" s="4" t="str">
        <f t="shared" si="44"/>
        <v>عدد</v>
      </c>
      <c r="F661" s="4">
        <v>1</v>
      </c>
      <c r="G661" s="10">
        <v>150000</v>
      </c>
      <c r="H661" s="10">
        <f t="shared" si="43"/>
        <v>150000</v>
      </c>
    </row>
    <row r="662" spans="1:8" s="2" customFormat="1" ht="24" customHeight="1">
      <c r="A662" s="4">
        <v>661</v>
      </c>
      <c r="B662" s="4" t="str">
        <f>"1200000699"</f>
        <v>1200000699</v>
      </c>
      <c r="C662" s="5" t="str">
        <f>"چکش 1500"</f>
        <v>چکش 1500</v>
      </c>
      <c r="D662" s="4" t="str">
        <f>""</f>
        <v/>
      </c>
      <c r="E662" s="4" t="str">
        <f t="shared" si="44"/>
        <v>عدد</v>
      </c>
      <c r="F662" s="4">
        <v>7</v>
      </c>
      <c r="G662" s="10">
        <v>400000</v>
      </c>
      <c r="H662" s="10">
        <f t="shared" si="43"/>
        <v>2800000</v>
      </c>
    </row>
    <row r="663" spans="1:8" s="2" customFormat="1" ht="24" customHeight="1">
      <c r="A663" s="4">
        <v>662</v>
      </c>
      <c r="B663" s="4" t="str">
        <f>"1200000700"</f>
        <v>1200000700</v>
      </c>
      <c r="C663" s="5" t="str">
        <f>"چکش 2000"</f>
        <v>چکش 2000</v>
      </c>
      <c r="D663" s="4" t="str">
        <f>""</f>
        <v/>
      </c>
      <c r="E663" s="4" t="str">
        <f t="shared" si="44"/>
        <v>عدد</v>
      </c>
      <c r="F663" s="4">
        <v>4</v>
      </c>
      <c r="G663" s="10">
        <v>450000</v>
      </c>
      <c r="H663" s="10">
        <f t="shared" si="43"/>
        <v>1800000</v>
      </c>
    </row>
    <row r="664" spans="1:8" s="2" customFormat="1" ht="24" customHeight="1">
      <c r="A664" s="4">
        <v>663</v>
      </c>
      <c r="B664" s="4" t="str">
        <f>"1200000701"</f>
        <v>1200000701</v>
      </c>
      <c r="C664" s="5" t="str">
        <f>"چكش نجاري دسته آهني آلماني"</f>
        <v>چكش نجاري دسته آهني آلماني</v>
      </c>
      <c r="D664" s="4" t="str">
        <f>"آلماني"</f>
        <v>آلماني</v>
      </c>
      <c r="E664" s="4" t="str">
        <f t="shared" si="44"/>
        <v>عدد</v>
      </c>
      <c r="F664" s="4">
        <v>30</v>
      </c>
      <c r="G664" s="10">
        <v>350000</v>
      </c>
      <c r="H664" s="10">
        <f t="shared" si="43"/>
        <v>10500000</v>
      </c>
    </row>
    <row r="665" spans="1:8" s="2" customFormat="1" ht="24" customHeight="1">
      <c r="A665" s="6">
        <v>664</v>
      </c>
      <c r="B665" s="4" t="str">
        <f>"1200000702"</f>
        <v>1200000702</v>
      </c>
      <c r="C665" s="5" t="str">
        <f>"آچار دو سر تخت اينچي5/8 -9/16 (17-14ميليمتر)"</f>
        <v>آچار دو سر تخت اينچي5/8 -9/16 (17-14ميليمتر)</v>
      </c>
      <c r="D665" s="4" t="str">
        <f>"ايران پتک"</f>
        <v>ايران پتک</v>
      </c>
      <c r="E665" s="4" t="str">
        <f t="shared" si="44"/>
        <v>عدد</v>
      </c>
      <c r="F665" s="4">
        <v>2</v>
      </c>
      <c r="G665" s="10">
        <v>150000</v>
      </c>
      <c r="H665" s="10">
        <f t="shared" si="43"/>
        <v>300000</v>
      </c>
    </row>
    <row r="666" spans="1:8" s="2" customFormat="1" ht="24" customHeight="1">
      <c r="A666" s="4">
        <v>665</v>
      </c>
      <c r="B666" s="4" t="str">
        <f>"1200000703"</f>
        <v>1200000703</v>
      </c>
      <c r="C666" s="5" t="str">
        <f>"چكش 1500 گرمي(پتك)"</f>
        <v>چكش 1500 گرمي(پتك)</v>
      </c>
      <c r="D666" s="4" t="str">
        <f>"آلماني"</f>
        <v>آلماني</v>
      </c>
      <c r="E666" s="4" t="str">
        <f t="shared" si="44"/>
        <v>عدد</v>
      </c>
      <c r="F666" s="4">
        <v>2</v>
      </c>
      <c r="G666" s="10">
        <v>400000</v>
      </c>
      <c r="H666" s="10">
        <f t="shared" si="43"/>
        <v>800000</v>
      </c>
    </row>
    <row r="667" spans="1:8" s="2" customFormat="1" ht="24" customHeight="1">
      <c r="A667" s="4">
        <v>666</v>
      </c>
      <c r="B667" s="4" t="str">
        <f>"1200000704"</f>
        <v>1200000704</v>
      </c>
      <c r="C667" s="5" t="str">
        <f>"آچار فرانسه  8   اينچ"</f>
        <v>آچار فرانسه  8   اينچ</v>
      </c>
      <c r="D667" s="4" t="str">
        <f>" 8 اينچ irega-spain 77"</f>
        <v xml:space="preserve"> 8 اينچ irega-spain 77</v>
      </c>
      <c r="E667" s="4" t="str">
        <f t="shared" si="44"/>
        <v>عدد</v>
      </c>
      <c r="F667" s="4">
        <v>9</v>
      </c>
      <c r="G667" s="10">
        <v>900000</v>
      </c>
      <c r="H667" s="10">
        <f t="shared" si="43"/>
        <v>8100000</v>
      </c>
    </row>
    <row r="668" spans="1:8" s="2" customFormat="1" ht="24" customHeight="1">
      <c r="A668" s="4">
        <v>667</v>
      </c>
      <c r="B668" s="4" t="str">
        <f>"1200000705"</f>
        <v>1200000705</v>
      </c>
      <c r="C668" s="5" t="str">
        <f>"آچار فرانسه  12  اينچ"</f>
        <v>آچار فرانسه  12  اينچ</v>
      </c>
      <c r="D668" s="4" t="str">
        <f>"12 اينچ   irega-spain 77"</f>
        <v>12 اينچ   irega-spain 77</v>
      </c>
      <c r="E668" s="4" t="str">
        <f t="shared" si="44"/>
        <v>عدد</v>
      </c>
      <c r="F668" s="4">
        <v>10</v>
      </c>
      <c r="G668" s="10">
        <v>1500000</v>
      </c>
      <c r="H668" s="10">
        <f t="shared" si="43"/>
        <v>15000000</v>
      </c>
    </row>
    <row r="669" spans="1:8" s="2" customFormat="1" ht="24" customHeight="1">
      <c r="A669" s="6">
        <v>668</v>
      </c>
      <c r="B669" s="4" t="str">
        <f>"1200000706"</f>
        <v>1200000706</v>
      </c>
      <c r="C669" s="5" t="str">
        <f>"آچار فرانسه  18 اينچ"</f>
        <v>آچار فرانسه  18 اينچ</v>
      </c>
      <c r="D669" s="4" t="str">
        <f>"18اينچ   irega-spain 77"</f>
        <v>18اينچ   irega-spain 77</v>
      </c>
      <c r="E669" s="4" t="str">
        <f t="shared" si="44"/>
        <v>عدد</v>
      </c>
      <c r="F669" s="4">
        <v>4</v>
      </c>
      <c r="G669" s="10">
        <v>3000000</v>
      </c>
      <c r="H669" s="10">
        <f t="shared" si="43"/>
        <v>12000000</v>
      </c>
    </row>
    <row r="670" spans="1:8" s="2" customFormat="1" ht="24" customHeight="1">
      <c r="A670" s="4">
        <v>669</v>
      </c>
      <c r="B670" s="4" t="str">
        <f>"1200000707"</f>
        <v>1200000707</v>
      </c>
      <c r="C670" s="5" t="str">
        <f>"آچار فرانسه  24  اينچ"</f>
        <v>آچار فرانسه  24  اينچ</v>
      </c>
      <c r="D670" s="4" t="str">
        <f>"24اينچ   irega-spain 77"</f>
        <v>24اينچ   irega-spain 77</v>
      </c>
      <c r="E670" s="4" t="str">
        <f t="shared" si="44"/>
        <v>عدد</v>
      </c>
      <c r="F670" s="4">
        <v>2</v>
      </c>
      <c r="G670" s="10">
        <v>6500000</v>
      </c>
      <c r="H670" s="10">
        <f t="shared" si="43"/>
        <v>13000000</v>
      </c>
    </row>
    <row r="671" spans="1:8" s="2" customFormat="1" ht="24" customHeight="1">
      <c r="A671" s="4">
        <v>670</v>
      </c>
      <c r="B671" s="4" t="str">
        <f>"1200000708"</f>
        <v>1200000708</v>
      </c>
      <c r="C671" s="5" t="str">
        <f>"آچار آلن 22ميليمتر7/8"</f>
        <v>آچار آلن 22ميليمتر7/8</v>
      </c>
      <c r="D671" s="4" t="str">
        <f>"ELORA-HEYCO"</f>
        <v>ELORA-HEYCO</v>
      </c>
      <c r="E671" s="4" t="str">
        <f>"متر"</f>
        <v>متر</v>
      </c>
      <c r="F671" s="4">
        <v>3</v>
      </c>
      <c r="G671" s="10">
        <v>700000</v>
      </c>
      <c r="H671" s="10">
        <f t="shared" si="43"/>
        <v>2100000</v>
      </c>
    </row>
    <row r="672" spans="1:8" s="2" customFormat="1" ht="24" customHeight="1">
      <c r="A672" s="4">
        <v>671</v>
      </c>
      <c r="B672" s="4" t="str">
        <f>"1200000710"</f>
        <v>1200000710</v>
      </c>
      <c r="C672" s="5" t="str">
        <f>"سيم سيار قرقره اي40متري"</f>
        <v>سيم سيار قرقره اي40متري</v>
      </c>
      <c r="D672" s="4" t="str">
        <f>"زرد رنگ-40متري"</f>
        <v>زرد رنگ-40متري</v>
      </c>
      <c r="E672" s="4" t="str">
        <f>"عدد"</f>
        <v>عدد</v>
      </c>
      <c r="F672" s="4">
        <v>2</v>
      </c>
      <c r="G672" s="10">
        <v>1500000</v>
      </c>
      <c r="H672" s="10">
        <f t="shared" si="43"/>
        <v>3000000</v>
      </c>
    </row>
    <row r="673" spans="1:8" s="2" customFormat="1" ht="24" customHeight="1">
      <c r="A673" s="6">
        <v>672</v>
      </c>
      <c r="B673" s="4" t="str">
        <f>"1200000712"</f>
        <v>1200000712</v>
      </c>
      <c r="C673" s="5" t="str">
        <f>"جک هيدروليك پيستون  توخالي 20 تني"</f>
        <v>جک هيدروليك پيستون  توخالي 20 تني</v>
      </c>
      <c r="D673" s="4" t="str">
        <f>"اينر پک"</f>
        <v>اينر پک</v>
      </c>
      <c r="E673" s="4" t="str">
        <f>"دستگاه"</f>
        <v>دستگاه</v>
      </c>
      <c r="F673" s="4">
        <v>4</v>
      </c>
      <c r="G673" s="10">
        <v>17000000</v>
      </c>
      <c r="H673" s="10">
        <f t="shared" si="43"/>
        <v>68000000</v>
      </c>
    </row>
    <row r="674" spans="1:8" s="2" customFormat="1" ht="24" customHeight="1">
      <c r="A674" s="4">
        <v>673</v>
      </c>
      <c r="B674" s="4" t="str">
        <f>"1200000711"</f>
        <v>1200000711</v>
      </c>
      <c r="C674" s="5" t="str">
        <f>"آچار يكسرتخت يكسررينگي 15ميليمتر"</f>
        <v>آچار يكسرتخت يكسررينگي 15ميليمتر</v>
      </c>
      <c r="D674" s="4" t="str">
        <f>"PADRE-DIN 3113"</f>
        <v>PADRE-DIN 3113</v>
      </c>
      <c r="E674" s="4" t="str">
        <f t="shared" ref="E674:E720" si="45">"عدد"</f>
        <v>عدد</v>
      </c>
      <c r="F674" s="4">
        <v>36</v>
      </c>
      <c r="G674" s="10">
        <v>120000</v>
      </c>
      <c r="H674" s="10">
        <f t="shared" si="43"/>
        <v>4320000</v>
      </c>
    </row>
    <row r="675" spans="1:8" s="2" customFormat="1" ht="24" customHeight="1">
      <c r="A675" s="4">
        <v>674</v>
      </c>
      <c r="B675" s="4" t="str">
        <f>"1200000714"</f>
        <v>1200000714</v>
      </c>
      <c r="C675" s="5" t="str">
        <f>"آچار بکس 6 پر 36 ميلي متر درايو3/4اينچ"</f>
        <v>آچار بکس 6 پر 36 ميلي متر درايو3/4اينچ</v>
      </c>
      <c r="D675" s="4" t="str">
        <f>"درايو 3/4   GINOSE"</f>
        <v>درايو 3/4   GINOSE</v>
      </c>
      <c r="E675" s="4" t="str">
        <f t="shared" si="45"/>
        <v>عدد</v>
      </c>
      <c r="F675" s="4">
        <v>15</v>
      </c>
      <c r="G675" s="10">
        <v>350000</v>
      </c>
      <c r="H675" s="10">
        <f t="shared" si="43"/>
        <v>5250000</v>
      </c>
    </row>
    <row r="676" spans="1:8" s="2" customFormat="1" ht="24" customHeight="1">
      <c r="A676" s="4">
        <v>675</v>
      </c>
      <c r="B676" s="4" t="str">
        <f>"1200000715"</f>
        <v>1200000715</v>
      </c>
      <c r="C676" s="5" t="str">
        <f>"آچار بکس 6 پر 42 ميلي متر درايو1 اينچ"</f>
        <v>آچار بکس 6 پر 42 ميلي متر درايو1 اينچ</v>
      </c>
      <c r="D676" s="4" t="str">
        <f>"درايو  1 اينچ   GENUSE"</f>
        <v>درايو  1 اينچ   GENUSE</v>
      </c>
      <c r="E676" s="4" t="str">
        <f t="shared" si="45"/>
        <v>عدد</v>
      </c>
      <c r="F676" s="4">
        <v>5</v>
      </c>
      <c r="G676" s="10">
        <v>470000</v>
      </c>
      <c r="H676" s="10">
        <f t="shared" si="43"/>
        <v>2350000</v>
      </c>
    </row>
    <row r="677" spans="1:8" s="2" customFormat="1" ht="24" customHeight="1">
      <c r="A677" s="6">
        <v>676</v>
      </c>
      <c r="B677" s="4" t="str">
        <f>"1200000716"</f>
        <v>1200000716</v>
      </c>
      <c r="C677" s="5" t="str">
        <f>"آچار بکس 6 پر 42 ميلي متر درايو3/4اينچ"</f>
        <v>آچار بکس 6 پر 42 ميلي متر درايو3/4اينچ</v>
      </c>
      <c r="D677" s="4" t="str">
        <f>"درايو 3/4  GENUSE"</f>
        <v>درايو 3/4  GENUSE</v>
      </c>
      <c r="E677" s="4" t="str">
        <f t="shared" si="45"/>
        <v>عدد</v>
      </c>
      <c r="F677" s="4">
        <v>5</v>
      </c>
      <c r="G677" s="10">
        <v>370000</v>
      </c>
      <c r="H677" s="10">
        <f t="shared" si="43"/>
        <v>1850000</v>
      </c>
    </row>
    <row r="678" spans="1:8" s="2" customFormat="1" ht="24" customHeight="1">
      <c r="A678" s="4">
        <v>677</v>
      </c>
      <c r="B678" s="4" t="str">
        <f>"1200000717"</f>
        <v>1200000717</v>
      </c>
      <c r="C678" s="5" t="str">
        <f>"آچار بکس 12 پر42 ميلي متري درايو3/4اينچ"</f>
        <v>آچار بکس 12 پر42 ميلي متري درايو3/4اينچ</v>
      </c>
      <c r="D678" s="4" t="str">
        <f>"درايو 3/4  GENUSE"</f>
        <v>درايو 3/4  GENUSE</v>
      </c>
      <c r="E678" s="4" t="str">
        <f t="shared" si="45"/>
        <v>عدد</v>
      </c>
      <c r="F678" s="4">
        <v>1</v>
      </c>
      <c r="G678" s="10">
        <v>370000</v>
      </c>
      <c r="H678" s="10">
        <f t="shared" si="43"/>
        <v>370000</v>
      </c>
    </row>
    <row r="679" spans="1:8" s="2" customFormat="1" ht="24" customHeight="1">
      <c r="A679" s="4">
        <v>678</v>
      </c>
      <c r="B679" s="4" t="str">
        <f>"1200000718"</f>
        <v>1200000718</v>
      </c>
      <c r="C679" s="5" t="str">
        <f>"آچار بکس 6 پر 41ميلي متري درايو1 اينچ"</f>
        <v>آچار بکس 6 پر 41ميلي متري درايو1 اينچ</v>
      </c>
      <c r="D679" s="4" t="str">
        <f>"درايو 1 اينچ    GETA"</f>
        <v>درايو 1 اينچ    GETA</v>
      </c>
      <c r="E679" s="4" t="str">
        <f t="shared" si="45"/>
        <v>عدد</v>
      </c>
      <c r="F679" s="4">
        <v>4</v>
      </c>
      <c r="G679" s="10">
        <v>480000</v>
      </c>
      <c r="H679" s="10">
        <f t="shared" si="43"/>
        <v>1920000</v>
      </c>
    </row>
    <row r="680" spans="1:8" s="2" customFormat="1" ht="24" customHeight="1">
      <c r="A680" s="4">
        <v>679</v>
      </c>
      <c r="B680" s="4" t="str">
        <f>"1200000719"</f>
        <v>1200000719</v>
      </c>
      <c r="C680" s="5" t="str">
        <f>"آچار بکس 6 پر 85 ميلي متردرايو1/2-1اينچ"</f>
        <v>آچار بکس 6 پر 85 ميلي متردرايو1/2-1اينچ</v>
      </c>
      <c r="D680" s="4" t="str">
        <f>"درايو   1/2  1  WAGNER"</f>
        <v>درايو   1/2  1  WAGNER</v>
      </c>
      <c r="E680" s="4" t="str">
        <f t="shared" si="45"/>
        <v>عدد</v>
      </c>
      <c r="F680" s="4">
        <v>1</v>
      </c>
      <c r="G680" s="10">
        <v>1500000</v>
      </c>
      <c r="H680" s="10">
        <f t="shared" si="43"/>
        <v>1500000</v>
      </c>
    </row>
    <row r="681" spans="1:8" s="2" customFormat="1" ht="24" customHeight="1">
      <c r="A681" s="6">
        <v>680</v>
      </c>
      <c r="B681" s="4" t="str">
        <f>"1200000720"</f>
        <v>1200000720</v>
      </c>
      <c r="C681" s="5" t="str">
        <f>"آچار بکس 6 پر46 ميليمتر درايو 1اينچ"</f>
        <v>آچار بکس 6 پر46 ميليمتر درايو 1اينچ</v>
      </c>
      <c r="D681" s="4" t="str">
        <f>"درايو  1 اينچ   GENUSE"</f>
        <v>درايو  1 اينچ   GENUSE</v>
      </c>
      <c r="E681" s="4" t="str">
        <f t="shared" si="45"/>
        <v>عدد</v>
      </c>
      <c r="F681" s="4">
        <v>5</v>
      </c>
      <c r="G681" s="10">
        <v>550000</v>
      </c>
      <c r="H681" s="10">
        <f t="shared" si="43"/>
        <v>2750000</v>
      </c>
    </row>
    <row r="682" spans="1:8" s="2" customFormat="1" ht="24" customHeight="1">
      <c r="A682" s="4">
        <v>681</v>
      </c>
      <c r="B682" s="4" t="str">
        <f>"1200000721"</f>
        <v>1200000721</v>
      </c>
      <c r="C682" s="5" t="str">
        <f>"آچار بکس 6 پر 60  ميليمتر درايو3/4"</f>
        <v>آچار بکس 6 پر 60  ميليمتر درايو3/4</v>
      </c>
      <c r="D682" s="4" t="str">
        <f>"درايو  3/4 GENUSE"</f>
        <v>درايو  3/4 GENUSE</v>
      </c>
      <c r="E682" s="4" t="str">
        <f t="shared" si="45"/>
        <v>عدد</v>
      </c>
      <c r="F682" s="4">
        <v>6</v>
      </c>
      <c r="G682" s="10">
        <v>550000</v>
      </c>
      <c r="H682" s="10">
        <f t="shared" si="43"/>
        <v>3300000</v>
      </c>
    </row>
    <row r="683" spans="1:8" s="2" customFormat="1" ht="24" customHeight="1">
      <c r="A683" s="4">
        <v>682</v>
      </c>
      <c r="B683" s="4" t="str">
        <f>"1200000722"</f>
        <v>1200000722</v>
      </c>
      <c r="C683" s="5" t="str">
        <f>"آچار بکس 6 پر  60 ميلي متر درايو 1 اينچ"</f>
        <v>آچار بکس 6 پر  60 ميلي متر درايو 1 اينچ</v>
      </c>
      <c r="D683" s="4" t="str">
        <f>"درايو  1 اينچ  GENUSE"</f>
        <v>درايو  1 اينچ  GENUSE</v>
      </c>
      <c r="E683" s="4" t="str">
        <f t="shared" si="45"/>
        <v>عدد</v>
      </c>
      <c r="F683" s="4">
        <v>5</v>
      </c>
      <c r="G683" s="10">
        <v>700000</v>
      </c>
      <c r="H683" s="10">
        <f t="shared" si="43"/>
        <v>3500000</v>
      </c>
    </row>
    <row r="684" spans="1:8" s="2" customFormat="1" ht="24" customHeight="1">
      <c r="A684" s="4">
        <v>683</v>
      </c>
      <c r="B684" s="4" t="str">
        <f>"1200000723"</f>
        <v>1200000723</v>
      </c>
      <c r="C684" s="5" t="str">
        <f>"آچار بکس 12پراينچي7/8 اينچ درايو 1/2(22ميليمتر)"</f>
        <v>آچار بکس 12پراينچي7/8 اينچ درايو 1/2(22ميليمتر)</v>
      </c>
      <c r="D684" s="4" t="str">
        <f>"درايو 1/2  FACOM"</f>
        <v>درايو 1/2  FACOM</v>
      </c>
      <c r="E684" s="4" t="str">
        <f t="shared" si="45"/>
        <v>عدد</v>
      </c>
      <c r="F684" s="4">
        <v>2</v>
      </c>
      <c r="G684" s="10">
        <v>150000</v>
      </c>
      <c r="H684" s="10">
        <f t="shared" si="43"/>
        <v>300000</v>
      </c>
    </row>
    <row r="685" spans="1:8" s="2" customFormat="1" ht="24" customHeight="1">
      <c r="A685" s="6">
        <v>684</v>
      </c>
      <c r="B685" s="4" t="str">
        <f>"1200000724"</f>
        <v>1200000724</v>
      </c>
      <c r="C685" s="5" t="str">
        <f>"آچار بکس 12 پر 41 ميلي متري درايو3/4"</f>
        <v>آچار بکس 12 پر 41 ميلي متري درايو3/4</v>
      </c>
      <c r="D685" s="4" t="str">
        <f>"درايو 3/4  GEDORE"</f>
        <v>درايو 3/4  GEDORE</v>
      </c>
      <c r="E685" s="4" t="str">
        <f t="shared" si="45"/>
        <v>عدد</v>
      </c>
      <c r="F685" s="4">
        <v>2</v>
      </c>
      <c r="G685" s="10">
        <v>370000</v>
      </c>
      <c r="H685" s="10">
        <f t="shared" si="43"/>
        <v>740000</v>
      </c>
    </row>
    <row r="686" spans="1:8" s="2" customFormat="1" ht="24" customHeight="1">
      <c r="A686" s="4">
        <v>685</v>
      </c>
      <c r="B686" s="4" t="str">
        <f>"1200000725"</f>
        <v>1200000725</v>
      </c>
      <c r="C686" s="5" t="str">
        <f>"آچار بکس 12پراينچي7/16-1اينچ درايو3/4(47ميليمتر)"</f>
        <v>آچار بکس 12پراينچي7/16-1اينچ درايو3/4(47ميليمتر)</v>
      </c>
      <c r="D686" s="4" t="str">
        <f>"درايو 3/4 FACOM"</f>
        <v>درايو 3/4 FACOM</v>
      </c>
      <c r="E686" s="4" t="str">
        <f t="shared" si="45"/>
        <v>عدد</v>
      </c>
      <c r="F686" s="4">
        <v>1</v>
      </c>
      <c r="G686" s="10">
        <v>400000</v>
      </c>
      <c r="H686" s="10">
        <f t="shared" si="43"/>
        <v>400000</v>
      </c>
    </row>
    <row r="687" spans="1:8" s="2" customFormat="1" ht="24" customHeight="1">
      <c r="A687" s="4">
        <v>686</v>
      </c>
      <c r="B687" s="4" t="str">
        <f>"1200000726"</f>
        <v>1200000726</v>
      </c>
      <c r="C687" s="5" t="str">
        <f>"آچار بکس 12 پر 2 اينچ درايو3/4(50ميليمتر)"</f>
        <v>آچار بکس 12 پر 2 اينچ درايو3/4(50ميليمتر)</v>
      </c>
      <c r="D687" s="4" t="str">
        <f>"درايو 3/4  HERO"</f>
        <v>درايو 3/4  HERO</v>
      </c>
      <c r="E687" s="4" t="str">
        <f t="shared" si="45"/>
        <v>عدد</v>
      </c>
      <c r="F687" s="4">
        <v>1</v>
      </c>
      <c r="G687" s="10">
        <v>500000</v>
      </c>
      <c r="H687" s="10">
        <f t="shared" si="43"/>
        <v>500000</v>
      </c>
    </row>
    <row r="688" spans="1:8" s="2" customFormat="1" ht="24" customHeight="1">
      <c r="A688" s="4">
        <v>687</v>
      </c>
      <c r="B688" s="4" t="str">
        <f>"1200000727"</f>
        <v>1200000727</v>
      </c>
      <c r="C688" s="5" t="str">
        <f>"آچار بکس 12 پر 32 ميلي متر درايو3/4"</f>
        <v>آچار بکس 12 پر 32 ميلي متر درايو3/4</v>
      </c>
      <c r="D688" s="4" t="str">
        <f>"درايو 3/4   GEDORE"</f>
        <v>درايو 3/4   GEDORE</v>
      </c>
      <c r="E688" s="4" t="str">
        <f t="shared" si="45"/>
        <v>عدد</v>
      </c>
      <c r="F688" s="4">
        <v>2</v>
      </c>
      <c r="G688" s="10">
        <v>300000</v>
      </c>
      <c r="H688" s="10">
        <f t="shared" si="43"/>
        <v>600000</v>
      </c>
    </row>
    <row r="689" spans="1:8" s="2" customFormat="1" ht="24" customHeight="1">
      <c r="A689" s="6">
        <v>688</v>
      </c>
      <c r="B689" s="4" t="str">
        <f>"1200000728"</f>
        <v>1200000728</v>
      </c>
      <c r="C689" s="5" t="str">
        <f>"رابط بكس درايو 1 اينچ 15سانتي"</f>
        <v>رابط بكس درايو 1 اينچ 15سانتي</v>
      </c>
      <c r="D689" s="4" t="str">
        <f>"درايو 1 اينچ   GENUSE"</f>
        <v>درايو 1 اينچ   GENUSE</v>
      </c>
      <c r="E689" s="4" t="str">
        <f t="shared" si="45"/>
        <v>عدد</v>
      </c>
      <c r="F689" s="4">
        <v>2</v>
      </c>
      <c r="G689" s="10">
        <v>750000</v>
      </c>
      <c r="H689" s="10">
        <f t="shared" si="43"/>
        <v>1500000</v>
      </c>
    </row>
    <row r="690" spans="1:8" s="2" customFormat="1" ht="24" customHeight="1">
      <c r="A690" s="4">
        <v>689</v>
      </c>
      <c r="B690" s="4" t="str">
        <f>"1200000729"</f>
        <v>1200000729</v>
      </c>
      <c r="C690" s="5" t="str">
        <f>"رابط بكس درايو1 اينچ 20سانتي"</f>
        <v>رابط بكس درايو1 اينچ 20سانتي</v>
      </c>
      <c r="D690" s="4" t="str">
        <f>"درايو  1  اينچ GENUSE"</f>
        <v>درايو  1  اينچ GENUSE</v>
      </c>
      <c r="E690" s="4" t="str">
        <f t="shared" si="45"/>
        <v>عدد</v>
      </c>
      <c r="F690" s="4">
        <v>2</v>
      </c>
      <c r="G690" s="10">
        <v>900000</v>
      </c>
      <c r="H690" s="10">
        <f t="shared" si="43"/>
        <v>1800000</v>
      </c>
    </row>
    <row r="691" spans="1:8" s="2" customFormat="1" ht="24" customHeight="1">
      <c r="A691" s="4">
        <v>690</v>
      </c>
      <c r="B691" s="4" t="str">
        <f>"1200000730"</f>
        <v>1200000730</v>
      </c>
      <c r="C691" s="5" t="str">
        <f>"رابط بكس درايو 1اينچ 21 سانتي"</f>
        <v>رابط بكس درايو 1اينچ 21 سانتي</v>
      </c>
      <c r="D691" s="4" t="str">
        <f>"درايو  1 اينچ  GENUSE"</f>
        <v>درايو  1 اينچ  GENUSE</v>
      </c>
      <c r="E691" s="4" t="str">
        <f t="shared" si="45"/>
        <v>عدد</v>
      </c>
      <c r="F691" s="4">
        <v>2</v>
      </c>
      <c r="G691" s="10">
        <v>900000</v>
      </c>
      <c r="H691" s="10">
        <f t="shared" si="43"/>
        <v>1800000</v>
      </c>
    </row>
    <row r="692" spans="1:8" s="2" customFormat="1" ht="24" customHeight="1">
      <c r="A692" s="4">
        <v>691</v>
      </c>
      <c r="B692" s="4" t="str">
        <f>"1200000731"</f>
        <v>1200000731</v>
      </c>
      <c r="C692" s="5" t="str">
        <f>"رابط بكس درايو 1اينچ25 سانتي"</f>
        <v>رابط بكس درايو 1اينچ25 سانتي</v>
      </c>
      <c r="D692" s="4" t="str">
        <f>"درايو  1اينچ  GEDORE"</f>
        <v>درايو  1اينچ  GEDORE</v>
      </c>
      <c r="E692" s="4" t="str">
        <f t="shared" si="45"/>
        <v>عدد</v>
      </c>
      <c r="F692" s="4">
        <v>2</v>
      </c>
      <c r="G692" s="10">
        <v>1100000</v>
      </c>
      <c r="H692" s="10">
        <f t="shared" si="43"/>
        <v>2200000</v>
      </c>
    </row>
    <row r="693" spans="1:8" s="2" customFormat="1" ht="24" customHeight="1">
      <c r="A693" s="6">
        <v>692</v>
      </c>
      <c r="B693" s="4" t="str">
        <f>"1200000732"</f>
        <v>1200000732</v>
      </c>
      <c r="C693" s="5" t="str">
        <f>"رابط بكس درايو 1 اينچ40سانتي"</f>
        <v>رابط بكس درايو 1 اينچ40سانتي</v>
      </c>
      <c r="D693" s="4" t="str">
        <f>"درايو 1 اينچ  STANWILLE"</f>
        <v>درايو 1 اينچ  STANWILLE</v>
      </c>
      <c r="E693" s="4" t="str">
        <f t="shared" si="45"/>
        <v>عدد</v>
      </c>
      <c r="F693" s="4">
        <v>1</v>
      </c>
      <c r="G693" s="10">
        <v>1500000</v>
      </c>
      <c r="H693" s="10">
        <f t="shared" si="43"/>
        <v>1500000</v>
      </c>
    </row>
    <row r="694" spans="1:8" s="2" customFormat="1" ht="24" customHeight="1">
      <c r="A694" s="4">
        <v>693</v>
      </c>
      <c r="B694" s="4" t="str">
        <f>"1200000733"</f>
        <v>1200000733</v>
      </c>
      <c r="C694" s="5" t="str">
        <f>"آچار بكس 12پر 22 ميليمتر درايو 3/4"</f>
        <v>آچار بكس 12پر 22 ميليمتر درايو 3/4</v>
      </c>
      <c r="D694" s="4" t="str">
        <f>"درايو 3/4  GEDORE"</f>
        <v>درايو 3/4  GEDORE</v>
      </c>
      <c r="E694" s="4" t="str">
        <f t="shared" si="45"/>
        <v>عدد</v>
      </c>
      <c r="F694" s="4">
        <v>1</v>
      </c>
      <c r="G694" s="10">
        <v>300000</v>
      </c>
      <c r="H694" s="10">
        <f t="shared" si="43"/>
        <v>300000</v>
      </c>
    </row>
    <row r="695" spans="1:8" s="2" customFormat="1" ht="24" customHeight="1">
      <c r="A695" s="4">
        <v>694</v>
      </c>
      <c r="B695" s="4" t="str">
        <f>"1200000734"</f>
        <v>1200000734</v>
      </c>
      <c r="C695" s="5" t="str">
        <f>"دسته جغجغه بكس درايو 1 اينچ"</f>
        <v>دسته جغجغه بكس درايو 1 اينچ</v>
      </c>
      <c r="D695" s="4" t="str">
        <f>"درايو  1 اينچ GENUSE"</f>
        <v>درايو  1 اينچ GENUSE</v>
      </c>
      <c r="E695" s="4" t="str">
        <f t="shared" si="45"/>
        <v>عدد</v>
      </c>
      <c r="F695" s="4">
        <v>1</v>
      </c>
      <c r="G695" s="10">
        <v>4000000</v>
      </c>
      <c r="H695" s="10">
        <f t="shared" si="43"/>
        <v>4000000</v>
      </c>
    </row>
    <row r="696" spans="1:8" s="2" customFormat="1" ht="24" customHeight="1">
      <c r="A696" s="4">
        <v>695</v>
      </c>
      <c r="B696" s="4" t="str">
        <f>"1200000735"</f>
        <v>1200000735</v>
      </c>
      <c r="C696" s="5" t="str">
        <f>"دسته بکس ثابت درايو1 اينچ"</f>
        <v>دسته بکس ثابت درايو1 اينچ</v>
      </c>
      <c r="D696" s="4" t="str">
        <f>"درايو 1 اينچ GENUSE"</f>
        <v>درايو 1 اينچ GENUSE</v>
      </c>
      <c r="E696" s="4" t="str">
        <f t="shared" si="45"/>
        <v>عدد</v>
      </c>
      <c r="F696" s="4">
        <v>3</v>
      </c>
      <c r="G696" s="10">
        <v>1800000</v>
      </c>
      <c r="H696" s="10">
        <f t="shared" si="43"/>
        <v>5400000</v>
      </c>
    </row>
    <row r="697" spans="1:8" s="2" customFormat="1" ht="24" customHeight="1">
      <c r="A697" s="6">
        <v>696</v>
      </c>
      <c r="B697" s="4" t="str">
        <f>"1200000736"</f>
        <v>1200000736</v>
      </c>
      <c r="C697" s="5" t="str">
        <f>"دسته جغجغه بكس درايو 3/4"</f>
        <v>دسته جغجغه بكس درايو 3/4</v>
      </c>
      <c r="D697" s="4" t="str">
        <f>"درايو  3/4  GENUSE"</f>
        <v>درايو  3/4  GENUSE</v>
      </c>
      <c r="E697" s="4" t="str">
        <f t="shared" si="45"/>
        <v>عدد</v>
      </c>
      <c r="F697" s="4">
        <v>2</v>
      </c>
      <c r="G697" s="10">
        <v>3500000</v>
      </c>
      <c r="H697" s="10">
        <f t="shared" si="43"/>
        <v>7000000</v>
      </c>
    </row>
    <row r="698" spans="1:8" s="2" customFormat="1" ht="24" customHeight="1">
      <c r="A698" s="4">
        <v>697</v>
      </c>
      <c r="B698" s="4" t="str">
        <f>"1200000737"</f>
        <v>1200000737</v>
      </c>
      <c r="C698" s="5" t="str">
        <f>"دسته بکس ثابت درايو 3/4"</f>
        <v>دسته بکس ثابت درايو 3/4</v>
      </c>
      <c r="D698" s="4" t="str">
        <f>"درايو 3/4"</f>
        <v>درايو 3/4</v>
      </c>
      <c r="E698" s="4" t="str">
        <f t="shared" si="45"/>
        <v>عدد</v>
      </c>
      <c r="F698" s="4">
        <v>3</v>
      </c>
      <c r="G698" s="10">
        <v>1200000</v>
      </c>
      <c r="H698" s="10">
        <f t="shared" si="43"/>
        <v>3600000</v>
      </c>
    </row>
    <row r="699" spans="1:8" s="2" customFormat="1" ht="24" customHeight="1">
      <c r="A699" s="4">
        <v>698</v>
      </c>
      <c r="B699" s="4" t="str">
        <f>"1200000738"</f>
        <v>1200000738</v>
      </c>
      <c r="C699" s="5" t="str">
        <f>"چکش 800 گرمي"</f>
        <v>چکش 800 گرمي</v>
      </c>
      <c r="D699" s="4" t="str">
        <f>"دسته چوبي"</f>
        <v>دسته چوبي</v>
      </c>
      <c r="E699" s="4" t="str">
        <f t="shared" si="45"/>
        <v>عدد</v>
      </c>
      <c r="F699" s="4">
        <v>3</v>
      </c>
      <c r="G699" s="10">
        <v>300000</v>
      </c>
      <c r="H699" s="10">
        <f t="shared" si="43"/>
        <v>900000</v>
      </c>
    </row>
    <row r="700" spans="1:8" s="2" customFormat="1" ht="24" customHeight="1">
      <c r="A700" s="4">
        <v>699</v>
      </c>
      <c r="B700" s="4" t="str">
        <f>"1200000739"</f>
        <v>1200000739</v>
      </c>
      <c r="C700" s="5" t="str">
        <f>"آچار لوله گير معمولي 48 اينچ"</f>
        <v>آچار لوله گير معمولي 48 اينچ</v>
      </c>
      <c r="D700" s="4" t="str">
        <f>"1200 mm  ايران پتک"</f>
        <v>1200 mm  ايران پتک</v>
      </c>
      <c r="E700" s="4" t="str">
        <f t="shared" si="45"/>
        <v>عدد</v>
      </c>
      <c r="F700" s="4">
        <v>1</v>
      </c>
      <c r="G700" s="10">
        <v>5000000</v>
      </c>
      <c r="H700" s="10">
        <f t="shared" si="43"/>
        <v>5000000</v>
      </c>
    </row>
    <row r="701" spans="1:8" s="2" customFormat="1" ht="24" customHeight="1">
      <c r="A701" s="6">
        <v>700</v>
      </c>
      <c r="B701" s="4" t="str">
        <f>"1200000740"</f>
        <v>1200000740</v>
      </c>
      <c r="C701" s="5" t="str">
        <f>"آچار لوله گير معمولي  36 اينچ"</f>
        <v>آچار لوله گير معمولي  36 اينچ</v>
      </c>
      <c r="D701" s="4" t="str">
        <f>"800 mm  ايران پتک"</f>
        <v>800 mm  ايران پتک</v>
      </c>
      <c r="E701" s="4" t="str">
        <f t="shared" si="45"/>
        <v>عدد</v>
      </c>
      <c r="F701" s="4">
        <v>1</v>
      </c>
      <c r="G701" s="10">
        <v>3500000</v>
      </c>
      <c r="H701" s="10">
        <f t="shared" si="43"/>
        <v>3500000</v>
      </c>
    </row>
    <row r="702" spans="1:8" s="2" customFormat="1" ht="24" customHeight="1">
      <c r="A702" s="4">
        <v>701</v>
      </c>
      <c r="B702" s="4" t="str">
        <f>"1200000741"</f>
        <v>1200000741</v>
      </c>
      <c r="C702" s="5" t="str">
        <f>"آچار لوله گير معمولي  24 اينچ"</f>
        <v>آچار لوله گير معمولي  24 اينچ</v>
      </c>
      <c r="D702" s="4" t="str">
        <f>"600 mm  ايران پتک"</f>
        <v>600 mm  ايران پتک</v>
      </c>
      <c r="E702" s="4" t="str">
        <f t="shared" si="45"/>
        <v>عدد</v>
      </c>
      <c r="F702" s="4">
        <v>2</v>
      </c>
      <c r="G702" s="10">
        <v>1500000</v>
      </c>
      <c r="H702" s="10">
        <f t="shared" si="43"/>
        <v>3000000</v>
      </c>
    </row>
    <row r="703" spans="1:8" s="2" customFormat="1" ht="24" customHeight="1">
      <c r="A703" s="4">
        <v>702</v>
      </c>
      <c r="B703" s="4" t="str">
        <f>"1200000742"</f>
        <v>1200000742</v>
      </c>
      <c r="C703" s="5" t="str">
        <f>"آچار لوله گير معمولي  18 اينچ"</f>
        <v>آچار لوله گير معمولي  18 اينچ</v>
      </c>
      <c r="D703" s="4" t="str">
        <f>"450 mm   ايران پتک"</f>
        <v>450 mm   ايران پتک</v>
      </c>
      <c r="E703" s="4" t="str">
        <f t="shared" si="45"/>
        <v>عدد</v>
      </c>
      <c r="F703" s="4">
        <v>3</v>
      </c>
      <c r="G703" s="10">
        <v>900000</v>
      </c>
      <c r="H703" s="10">
        <f t="shared" si="43"/>
        <v>2700000</v>
      </c>
    </row>
    <row r="704" spans="1:8" s="2" customFormat="1" ht="24" customHeight="1">
      <c r="A704" s="4">
        <v>703</v>
      </c>
      <c r="B704" s="4" t="str">
        <f>"1200000743"</f>
        <v>1200000743</v>
      </c>
      <c r="C704" s="5" t="str">
        <f>"آچار لوله گير معمولي  14 اينچ"</f>
        <v>آچار لوله گير معمولي  14 اينچ</v>
      </c>
      <c r="D704" s="4" t="str">
        <f>"350 mm   اياران پتک"</f>
        <v>350 mm   اياران پتک</v>
      </c>
      <c r="E704" s="4" t="str">
        <f t="shared" si="45"/>
        <v>عدد</v>
      </c>
      <c r="F704" s="4">
        <v>3</v>
      </c>
      <c r="G704" s="10">
        <v>650000</v>
      </c>
      <c r="H704" s="10">
        <f t="shared" si="43"/>
        <v>1950000</v>
      </c>
    </row>
    <row r="705" spans="1:8" s="2" customFormat="1" ht="24" customHeight="1">
      <c r="A705" s="6">
        <v>704</v>
      </c>
      <c r="B705" s="4" t="str">
        <f>"1200000745"</f>
        <v>1200000745</v>
      </c>
      <c r="C705" s="5" t="str">
        <f>"قيچي مفتول بر 30  اينچ"</f>
        <v>قيچي مفتول بر 30  اينچ</v>
      </c>
      <c r="D705" s="4" t="str">
        <f>"750 mm   ايران پتک"</f>
        <v>750 mm   ايران پتک</v>
      </c>
      <c r="E705" s="4" t="str">
        <f t="shared" si="45"/>
        <v>عدد</v>
      </c>
      <c r="F705" s="4">
        <v>1</v>
      </c>
      <c r="G705" s="10">
        <v>1000000</v>
      </c>
      <c r="H705" s="10">
        <f t="shared" si="43"/>
        <v>1000000</v>
      </c>
    </row>
    <row r="706" spans="1:8" s="2" customFormat="1" ht="24" customHeight="1">
      <c r="A706" s="4">
        <v>705</v>
      </c>
      <c r="B706" s="4" t="str">
        <f>"1200000746"</f>
        <v>1200000746</v>
      </c>
      <c r="C706" s="5" t="str">
        <f>"قيچي مفتول بر 14 اينچ"</f>
        <v>قيچي مفتول بر 14 اينچ</v>
      </c>
      <c r="D706" s="4" t="str">
        <f>"350 mm   ايران پتک"</f>
        <v>350 mm   ايران پتک</v>
      </c>
      <c r="E706" s="4" t="str">
        <f t="shared" si="45"/>
        <v>عدد</v>
      </c>
      <c r="F706" s="4">
        <v>1</v>
      </c>
      <c r="G706" s="10">
        <v>450000</v>
      </c>
      <c r="H706" s="10">
        <f t="shared" si="43"/>
        <v>450000</v>
      </c>
    </row>
    <row r="707" spans="1:8" s="2" customFormat="1" ht="24" customHeight="1">
      <c r="A707" s="4">
        <v>706</v>
      </c>
      <c r="B707" s="4" t="str">
        <f>"1200000748"</f>
        <v>1200000748</v>
      </c>
      <c r="C707" s="5" t="str">
        <f>"آچار آلن مچي ست  7 عددي"</f>
        <v>آچار آلن مچي ست  7 عددي</v>
      </c>
      <c r="D707" s="4" t="str">
        <f>"genuse سبز رنگ"</f>
        <v>genuse سبز رنگ</v>
      </c>
      <c r="E707" s="4" t="str">
        <f t="shared" si="45"/>
        <v>عدد</v>
      </c>
      <c r="F707" s="4">
        <v>9</v>
      </c>
      <c r="G707" s="10">
        <v>180000</v>
      </c>
      <c r="H707" s="10">
        <f t="shared" si="43"/>
        <v>1620000</v>
      </c>
    </row>
    <row r="708" spans="1:8" s="2" customFormat="1" ht="24" customHeight="1">
      <c r="A708" s="4">
        <v>707</v>
      </c>
      <c r="B708" s="4" t="str">
        <f>"1200000749"</f>
        <v>1200000749</v>
      </c>
      <c r="C708" s="5" t="str">
        <f>"گاز انبر بدون عايق(آرماتور بندي)"</f>
        <v>گاز انبر بدون عايق(آرماتور بندي)</v>
      </c>
      <c r="D708" s="4" t="str">
        <f>" GERMANY"</f>
        <v xml:space="preserve"> GERMANY</v>
      </c>
      <c r="E708" s="4" t="str">
        <f t="shared" si="45"/>
        <v>عدد</v>
      </c>
      <c r="F708" s="4">
        <v>3</v>
      </c>
      <c r="G708" s="10">
        <v>600000</v>
      </c>
      <c r="H708" s="10">
        <f t="shared" si="43"/>
        <v>1800000</v>
      </c>
    </row>
    <row r="709" spans="1:8" s="2" customFormat="1" ht="24" customHeight="1">
      <c r="A709" s="6">
        <v>708</v>
      </c>
      <c r="B709" s="4" t="str">
        <f>"1200000750"</f>
        <v>1200000750</v>
      </c>
      <c r="C709" s="5" t="str">
        <f>"خار بازکن نوک كج عايق دار57 -85W"</f>
        <v>خار بازکن نوک كج عايق دار57 -85W</v>
      </c>
      <c r="D709" s="4" t="str">
        <f>"  A41-85-165 - ORBIS"</f>
        <v xml:space="preserve">  A41-85-165 - ORBIS</v>
      </c>
      <c r="E709" s="4" t="str">
        <f t="shared" si="45"/>
        <v>عدد</v>
      </c>
      <c r="F709" s="4">
        <v>1</v>
      </c>
      <c r="G709" s="10">
        <v>600000</v>
      </c>
      <c r="H709" s="10">
        <f t="shared" ref="H709:H772" si="46">F709*G709</f>
        <v>600000</v>
      </c>
    </row>
    <row r="710" spans="1:8" s="2" customFormat="1" ht="24" customHeight="1">
      <c r="A710" s="4">
        <v>709</v>
      </c>
      <c r="B710" s="4" t="str">
        <f>"1200000751"</f>
        <v>1200000751</v>
      </c>
      <c r="C710" s="5" t="str">
        <f>"خار بازکن نوک کج عايق دار 200  ميليمتر"</f>
        <v>خار بازکن نوک کج عايق دار 200  ميليمتر</v>
      </c>
      <c r="D710" s="4" t="str">
        <f>"VIGEX"</f>
        <v>VIGEX</v>
      </c>
      <c r="E710" s="4" t="str">
        <f t="shared" si="45"/>
        <v>عدد</v>
      </c>
      <c r="F710" s="4">
        <v>1</v>
      </c>
      <c r="G710" s="10">
        <v>600000</v>
      </c>
      <c r="H710" s="10">
        <f t="shared" si="46"/>
        <v>600000</v>
      </c>
    </row>
    <row r="711" spans="1:8" s="2" customFormat="1" ht="24" customHeight="1">
      <c r="A711" s="4">
        <v>710</v>
      </c>
      <c r="B711" s="4" t="str">
        <f>"1200000752"</f>
        <v>1200000752</v>
      </c>
      <c r="C711" s="5" t="str">
        <f>"خار بازکن نوک كج عايقدار 57-400W"</f>
        <v>خار بازکن نوک كج عايقدار 57-400W</v>
      </c>
      <c r="D711" s="4" t="str">
        <f>"J31 - 40 -100 ORBIS GERMANY  57-40 وات"</f>
        <v>J31 - 40 -100 ORBIS GERMANY  57-40 وات</v>
      </c>
      <c r="E711" s="4" t="str">
        <f t="shared" si="45"/>
        <v>عدد</v>
      </c>
      <c r="F711" s="4">
        <v>1</v>
      </c>
      <c r="G711" s="10">
        <v>700000</v>
      </c>
      <c r="H711" s="10">
        <f t="shared" si="46"/>
        <v>700000</v>
      </c>
    </row>
    <row r="712" spans="1:8" s="2" customFormat="1" ht="24" customHeight="1">
      <c r="A712" s="4">
        <v>711</v>
      </c>
      <c r="B712" s="4" t="str">
        <f>"1200000753"</f>
        <v>1200000753</v>
      </c>
      <c r="C712" s="5" t="str">
        <f>"خار جمع کن نوک کج عايق دار 57-120W"</f>
        <v>خار جمع کن نوک کج عايق دار 57-120W</v>
      </c>
      <c r="D712" s="4" t="str">
        <f>"A 11 - 10 - 25 MM ORBIS GERMANY   57-120  وات"</f>
        <v>A 11 - 10 - 25 MM ORBIS GERMANY   57-120  وات</v>
      </c>
      <c r="E712" s="4" t="str">
        <f t="shared" si="45"/>
        <v>عدد</v>
      </c>
      <c r="F712" s="4">
        <v>1</v>
      </c>
      <c r="G712" s="10">
        <v>700000</v>
      </c>
      <c r="H712" s="10">
        <f t="shared" si="46"/>
        <v>700000</v>
      </c>
    </row>
    <row r="713" spans="1:8" s="2" customFormat="1" ht="24" customHeight="1">
      <c r="A713" s="6">
        <v>712</v>
      </c>
      <c r="B713" s="4" t="str">
        <f>"1200000754"</f>
        <v>1200000754</v>
      </c>
      <c r="C713" s="5" t="str">
        <f>"خار جمع کن نوک كج عايق دار 57-40W"</f>
        <v>خار جمع کن نوک كج عايق دار 57-40W</v>
      </c>
      <c r="D713" s="4" t="str">
        <f>"J 01 -8 - 13 MM  ORBIS GERMANY -57-40W"</f>
        <v>J 01 -8 - 13 MM  ORBIS GERMANY -57-40W</v>
      </c>
      <c r="E713" s="4" t="str">
        <f t="shared" si="45"/>
        <v>عدد</v>
      </c>
      <c r="F713" s="4">
        <v>4</v>
      </c>
      <c r="G713" s="10">
        <v>700000</v>
      </c>
      <c r="H713" s="10">
        <f t="shared" si="46"/>
        <v>2800000</v>
      </c>
    </row>
    <row r="714" spans="1:8" s="2" customFormat="1" ht="24" customHeight="1">
      <c r="A714" s="4">
        <v>713</v>
      </c>
      <c r="B714" s="4" t="str">
        <f>"1200000755"</f>
        <v>1200000755</v>
      </c>
      <c r="C714" s="5" t="str">
        <f>"خار جمع کن مستقيم عايقدار 56-40W"</f>
        <v>خار جمع کن مستقيم عايقدار 56-40W</v>
      </c>
      <c r="D714" s="4" t="str">
        <f>" J3 -40-100 MM  ORBIS GERMANY   56-40  وات"</f>
        <v xml:space="preserve"> J3 -40-100 MM  ORBIS GERMANY   56-40  وات</v>
      </c>
      <c r="E714" s="4" t="str">
        <f t="shared" si="45"/>
        <v>عدد</v>
      </c>
      <c r="F714" s="4">
        <v>2</v>
      </c>
      <c r="G714" s="10">
        <v>700000</v>
      </c>
      <c r="H714" s="10">
        <f t="shared" si="46"/>
        <v>1400000</v>
      </c>
    </row>
    <row r="715" spans="1:8" s="2" customFormat="1" ht="24" customHeight="1">
      <c r="A715" s="4">
        <v>714</v>
      </c>
      <c r="B715" s="4" t="str">
        <f>"1200000756"</f>
        <v>1200000756</v>
      </c>
      <c r="C715" s="5" t="str">
        <f>"آچار آلن 24ميليمتر"</f>
        <v>آچار آلن 24ميليمتر</v>
      </c>
      <c r="D715" s="4" t="str">
        <f>"GEDORE-HEGET-AMF.CR"</f>
        <v>GEDORE-HEGET-AMF.CR</v>
      </c>
      <c r="E715" s="4" t="str">
        <f t="shared" si="45"/>
        <v>عدد</v>
      </c>
      <c r="F715" s="4">
        <v>3</v>
      </c>
      <c r="G715" s="10">
        <v>800000</v>
      </c>
      <c r="H715" s="10">
        <f t="shared" si="46"/>
        <v>2400000</v>
      </c>
    </row>
    <row r="716" spans="1:8" s="2" customFormat="1" ht="24" customHeight="1">
      <c r="A716" s="4">
        <v>715</v>
      </c>
      <c r="B716" s="4" t="str">
        <f>"1200000757"</f>
        <v>1200000757</v>
      </c>
      <c r="C716" s="5" t="str">
        <f>"خار باز کن نوک  راست بدن عايق  7 اينچ"</f>
        <v>خار باز کن نوک  راست بدن عايق  7 اينچ</v>
      </c>
      <c r="D716" s="4" t="str">
        <f>"RM 333 RAIDER  JAPAN"</f>
        <v>RM 333 RAIDER  JAPAN</v>
      </c>
      <c r="E716" s="4" t="str">
        <f t="shared" si="45"/>
        <v>عدد</v>
      </c>
      <c r="F716" s="4">
        <v>1</v>
      </c>
      <c r="G716" s="10">
        <v>700000</v>
      </c>
      <c r="H716" s="10">
        <f t="shared" si="46"/>
        <v>700000</v>
      </c>
    </row>
    <row r="717" spans="1:8" s="2" customFormat="1" ht="24" customHeight="1">
      <c r="A717" s="6">
        <v>716</v>
      </c>
      <c r="B717" s="4" t="str">
        <f>"1200000758"</f>
        <v>1200000758</v>
      </c>
      <c r="C717" s="5" t="str">
        <f>"خار باز كن مستقيم عايق دار54-250W"</f>
        <v>خار باز كن مستقيم عايق دار54-250W</v>
      </c>
      <c r="D717" s="4" t="str">
        <f>"A4 - 85 - 165 ORBIS -54-250W"</f>
        <v>A4 - 85 - 165 ORBIS -54-250W</v>
      </c>
      <c r="E717" s="4" t="str">
        <f t="shared" si="45"/>
        <v>عدد</v>
      </c>
      <c r="F717" s="4">
        <v>1</v>
      </c>
      <c r="G717" s="10">
        <v>700000</v>
      </c>
      <c r="H717" s="10">
        <f t="shared" si="46"/>
        <v>700000</v>
      </c>
    </row>
    <row r="718" spans="1:8" s="2" customFormat="1" ht="24" customHeight="1">
      <c r="A718" s="4">
        <v>717</v>
      </c>
      <c r="B718" s="4" t="str">
        <f>"1200000759"</f>
        <v>1200000759</v>
      </c>
      <c r="C718" s="5" t="str">
        <f>"خار جمع مستقيم مشکي بدون عايق"</f>
        <v>خار جمع مستقيم مشکي بدون عايق</v>
      </c>
      <c r="D718" s="4" t="str">
        <f>"SEE GER  GERMANY"</f>
        <v>SEE GER  GERMANY</v>
      </c>
      <c r="E718" s="4" t="str">
        <f t="shared" si="45"/>
        <v>عدد</v>
      </c>
      <c r="F718" s="4">
        <v>1</v>
      </c>
      <c r="G718" s="10">
        <v>600000</v>
      </c>
      <c r="H718" s="10">
        <f t="shared" si="46"/>
        <v>600000</v>
      </c>
    </row>
    <row r="719" spans="1:8" s="2" customFormat="1" ht="24" customHeight="1">
      <c r="A719" s="4">
        <v>718</v>
      </c>
      <c r="B719" s="4" t="str">
        <f>"1200000761"</f>
        <v>1200000761</v>
      </c>
      <c r="C719" s="5" t="str">
        <f>"آچار شمعي 6پر 17 ميليمتر"</f>
        <v>آچار شمعي 6پر 17 ميليمتر</v>
      </c>
      <c r="D719" s="4" t="str">
        <f>"DOWIDAT  GERMANY"</f>
        <v>DOWIDAT  GERMANY</v>
      </c>
      <c r="E719" s="4" t="str">
        <f t="shared" si="45"/>
        <v>عدد</v>
      </c>
      <c r="F719" s="4">
        <v>3</v>
      </c>
      <c r="G719" s="10">
        <v>200000</v>
      </c>
      <c r="H719" s="10">
        <f t="shared" si="46"/>
        <v>600000</v>
      </c>
    </row>
    <row r="720" spans="1:8" s="2" customFormat="1" ht="24" customHeight="1">
      <c r="A720" s="4">
        <v>719</v>
      </c>
      <c r="B720" s="4" t="str">
        <f>"1200000762"</f>
        <v>1200000762</v>
      </c>
      <c r="C720" s="5" t="str">
        <f>"آچار دو سر بكس 12پر 26--21ميليمتر"</f>
        <v>آچار دو سر بكس 12پر 26--21ميليمتر</v>
      </c>
      <c r="D720" s="4" t="str">
        <f>"DOWIDAT GERMANY"</f>
        <v>DOWIDAT GERMANY</v>
      </c>
      <c r="E720" s="4" t="str">
        <f t="shared" si="45"/>
        <v>عدد</v>
      </c>
      <c r="F720" s="4">
        <v>1</v>
      </c>
      <c r="G720" s="10">
        <v>150000</v>
      </c>
      <c r="H720" s="10">
        <f t="shared" si="46"/>
        <v>150000</v>
      </c>
    </row>
    <row r="721" spans="1:8" s="2" customFormat="1" ht="24" customHeight="1">
      <c r="A721" s="6">
        <v>720</v>
      </c>
      <c r="B721" s="4" t="str">
        <f>"1200000763"</f>
        <v>1200000763</v>
      </c>
      <c r="C721" s="5" t="str">
        <f>"اره برقي افقي بر ماكيتا"</f>
        <v>اره برقي افقي بر ماكيتا</v>
      </c>
      <c r="D721" s="4" t="str">
        <f>"SN : 78146 - 360202  MAKITA"</f>
        <v>SN : 78146 - 360202  MAKITA</v>
      </c>
      <c r="E721" s="4" t="str">
        <f t="shared" ref="E721:E731" si="47">"دستگاه"</f>
        <v>دستگاه</v>
      </c>
      <c r="F721" s="4">
        <v>2</v>
      </c>
      <c r="G721" s="10">
        <v>6000000</v>
      </c>
      <c r="H721" s="10">
        <f t="shared" si="46"/>
        <v>12000000</v>
      </c>
    </row>
    <row r="722" spans="1:8" s="2" customFormat="1" ht="24" customHeight="1">
      <c r="A722" s="4">
        <v>721</v>
      </c>
      <c r="B722" s="4" t="str">
        <f>"1200000764"</f>
        <v>1200000764</v>
      </c>
      <c r="C722" s="5" t="str">
        <f>"آچار دو سر تخت اينچي13/16  -  25/32"</f>
        <v>آچار دو سر تخت اينچي13/16  -  25/32</v>
      </c>
      <c r="D722" s="4" t="str">
        <f>"اينچي"</f>
        <v>اينچي</v>
      </c>
      <c r="E722" s="4" t="str">
        <f t="shared" si="47"/>
        <v>دستگاه</v>
      </c>
      <c r="F722" s="4">
        <v>1</v>
      </c>
      <c r="G722" s="10">
        <v>350000</v>
      </c>
      <c r="H722" s="10">
        <f t="shared" si="46"/>
        <v>350000</v>
      </c>
    </row>
    <row r="723" spans="1:8" s="2" customFormat="1" ht="24" customHeight="1">
      <c r="A723" s="4">
        <v>722</v>
      </c>
      <c r="B723" s="4" t="str">
        <f>"1200000765"</f>
        <v>1200000765</v>
      </c>
      <c r="C723" s="5" t="str">
        <f>"اره برقي عمود بر بوش"</f>
        <v>اره برقي عمود بر بوش</v>
      </c>
      <c r="D723" s="4" t="str">
        <f>"SN : 503001201-503001178-  BOSCH"</f>
        <v>SN : 503001201-503001178-  BOSCH</v>
      </c>
      <c r="E723" s="4" t="str">
        <f t="shared" si="47"/>
        <v>دستگاه</v>
      </c>
      <c r="F723" s="4">
        <v>1</v>
      </c>
      <c r="G723" s="10">
        <v>8500000</v>
      </c>
      <c r="H723" s="10">
        <f t="shared" si="46"/>
        <v>8500000</v>
      </c>
    </row>
    <row r="724" spans="1:8" s="2" customFormat="1" ht="24" customHeight="1">
      <c r="A724" s="4">
        <v>723</v>
      </c>
      <c r="B724" s="4" t="str">
        <f>"1200000766"</f>
        <v>1200000766</v>
      </c>
      <c r="C724" s="5" t="str">
        <f>"دريل برقي  معمولي بوش"</f>
        <v>دريل برقي  معمولي بوش</v>
      </c>
      <c r="D724" s="4" t="str">
        <f>"SN : 108000366-108000346-108000304"</f>
        <v>SN : 108000366-108000346-108000304</v>
      </c>
      <c r="E724" s="4" t="str">
        <f t="shared" si="47"/>
        <v>دستگاه</v>
      </c>
      <c r="F724" s="4">
        <v>1</v>
      </c>
      <c r="G724" s="10">
        <v>3000000</v>
      </c>
      <c r="H724" s="10">
        <f t="shared" si="46"/>
        <v>3000000</v>
      </c>
    </row>
    <row r="725" spans="1:8" s="2" customFormat="1" ht="24" customHeight="1">
      <c r="A725" s="6">
        <v>724</v>
      </c>
      <c r="B725" s="4" t="str">
        <f>"1200000767"</f>
        <v>1200000767</v>
      </c>
      <c r="C725" s="5" t="str">
        <f>"دسته حديده M3 - M6"</f>
        <v>دسته حديده M3 - M6</v>
      </c>
      <c r="D725" s="4" t="str">
        <f>"M3 - M6"</f>
        <v>M3 - M6</v>
      </c>
      <c r="E725" s="4" t="str">
        <f t="shared" si="47"/>
        <v>دستگاه</v>
      </c>
      <c r="F725" s="4">
        <v>13</v>
      </c>
      <c r="G725" s="10">
        <v>300000</v>
      </c>
      <c r="H725" s="10">
        <f t="shared" si="46"/>
        <v>3900000</v>
      </c>
    </row>
    <row r="726" spans="1:8" s="2" customFormat="1" ht="24" customHeight="1">
      <c r="A726" s="4">
        <v>725</v>
      </c>
      <c r="B726" s="4" t="str">
        <f>"1200000769"</f>
        <v>1200000769</v>
      </c>
      <c r="C726" s="5" t="str">
        <f>"سنگ فرز انگشتي بوشGG27 گلو كوتاه"</f>
        <v>سنگ فرز انگشتي بوشGG27 گلو كوتاه</v>
      </c>
      <c r="D726" s="4" t="str">
        <f>"SN : 106000560 GGS 27 - BOSCH"</f>
        <v>SN : 106000560 GGS 27 - BOSCH</v>
      </c>
      <c r="E726" s="4" t="str">
        <f t="shared" si="47"/>
        <v>دستگاه</v>
      </c>
      <c r="F726" s="4">
        <v>2</v>
      </c>
      <c r="G726" s="10">
        <v>5000000</v>
      </c>
      <c r="H726" s="10">
        <f t="shared" si="46"/>
        <v>10000000</v>
      </c>
    </row>
    <row r="727" spans="1:8" s="2" customFormat="1" ht="24" customHeight="1">
      <c r="A727" s="4">
        <v>726</v>
      </c>
      <c r="B727" s="4" t="str">
        <f>"1200000770"</f>
        <v>1200000770</v>
      </c>
      <c r="C727" s="5" t="str">
        <f>"آچار دو سر تخت اينچي 7/8  -  25/32"</f>
        <v>آچار دو سر تخت اينچي 7/8  -  25/32</v>
      </c>
      <c r="D727" s="4" t="str">
        <f>"اينچي"</f>
        <v>اينچي</v>
      </c>
      <c r="E727" s="4" t="str">
        <f t="shared" si="47"/>
        <v>دستگاه</v>
      </c>
      <c r="F727" s="4">
        <v>1</v>
      </c>
      <c r="G727" s="10">
        <v>350000</v>
      </c>
      <c r="H727" s="10">
        <f t="shared" si="46"/>
        <v>350000</v>
      </c>
    </row>
    <row r="728" spans="1:8" s="2" customFormat="1" ht="24" customHeight="1">
      <c r="A728" s="4">
        <v>727</v>
      </c>
      <c r="B728" s="4" t="str">
        <f>"1200000771"</f>
        <v>1200000771</v>
      </c>
      <c r="C728" s="5" t="str">
        <f>"متر 50 متري"</f>
        <v>متر 50 متري</v>
      </c>
      <c r="D728" s="4" t="str">
        <f>"كاليبره 40996- 40997"</f>
        <v>كاليبره 40996- 40997</v>
      </c>
      <c r="E728" s="4" t="str">
        <f t="shared" si="47"/>
        <v>دستگاه</v>
      </c>
      <c r="F728" s="4">
        <v>2</v>
      </c>
      <c r="G728" s="10">
        <v>500000</v>
      </c>
      <c r="H728" s="10">
        <f t="shared" si="46"/>
        <v>1000000</v>
      </c>
    </row>
    <row r="729" spans="1:8" s="2" customFormat="1" ht="24" customHeight="1">
      <c r="A729" s="6">
        <v>728</v>
      </c>
      <c r="B729" s="4" t="str">
        <f>"1200000772"</f>
        <v>1200000772</v>
      </c>
      <c r="C729" s="5" t="str">
        <f>"متر 30 متري"</f>
        <v>متر 30 متري</v>
      </c>
      <c r="D729" s="4" t="str">
        <f>"40564 - 40565 كاليبره"</f>
        <v>40564 - 40565 كاليبره</v>
      </c>
      <c r="E729" s="4" t="str">
        <f t="shared" si="47"/>
        <v>دستگاه</v>
      </c>
      <c r="F729" s="4">
        <v>2</v>
      </c>
      <c r="G729" s="10">
        <v>300000</v>
      </c>
      <c r="H729" s="10">
        <f t="shared" si="46"/>
        <v>600000</v>
      </c>
    </row>
    <row r="730" spans="1:8" s="2" customFormat="1" ht="24" customHeight="1">
      <c r="A730" s="4">
        <v>729</v>
      </c>
      <c r="B730" s="4" t="str">
        <f>"1200000773"</f>
        <v>1200000773</v>
      </c>
      <c r="C730" s="5" t="str">
        <f>"سنگ فرز انگشتي بوش گلو متوسط"</f>
        <v>سنگ فرز انگشتي بوش گلو متوسط</v>
      </c>
      <c r="D730" s="4" t="str">
        <f>"GGS28 -SN407000765-"</f>
        <v>GGS28 -SN407000765-</v>
      </c>
      <c r="E730" s="4" t="str">
        <f t="shared" si="47"/>
        <v>دستگاه</v>
      </c>
      <c r="F730" s="4">
        <v>5</v>
      </c>
      <c r="G730" s="10">
        <v>9000000</v>
      </c>
      <c r="H730" s="10">
        <f t="shared" si="46"/>
        <v>45000000</v>
      </c>
    </row>
    <row r="731" spans="1:8" s="2" customFormat="1" ht="24" customHeight="1">
      <c r="A731" s="4">
        <v>730</v>
      </c>
      <c r="B731" s="4" t="str">
        <f>"1200000774"</f>
        <v>1200000774</v>
      </c>
      <c r="C731" s="5" t="str">
        <f>"دسته حديده M22 - M24"</f>
        <v>دسته حديده M22 - M24</v>
      </c>
      <c r="D731" s="4" t="str">
        <f>"M22 - M24"</f>
        <v>M22 - M24</v>
      </c>
      <c r="E731" s="4" t="str">
        <f t="shared" si="47"/>
        <v>دستگاه</v>
      </c>
      <c r="F731" s="4">
        <v>8</v>
      </c>
      <c r="G731" s="10">
        <v>800000</v>
      </c>
      <c r="H731" s="10">
        <f t="shared" si="46"/>
        <v>6400000</v>
      </c>
    </row>
    <row r="732" spans="1:8" s="2" customFormat="1" ht="24" customHeight="1">
      <c r="A732" s="4">
        <v>731</v>
      </c>
      <c r="B732" s="4" t="str">
        <f>"1200000775"</f>
        <v>1200000775</v>
      </c>
      <c r="C732" s="5" t="str">
        <f>"دسته حديده M18 - M20"</f>
        <v>دسته حديده M18 - M20</v>
      </c>
      <c r="D732" s="4" t="str">
        <f>"M18 - M20"</f>
        <v>M18 - M20</v>
      </c>
      <c r="E732" s="4" t="str">
        <f>"عدد"</f>
        <v>عدد</v>
      </c>
      <c r="F732" s="4">
        <v>17</v>
      </c>
      <c r="G732" s="10">
        <v>750000</v>
      </c>
      <c r="H732" s="10">
        <f t="shared" si="46"/>
        <v>12750000</v>
      </c>
    </row>
    <row r="733" spans="1:8" s="2" customFormat="1" ht="24" customHeight="1">
      <c r="A733" s="6">
        <v>732</v>
      </c>
      <c r="B733" s="4" t="str">
        <f>"1200000776"</f>
        <v>1200000776</v>
      </c>
      <c r="C733" s="5" t="str">
        <f>"دسته حديده M30 - M27"</f>
        <v>دسته حديده M30 - M27</v>
      </c>
      <c r="D733" s="4" t="str">
        <f>"M 27 - M30"</f>
        <v>M 27 - M30</v>
      </c>
      <c r="E733" s="4" t="str">
        <f>"عدد"</f>
        <v>عدد</v>
      </c>
      <c r="F733" s="4">
        <v>1</v>
      </c>
      <c r="G733" s="10">
        <v>900000</v>
      </c>
      <c r="H733" s="10">
        <f t="shared" si="46"/>
        <v>900000</v>
      </c>
    </row>
    <row r="734" spans="1:8" s="2" customFormat="1" ht="24" customHeight="1">
      <c r="A734" s="4">
        <v>733</v>
      </c>
      <c r="B734" s="4" t="str">
        <f>"1200000777"</f>
        <v>1200000777</v>
      </c>
      <c r="C734" s="5" t="str">
        <f>"دريل شارژِي ماكيتا"</f>
        <v>دريل شارژِي ماكيتا</v>
      </c>
      <c r="D734" s="4" t="str">
        <f>"makita - DF 330DWE - 1433376 --- 1433374"</f>
        <v>makita - DF 330DWE - 1433376 --- 1433374</v>
      </c>
      <c r="E734" s="4" t="str">
        <f t="shared" ref="E734:E739" si="48">"دستگاه"</f>
        <v>دستگاه</v>
      </c>
      <c r="F734" s="4">
        <v>3</v>
      </c>
      <c r="G734" s="10">
        <v>5000000</v>
      </c>
      <c r="H734" s="10">
        <f t="shared" si="46"/>
        <v>15000000</v>
      </c>
    </row>
    <row r="735" spans="1:8" s="2" customFormat="1" ht="24" customHeight="1">
      <c r="A735" s="4">
        <v>734</v>
      </c>
      <c r="B735" s="4" t="str">
        <f>"1200000778"</f>
        <v>1200000778</v>
      </c>
      <c r="C735" s="5" t="str">
        <f>"قلم پانچ واشربر 34 ميليمتر"</f>
        <v>قلم پانچ واشربر 34 ميليمتر</v>
      </c>
      <c r="D735" s="4" t="str">
        <f>"VBW-"</f>
        <v>VBW-</v>
      </c>
      <c r="E735" s="4" t="str">
        <f t="shared" si="48"/>
        <v>دستگاه</v>
      </c>
      <c r="F735" s="4">
        <v>1</v>
      </c>
      <c r="G735" s="10">
        <v>350000</v>
      </c>
      <c r="H735" s="10">
        <f t="shared" si="46"/>
        <v>350000</v>
      </c>
    </row>
    <row r="736" spans="1:8" s="2" customFormat="1" ht="24" customHeight="1">
      <c r="A736" s="4">
        <v>735</v>
      </c>
      <c r="B736" s="4" t="str">
        <f>"1200000779"</f>
        <v>1200000779</v>
      </c>
      <c r="C736" s="5" t="str">
        <f>"قلم پانچ واشربر30ميليمتر"</f>
        <v>قلم پانچ واشربر30ميليمتر</v>
      </c>
      <c r="D736" s="4" t="str">
        <f>"VBW"</f>
        <v>VBW</v>
      </c>
      <c r="E736" s="4" t="str">
        <f t="shared" si="48"/>
        <v>دستگاه</v>
      </c>
      <c r="F736" s="4">
        <v>1</v>
      </c>
      <c r="G736" s="10">
        <v>300000</v>
      </c>
      <c r="H736" s="10">
        <f t="shared" si="46"/>
        <v>300000</v>
      </c>
    </row>
    <row r="737" spans="1:8" s="2" customFormat="1" ht="24" customHeight="1">
      <c r="A737" s="6">
        <v>736</v>
      </c>
      <c r="B737" s="4" t="str">
        <f>"1200000780"</f>
        <v>1200000780</v>
      </c>
      <c r="C737" s="5" t="str">
        <f>"سنگ سمباده زن بوش"</f>
        <v>سنگ سمباده زن بوش</v>
      </c>
      <c r="D737" s="4" t="str">
        <f>"GGS-6 S -986000024   -     GGS 6S فاقدشماره سريال"</f>
        <v>GGS-6 S -986000024   -     GGS 6S فاقدشماره سريال</v>
      </c>
      <c r="E737" s="4" t="str">
        <f t="shared" si="48"/>
        <v>دستگاه</v>
      </c>
      <c r="F737" s="4">
        <v>3</v>
      </c>
      <c r="G737" s="10">
        <v>8000000</v>
      </c>
      <c r="H737" s="10">
        <f t="shared" si="46"/>
        <v>24000000</v>
      </c>
    </row>
    <row r="738" spans="1:8" s="2" customFormat="1" ht="24" customHeight="1">
      <c r="A738" s="4">
        <v>737</v>
      </c>
      <c r="B738" s="4" t="str">
        <f>"1200000781"</f>
        <v>1200000781</v>
      </c>
      <c r="C738" s="5" t="str">
        <f>"سنگ جت بزرگ نارنجي"</f>
        <v>سنگ جت بزرگ نارنجي</v>
      </c>
      <c r="D738" s="4" t="str">
        <f>"1203"</f>
        <v>1203</v>
      </c>
      <c r="E738" s="4" t="str">
        <f t="shared" si="48"/>
        <v>دستگاه</v>
      </c>
      <c r="F738" s="4">
        <v>1</v>
      </c>
      <c r="G738" s="10">
        <v>5000000</v>
      </c>
      <c r="H738" s="10">
        <f t="shared" si="46"/>
        <v>5000000</v>
      </c>
    </row>
    <row r="739" spans="1:8" s="2" customFormat="1" ht="24" customHeight="1">
      <c r="A739" s="4">
        <v>738</v>
      </c>
      <c r="B739" s="4" t="str">
        <f>"1200000782"</f>
        <v>1200000782</v>
      </c>
      <c r="C739" s="5" t="str">
        <f>"ميني سنگ فرز بوش"</f>
        <v>ميني سنگ فرز بوش</v>
      </c>
      <c r="D739" s="4" t="str">
        <f>"GWS 15-125CIE - 309006358-405000952-502000175-502000165"</f>
        <v>GWS 15-125CIE - 309006358-405000952-502000175-502000165</v>
      </c>
      <c r="E739" s="4" t="str">
        <f t="shared" si="48"/>
        <v>دستگاه</v>
      </c>
      <c r="F739" s="4">
        <v>14</v>
      </c>
      <c r="G739" s="10">
        <v>3000000</v>
      </c>
      <c r="H739" s="10">
        <f t="shared" si="46"/>
        <v>42000000</v>
      </c>
    </row>
    <row r="740" spans="1:8" s="2" customFormat="1" ht="24" customHeight="1">
      <c r="A740" s="4">
        <v>739</v>
      </c>
      <c r="B740" s="4" t="str">
        <f>"1200000783"</f>
        <v>1200000783</v>
      </c>
      <c r="C740" s="5" t="str">
        <f>"ميکرومتر خارج  سنج 150-0   13قطعه"</f>
        <v>ميکرومتر خارج  سنج 150-0   13قطعه</v>
      </c>
      <c r="D740" s="4" t="str">
        <f>"دقت  0/1 ASIMETO"</f>
        <v>دقت  0/1 ASIMETO</v>
      </c>
      <c r="E740" s="4" t="str">
        <f>"ست"</f>
        <v>ست</v>
      </c>
      <c r="F740" s="4">
        <v>3</v>
      </c>
      <c r="G740" s="10">
        <v>3500000</v>
      </c>
      <c r="H740" s="10">
        <f t="shared" si="46"/>
        <v>10500000</v>
      </c>
    </row>
    <row r="741" spans="1:8" s="2" customFormat="1" ht="24" customHeight="1">
      <c r="A741" s="6">
        <v>740</v>
      </c>
      <c r="B741" s="4" t="str">
        <f>"1200000784"</f>
        <v>1200000784</v>
      </c>
      <c r="C741" s="5" t="str">
        <f>"ميکرومتر داخل سنج  1500-0  11قطعه"</f>
        <v>ميکرومتر داخل سنج  1500-0  11قطعه</v>
      </c>
      <c r="D741" s="4" t="str">
        <f>"MITUTOYO"</f>
        <v>MITUTOYO</v>
      </c>
      <c r="E741" s="4" t="str">
        <f>"ست"</f>
        <v>ست</v>
      </c>
      <c r="F741" s="4">
        <v>2</v>
      </c>
      <c r="G741" s="10">
        <v>7500000</v>
      </c>
      <c r="H741" s="10">
        <f t="shared" si="46"/>
        <v>15000000</v>
      </c>
    </row>
    <row r="742" spans="1:8" s="2" customFormat="1" ht="24" customHeight="1">
      <c r="A742" s="4">
        <v>741</v>
      </c>
      <c r="B742" s="4" t="str">
        <f>"1200000785"</f>
        <v>1200000785</v>
      </c>
      <c r="C742" s="5" t="str">
        <f>"ميکرومتر داخل سنج 500-0      7 قطعه"</f>
        <v>ميکرومتر داخل سنج 500-0      7 قطعه</v>
      </c>
      <c r="D742" s="4" t="str">
        <f>"MITUTOYO"</f>
        <v>MITUTOYO</v>
      </c>
      <c r="E742" s="4" t="str">
        <f>"ست"</f>
        <v>ست</v>
      </c>
      <c r="F742" s="4">
        <v>2</v>
      </c>
      <c r="G742" s="10">
        <v>4500000</v>
      </c>
      <c r="H742" s="10">
        <f t="shared" si="46"/>
        <v>9000000</v>
      </c>
    </row>
    <row r="743" spans="1:8" s="2" customFormat="1" ht="24" customHeight="1">
      <c r="A743" s="4">
        <v>742</v>
      </c>
      <c r="B743" s="4" t="str">
        <f>"1200000786"</f>
        <v>1200000786</v>
      </c>
      <c r="C743" s="5" t="str">
        <f>"ميکرومتر خارج سنج  75-50"</f>
        <v>ميکرومتر خارج سنج  75-50</v>
      </c>
      <c r="D743" s="4" t="str">
        <f>"دقت 0/01  -7760  --PREISSER DIN:863"</f>
        <v>دقت 0/01  -7760  --PREISSER DIN:863</v>
      </c>
      <c r="E743" s="4" t="str">
        <f>"دستگاه"</f>
        <v>دستگاه</v>
      </c>
      <c r="F743" s="4">
        <v>2</v>
      </c>
      <c r="G743" s="10">
        <v>1500000</v>
      </c>
      <c r="H743" s="10">
        <f t="shared" si="46"/>
        <v>3000000</v>
      </c>
    </row>
    <row r="744" spans="1:8" s="2" customFormat="1" ht="24" customHeight="1">
      <c r="A744" s="4">
        <v>743</v>
      </c>
      <c r="B744" s="4" t="str">
        <f>"1200000787"</f>
        <v>1200000787</v>
      </c>
      <c r="C744" s="5" t="str">
        <f>"ميکرومتر خارج سنج 100-75"</f>
        <v>ميکرومتر خارج سنج 100-75</v>
      </c>
      <c r="D744" s="4" t="str">
        <f>"دقت  0/01  -  07790 --PAN 17158-12135"</f>
        <v>دقت  0/01  -  07790 --PAN 17158-12135</v>
      </c>
      <c r="E744" s="4" t="str">
        <f>"دستگاه"</f>
        <v>دستگاه</v>
      </c>
      <c r="F744" s="4">
        <v>2</v>
      </c>
      <c r="G744" s="10">
        <v>1800000</v>
      </c>
      <c r="H744" s="10">
        <f t="shared" si="46"/>
        <v>3600000</v>
      </c>
    </row>
    <row r="745" spans="1:8" s="2" customFormat="1" ht="24" customHeight="1">
      <c r="A745" s="6">
        <v>744</v>
      </c>
      <c r="B745" s="4" t="str">
        <f>"1200000789"</f>
        <v>1200000789</v>
      </c>
      <c r="C745" s="5" t="str">
        <f>"رزوه سنج  INSAIZE"</f>
        <v>رزوه سنج  INSAIZE</v>
      </c>
      <c r="D745" s="4" t="str">
        <f>"INSAIZE"</f>
        <v>INSAIZE</v>
      </c>
      <c r="E745" s="4" t="str">
        <f>"ست"</f>
        <v>ست</v>
      </c>
      <c r="F745" s="4">
        <v>1</v>
      </c>
      <c r="G745" s="10">
        <v>500000</v>
      </c>
      <c r="H745" s="10">
        <f t="shared" si="46"/>
        <v>500000</v>
      </c>
    </row>
    <row r="746" spans="1:8" s="2" customFormat="1" ht="24" customHeight="1">
      <c r="A746" s="4">
        <v>745</v>
      </c>
      <c r="B746" s="4" t="str">
        <f>"1200000790"</f>
        <v>1200000790</v>
      </c>
      <c r="C746" s="5" t="str">
        <f>"سوراخ سنج  150-0/45 ميليمتر"</f>
        <v>سوراخ سنج  150-0/45 ميليمتر</v>
      </c>
      <c r="D746" s="4" t="str">
        <f>"150-0/45 ميليمتر"</f>
        <v>150-0/45 ميليمتر</v>
      </c>
      <c r="E746" s="4" t="str">
        <f>"ست"</f>
        <v>ست</v>
      </c>
      <c r="F746" s="4">
        <v>5</v>
      </c>
      <c r="G746" s="10">
        <v>2500000</v>
      </c>
      <c r="H746" s="10">
        <f t="shared" si="46"/>
        <v>12500000</v>
      </c>
    </row>
    <row r="747" spans="1:8" s="2" customFormat="1" ht="24" customHeight="1">
      <c r="A747" s="4">
        <v>746</v>
      </c>
      <c r="B747" s="4" t="str">
        <f>"1200000791"</f>
        <v>1200000791</v>
      </c>
      <c r="C747" s="5" t="str">
        <f>"پايه  ساعت انديکاتور"</f>
        <v>پايه  ساعت انديکاتور</v>
      </c>
      <c r="D747" s="4" t="str">
        <f>"KANETEC - MB -B"</f>
        <v>KANETEC - MB -B</v>
      </c>
      <c r="E747" s="4" t="str">
        <f>"عدد"</f>
        <v>عدد</v>
      </c>
      <c r="F747" s="4">
        <v>7</v>
      </c>
      <c r="G747" s="10">
        <v>3000000</v>
      </c>
      <c r="H747" s="10">
        <f t="shared" si="46"/>
        <v>21000000</v>
      </c>
    </row>
    <row r="748" spans="1:8" s="2" customFormat="1" ht="24" customHeight="1">
      <c r="A748" s="4">
        <v>747</v>
      </c>
      <c r="B748" s="4" t="str">
        <f>"1200000792"</f>
        <v>1200000792</v>
      </c>
      <c r="C748" s="5" t="str">
        <f>"عمق سنج معمولي   150 ميليمتر"</f>
        <v>عمق سنج معمولي   150 ميليمتر</v>
      </c>
      <c r="D748" s="4" t="str">
        <f>"INOX"</f>
        <v>INOX</v>
      </c>
      <c r="E748" s="4" t="str">
        <f>"دستگاه"</f>
        <v>دستگاه</v>
      </c>
      <c r="F748" s="4">
        <v>2</v>
      </c>
      <c r="G748" s="10">
        <v>1200000</v>
      </c>
      <c r="H748" s="10">
        <f t="shared" si="46"/>
        <v>2400000</v>
      </c>
    </row>
    <row r="749" spans="1:8" s="2" customFormat="1" ht="24" customHeight="1">
      <c r="A749" s="6">
        <v>748</v>
      </c>
      <c r="B749" s="4" t="str">
        <f>"1200000793"</f>
        <v>1200000793</v>
      </c>
      <c r="C749" s="5" t="str">
        <f>"گونيا فلز  400"</f>
        <v>گونيا فلز  400</v>
      </c>
      <c r="D749" s="4" t="str">
        <f>"SUPER  40 سانتيمتر"</f>
        <v>SUPER  40 سانتيمتر</v>
      </c>
      <c r="E749" s="4" t="str">
        <f t="shared" ref="E749:E759" si="49">"عدد"</f>
        <v>عدد</v>
      </c>
      <c r="F749" s="4">
        <v>1</v>
      </c>
      <c r="G749" s="10">
        <v>400000</v>
      </c>
      <c r="H749" s="10">
        <f t="shared" si="46"/>
        <v>400000</v>
      </c>
    </row>
    <row r="750" spans="1:8" s="2" customFormat="1" ht="24" customHeight="1">
      <c r="A750" s="4">
        <v>749</v>
      </c>
      <c r="B750" s="4" t="str">
        <f>"1200000794"</f>
        <v>1200000794</v>
      </c>
      <c r="C750" s="5" t="str">
        <f>"گونيا فلز  350"</f>
        <v>گونيا فلز  350</v>
      </c>
      <c r="D750" s="4" t="str">
        <f>"35   سانتيمتر   MARABO"</f>
        <v>35   سانتيمتر   MARABO</v>
      </c>
      <c r="E750" s="4" t="str">
        <f t="shared" si="49"/>
        <v>عدد</v>
      </c>
      <c r="F750" s="4">
        <v>2</v>
      </c>
      <c r="G750" s="10">
        <v>400000</v>
      </c>
      <c r="H750" s="10">
        <f t="shared" si="46"/>
        <v>800000</v>
      </c>
    </row>
    <row r="751" spans="1:8" s="2" customFormat="1" ht="24" customHeight="1">
      <c r="A751" s="4">
        <v>750</v>
      </c>
      <c r="B751" s="4" t="str">
        <f>"1200000795"</f>
        <v>1200000795</v>
      </c>
      <c r="C751" s="5" t="str">
        <f>"گونيا فلزي لبه دار  300"</f>
        <v>گونيا فلزي لبه دار  300</v>
      </c>
      <c r="D751" s="4" t="str">
        <f>"30 سانتيمتر   AFRA"</f>
        <v>30 سانتيمتر   AFRA</v>
      </c>
      <c r="E751" s="4" t="str">
        <f t="shared" si="49"/>
        <v>عدد</v>
      </c>
      <c r="F751" s="4">
        <v>2</v>
      </c>
      <c r="G751" s="10">
        <v>350000</v>
      </c>
      <c r="H751" s="10">
        <f t="shared" si="46"/>
        <v>700000</v>
      </c>
    </row>
    <row r="752" spans="1:8" s="2" customFormat="1" ht="24" customHeight="1">
      <c r="A752" s="4">
        <v>751</v>
      </c>
      <c r="B752" s="4" t="str">
        <f>"1200000796"</f>
        <v>1200000796</v>
      </c>
      <c r="C752" s="5" t="str">
        <f>"گونيا فلزي  200"</f>
        <v>گونيا فلزي  200</v>
      </c>
      <c r="D752" s="4" t="str">
        <f>"20 سانتيمتر   HARDEN STEEL"</f>
        <v>20 سانتيمتر   HARDEN STEEL</v>
      </c>
      <c r="E752" s="4" t="str">
        <f t="shared" si="49"/>
        <v>عدد</v>
      </c>
      <c r="F752" s="4">
        <v>1</v>
      </c>
      <c r="G752" s="10">
        <v>200000</v>
      </c>
      <c r="H752" s="10">
        <f t="shared" si="46"/>
        <v>200000</v>
      </c>
    </row>
    <row r="753" spans="1:8" s="2" customFormat="1" ht="24" customHeight="1">
      <c r="A753" s="6">
        <v>752</v>
      </c>
      <c r="B753" s="4" t="str">
        <f>"1200000797"</f>
        <v>1200000797</v>
      </c>
      <c r="C753" s="5" t="str">
        <f>"گونيا استيل  200"</f>
        <v>گونيا استيل  200</v>
      </c>
      <c r="D753" s="4" t="str">
        <f>"20cm"</f>
        <v>20cm</v>
      </c>
      <c r="E753" s="4" t="str">
        <f t="shared" si="49"/>
        <v>عدد</v>
      </c>
      <c r="F753" s="4">
        <v>1</v>
      </c>
      <c r="G753" s="10">
        <v>500000</v>
      </c>
      <c r="H753" s="10">
        <f t="shared" si="46"/>
        <v>500000</v>
      </c>
    </row>
    <row r="754" spans="1:8" s="2" customFormat="1" ht="24" customHeight="1">
      <c r="A754" s="4">
        <v>753</v>
      </c>
      <c r="B754" s="4" t="str">
        <f>"1200000798"</f>
        <v>1200000798</v>
      </c>
      <c r="C754" s="5" t="str">
        <f>"گونيا دسته چوبي 200"</f>
        <v>گونيا دسته چوبي 200</v>
      </c>
      <c r="D754" s="4" t="str">
        <f>"20 سانتيمتر  فاقد مارک"</f>
        <v>20 سانتيمتر  فاقد مارک</v>
      </c>
      <c r="E754" s="4" t="str">
        <f t="shared" si="49"/>
        <v>عدد</v>
      </c>
      <c r="F754" s="4">
        <v>1</v>
      </c>
      <c r="G754" s="10">
        <v>450000</v>
      </c>
      <c r="H754" s="10">
        <f t="shared" si="46"/>
        <v>450000</v>
      </c>
    </row>
    <row r="755" spans="1:8" s="2" customFormat="1" ht="24" customHeight="1">
      <c r="A755" s="4">
        <v>754</v>
      </c>
      <c r="B755" s="4" t="str">
        <f>"1200000799"</f>
        <v>1200000799</v>
      </c>
      <c r="C755" s="5" t="str">
        <f>"گونيا 150 ميليمتر"</f>
        <v>گونيا 150 ميليمتر</v>
      </c>
      <c r="D755" s="4" t="str">
        <f>"15سانتيمتر  HARDENED"</f>
        <v>15سانتيمتر  HARDENED</v>
      </c>
      <c r="E755" s="4" t="str">
        <f t="shared" si="49"/>
        <v>عدد</v>
      </c>
      <c r="F755" s="4">
        <v>1</v>
      </c>
      <c r="G755" s="10">
        <v>1200000</v>
      </c>
      <c r="H755" s="10">
        <f t="shared" si="46"/>
        <v>1200000</v>
      </c>
    </row>
    <row r="756" spans="1:8" s="2" customFormat="1" ht="24" customHeight="1">
      <c r="A756" s="4">
        <v>755</v>
      </c>
      <c r="B756" s="4" t="str">
        <f>"1200000800"</f>
        <v>1200000800</v>
      </c>
      <c r="C756" s="5" t="str">
        <f>"گونيا لبه دار  150 ميليمتر"</f>
        <v>گونيا لبه دار  150 ميليمتر</v>
      </c>
      <c r="D756" s="4" t="str">
        <f>"15 سانتيمتر"</f>
        <v>15 سانتيمتر</v>
      </c>
      <c r="E756" s="4" t="str">
        <f t="shared" si="49"/>
        <v>عدد</v>
      </c>
      <c r="F756" s="4">
        <v>1</v>
      </c>
      <c r="G756" s="10">
        <v>1200000</v>
      </c>
      <c r="H756" s="10">
        <f t="shared" si="46"/>
        <v>1200000</v>
      </c>
    </row>
    <row r="757" spans="1:8" s="2" customFormat="1" ht="24" customHeight="1">
      <c r="A757" s="6">
        <v>756</v>
      </c>
      <c r="B757" s="4" t="str">
        <f>"1200000801"</f>
        <v>1200000801</v>
      </c>
      <c r="C757" s="5" t="str">
        <f>"تراز آلمينيومي  60 سانتيمتر"</f>
        <v>تراز آلمينيومي  60 سانتيمتر</v>
      </c>
      <c r="D757" s="4" t="str">
        <f>"SB  60سانت-"</f>
        <v>SB  60سانت-</v>
      </c>
      <c r="E757" s="4" t="str">
        <f t="shared" si="49"/>
        <v>عدد</v>
      </c>
      <c r="F757" s="4">
        <v>2</v>
      </c>
      <c r="G757" s="10">
        <v>850000</v>
      </c>
      <c r="H757" s="10">
        <f t="shared" si="46"/>
        <v>1700000</v>
      </c>
    </row>
    <row r="758" spans="1:8" s="2" customFormat="1" ht="24" customHeight="1">
      <c r="A758" s="4">
        <v>757</v>
      </c>
      <c r="B758" s="4" t="str">
        <f>"1200000802"</f>
        <v>1200000802</v>
      </c>
      <c r="C758" s="5" t="str">
        <f>"تراز آلمينيومي 30 سانتيمتر"</f>
        <v>تراز آلمينيومي 30 سانتيمتر</v>
      </c>
      <c r="D758" s="4" t="str">
        <f>"STANLEY-  آبي"</f>
        <v>STANLEY-  آبي</v>
      </c>
      <c r="E758" s="4" t="str">
        <f t="shared" si="49"/>
        <v>عدد</v>
      </c>
      <c r="F758" s="4">
        <v>2</v>
      </c>
      <c r="G758" s="10">
        <v>400000</v>
      </c>
      <c r="H758" s="10">
        <f t="shared" si="46"/>
        <v>800000</v>
      </c>
    </row>
    <row r="759" spans="1:8" s="2" customFormat="1" ht="24" customHeight="1">
      <c r="A759" s="4">
        <v>758</v>
      </c>
      <c r="B759" s="4" t="str">
        <f>"1200000803"</f>
        <v>1200000803</v>
      </c>
      <c r="C759" s="5" t="str">
        <f>"تراز مگنتي  30سانتيمتر MTC"</f>
        <v>تراز مگنتي  30سانتيمتر MTC</v>
      </c>
      <c r="D759" s="4" t="str">
        <f>"30 سانت   MTC"</f>
        <v>30 سانت   MTC</v>
      </c>
      <c r="E759" s="4" t="str">
        <f t="shared" si="49"/>
        <v>عدد</v>
      </c>
      <c r="F759" s="4">
        <v>4</v>
      </c>
      <c r="G759" s="10">
        <v>550000</v>
      </c>
      <c r="H759" s="10">
        <f t="shared" si="46"/>
        <v>2200000</v>
      </c>
    </row>
    <row r="760" spans="1:8" s="2" customFormat="1" ht="24" customHeight="1">
      <c r="A760" s="4">
        <v>759</v>
      </c>
      <c r="B760" s="4" t="str">
        <f>"1200000804"</f>
        <v>1200000804</v>
      </c>
      <c r="C760" s="5" t="str">
        <f>"پد اندازه گيري 82 عددي"</f>
        <v>پد اندازه گيري 82 عددي</v>
      </c>
      <c r="D760" s="4" t="str">
        <f>"ROCT9038-90"</f>
        <v>ROCT9038-90</v>
      </c>
      <c r="E760" s="4" t="str">
        <f>"ست"</f>
        <v>ست</v>
      </c>
      <c r="F760" s="4">
        <v>1</v>
      </c>
      <c r="G760" s="10">
        <v>3800000</v>
      </c>
      <c r="H760" s="10">
        <f t="shared" si="46"/>
        <v>3800000</v>
      </c>
    </row>
    <row r="761" spans="1:8" s="2" customFormat="1" ht="24" customHeight="1">
      <c r="A761" s="6">
        <v>760</v>
      </c>
      <c r="B761" s="4" t="str">
        <f>"1200000805"</f>
        <v>1200000805</v>
      </c>
      <c r="C761" s="5" t="str">
        <f>"ساعت انديکاتور پايه دار  90-0   قطعه اي"</f>
        <v>ساعت انديکاتور پايه دار  90-0   قطعه اي</v>
      </c>
      <c r="D761" s="4" t="str">
        <f>"دقت  0/01  BOCCHI -کاليبره 40514 -9272   -کاليبره 54008-9289"</f>
        <v>دقت  0/01  BOCCHI -کاليبره 40514 -9272   -کاليبره 54008-9289</v>
      </c>
      <c r="E761" s="4" t="str">
        <f>"ست"</f>
        <v>ست</v>
      </c>
      <c r="F761" s="4">
        <v>2</v>
      </c>
      <c r="G761" s="10">
        <v>4000000</v>
      </c>
      <c r="H761" s="10">
        <f t="shared" si="46"/>
        <v>8000000</v>
      </c>
    </row>
    <row r="762" spans="1:8" s="2" customFormat="1" ht="24" customHeight="1">
      <c r="A762" s="4">
        <v>761</v>
      </c>
      <c r="B762" s="4" t="str">
        <f>"1200000806"</f>
        <v>1200000806</v>
      </c>
      <c r="C762" s="5" t="str">
        <f>"ساعت انديکاتور با پايه   90-0"</f>
        <v>ساعت انديکاتور با پايه   90-0</v>
      </c>
      <c r="D762" s="4" t="str">
        <f>"USSR -کاليبره  17961 - ست 2عددي-کاليبره 19962"</f>
        <v>USSR -کاليبره  17961 - ست 2عددي-کاليبره 19962</v>
      </c>
      <c r="E762" s="4" t="str">
        <f t="shared" ref="E762:E779" si="50">"دستگاه"</f>
        <v>دستگاه</v>
      </c>
      <c r="F762" s="4">
        <v>2</v>
      </c>
      <c r="G762" s="10">
        <v>7000000</v>
      </c>
      <c r="H762" s="10">
        <f t="shared" si="46"/>
        <v>14000000</v>
      </c>
    </row>
    <row r="763" spans="1:8" s="2" customFormat="1" ht="24" customHeight="1">
      <c r="A763" s="4">
        <v>762</v>
      </c>
      <c r="B763" s="4" t="str">
        <f>"1200000807"</f>
        <v>1200000807</v>
      </c>
      <c r="C763" s="5" t="str">
        <f>"ساعت انديکاتور 90-0"</f>
        <v>ساعت انديکاتور 90-0</v>
      </c>
      <c r="D763" s="4" t="str">
        <f>"HOHH KOLB   کاليبره  31846"</f>
        <v>HOHH KOLB   کاليبره  31846</v>
      </c>
      <c r="E763" s="4" t="str">
        <f t="shared" si="50"/>
        <v>دستگاه</v>
      </c>
      <c r="F763" s="4">
        <v>1</v>
      </c>
      <c r="G763" s="10">
        <v>4000000</v>
      </c>
      <c r="H763" s="10">
        <f t="shared" si="46"/>
        <v>4000000</v>
      </c>
    </row>
    <row r="764" spans="1:8" s="2" customFormat="1" ht="24" customHeight="1">
      <c r="A764" s="4">
        <v>763</v>
      </c>
      <c r="B764" s="4" t="str">
        <f>"1200000808"</f>
        <v>1200000808</v>
      </c>
      <c r="C764" s="5" t="str">
        <f>"ساعت انديکاتور  90-0"</f>
        <v>ساعت انديکاتور  90-0</v>
      </c>
      <c r="D764" s="4" t="str">
        <f>"BOCCHI  0195159  -    کاليبره  48828"</f>
        <v>BOCCHI  0195159  -    کاليبره  48828</v>
      </c>
      <c r="E764" s="4" t="str">
        <f t="shared" si="50"/>
        <v>دستگاه</v>
      </c>
      <c r="F764" s="4">
        <v>1</v>
      </c>
      <c r="G764" s="10">
        <v>4000000</v>
      </c>
      <c r="H764" s="10">
        <f t="shared" si="46"/>
        <v>4000000</v>
      </c>
    </row>
    <row r="765" spans="1:8" s="2" customFormat="1" ht="24" customHeight="1">
      <c r="A765" s="6">
        <v>764</v>
      </c>
      <c r="B765" s="4" t="str">
        <f>"1200000809"</f>
        <v>1200000809</v>
      </c>
      <c r="C765" s="5" t="str">
        <f>"ساعت  انديکاتور  90-0"</f>
        <v>ساعت  انديکاتور  90-0</v>
      </c>
      <c r="D765" s="4" t="str">
        <f>"LG  0/01 MM  - کاليبره  33332"</f>
        <v>LG  0/01 MM  - کاليبره  33332</v>
      </c>
      <c r="E765" s="4" t="str">
        <f t="shared" si="50"/>
        <v>دستگاه</v>
      </c>
      <c r="F765" s="4">
        <v>6</v>
      </c>
      <c r="G765" s="10">
        <v>3800000</v>
      </c>
      <c r="H765" s="10">
        <f t="shared" si="46"/>
        <v>22800000</v>
      </c>
    </row>
    <row r="766" spans="1:8" s="2" customFormat="1" ht="24" customHeight="1">
      <c r="A766" s="4">
        <v>765</v>
      </c>
      <c r="B766" s="4" t="str">
        <f>"1200000810"</f>
        <v>1200000810</v>
      </c>
      <c r="C766" s="5" t="str">
        <f>"ساعت انديکاتور      90-0"</f>
        <v>ساعت انديکاتور      90-0</v>
      </c>
      <c r="D766" s="4" t="str">
        <f>"USSR    کاليبره  40945"</f>
        <v>USSR    کاليبره  40945</v>
      </c>
      <c r="E766" s="4" t="str">
        <f t="shared" si="50"/>
        <v>دستگاه</v>
      </c>
      <c r="F766" s="4">
        <v>5</v>
      </c>
      <c r="G766" s="10">
        <v>3800000</v>
      </c>
      <c r="H766" s="10">
        <f t="shared" si="46"/>
        <v>19000000</v>
      </c>
    </row>
    <row r="767" spans="1:8" s="2" customFormat="1" ht="24" customHeight="1">
      <c r="A767" s="4">
        <v>766</v>
      </c>
      <c r="B767" s="4" t="str">
        <f>"1200000811"</f>
        <v>1200000811</v>
      </c>
      <c r="C767" s="5" t="str">
        <f>"ساعت انديکاتور   40-0   4عددي"</f>
        <v>ساعت انديکاتور   40-0   4عددي</v>
      </c>
      <c r="D767" s="4" t="str">
        <f>"USSR کاليبره  17298"</f>
        <v>USSR کاليبره  17298</v>
      </c>
      <c r="E767" s="4" t="str">
        <f t="shared" si="50"/>
        <v>دستگاه</v>
      </c>
      <c r="F767" s="4">
        <v>1</v>
      </c>
      <c r="G767" s="10">
        <v>7500000</v>
      </c>
      <c r="H767" s="10">
        <f t="shared" si="46"/>
        <v>7500000</v>
      </c>
    </row>
    <row r="768" spans="1:8" s="2" customFormat="1" ht="24" customHeight="1">
      <c r="A768" s="4">
        <v>767</v>
      </c>
      <c r="B768" s="4" t="str">
        <f>"1200000812"</f>
        <v>1200000812</v>
      </c>
      <c r="C768" s="5" t="str">
        <f>"ميگر اندازه گيري عقربه اي(اهم متر)"</f>
        <v>ميگر اندازه گيري عقربه اي(اهم متر)</v>
      </c>
      <c r="D768" s="4" t="str">
        <f>"3132A   KYORITSU  W8033497-W8048704"</f>
        <v>3132A   KYORITSU  W8033497-W8048704</v>
      </c>
      <c r="E768" s="4" t="str">
        <f t="shared" si="50"/>
        <v>دستگاه</v>
      </c>
      <c r="F768" s="4">
        <v>2</v>
      </c>
      <c r="G768" s="10">
        <v>5000000</v>
      </c>
      <c r="H768" s="10">
        <f t="shared" si="46"/>
        <v>10000000</v>
      </c>
    </row>
    <row r="769" spans="1:8" s="2" customFormat="1" ht="24" customHeight="1">
      <c r="A769" s="6">
        <v>768</v>
      </c>
      <c r="B769" s="4" t="str">
        <f>"1200000813"</f>
        <v>1200000813</v>
      </c>
      <c r="C769" s="5" t="str">
        <f>"عمق سنج  يک طرفه  500 ميليمتر"</f>
        <v>عمق سنج  يک طرفه  500 ميليمتر</v>
      </c>
      <c r="D769" s="4" t="str">
        <f>"کاليبره 63019- 53945"</f>
        <v>کاليبره 63019- 53945</v>
      </c>
      <c r="E769" s="4" t="str">
        <f t="shared" si="50"/>
        <v>دستگاه</v>
      </c>
      <c r="F769" s="4">
        <v>1</v>
      </c>
      <c r="G769" s="10">
        <v>3500000</v>
      </c>
      <c r="H769" s="10">
        <f t="shared" si="46"/>
        <v>3500000</v>
      </c>
    </row>
    <row r="770" spans="1:8" s="2" customFormat="1" ht="24" customHeight="1">
      <c r="A770" s="4">
        <v>769</v>
      </c>
      <c r="B770" s="4" t="str">
        <f>"1200000814"</f>
        <v>1200000814</v>
      </c>
      <c r="C770" s="5" t="str">
        <f>"عمق سنج يک طرفه 400 ميليمتر"</f>
        <v>عمق سنج يک طرفه 400 ميليمتر</v>
      </c>
      <c r="D770" s="4" t="str">
        <f>"کاليبره  63020- 1922"</f>
        <v>کاليبره  63020- 1922</v>
      </c>
      <c r="E770" s="4" t="str">
        <f t="shared" si="50"/>
        <v>دستگاه</v>
      </c>
      <c r="F770" s="4">
        <v>1</v>
      </c>
      <c r="G770" s="10">
        <v>3300000</v>
      </c>
      <c r="H770" s="10">
        <f t="shared" si="46"/>
        <v>3300000</v>
      </c>
    </row>
    <row r="771" spans="1:8" s="2" customFormat="1" ht="24" customHeight="1">
      <c r="A771" s="4">
        <v>770</v>
      </c>
      <c r="B771" s="4" t="str">
        <f>"1200000815"</f>
        <v>1200000815</v>
      </c>
      <c r="C771" s="5" t="str">
        <f>"کوليس ضخامت سنج دست ساز 250ميليمتري"</f>
        <v>کوليس ضخامت سنج دست ساز 250ميليمتري</v>
      </c>
      <c r="D771" s="4" t="str">
        <f>"  K8700 CCCP - کاليبره 17332"</f>
        <v xml:space="preserve">  K8700 CCCP - کاليبره 17332</v>
      </c>
      <c r="E771" s="4" t="str">
        <f t="shared" si="50"/>
        <v>دستگاه</v>
      </c>
      <c r="F771" s="4">
        <v>1</v>
      </c>
      <c r="G771" s="10">
        <v>3000000</v>
      </c>
      <c r="H771" s="10">
        <f t="shared" si="46"/>
        <v>3000000</v>
      </c>
    </row>
    <row r="772" spans="1:8" s="2" customFormat="1" ht="24" customHeight="1">
      <c r="A772" s="4">
        <v>771</v>
      </c>
      <c r="B772" s="4" t="str">
        <f>"1200000816"</f>
        <v>1200000816</v>
      </c>
      <c r="C772" s="5" t="str">
        <f>"ميکرومتر خارج سنج سر كجUSSR"</f>
        <v>ميکرومتر خارج سنج سر كجUSSR</v>
      </c>
      <c r="D772" s="4" t="str">
        <f>"1977-USSR -کاليبره 17427"</f>
        <v>1977-USSR -کاليبره 17427</v>
      </c>
      <c r="E772" s="4" t="str">
        <f t="shared" si="50"/>
        <v>دستگاه</v>
      </c>
      <c r="F772" s="4">
        <v>1</v>
      </c>
      <c r="G772" s="10">
        <v>3500000</v>
      </c>
      <c r="H772" s="10">
        <f t="shared" si="46"/>
        <v>3500000</v>
      </c>
    </row>
    <row r="773" spans="1:8" s="2" customFormat="1" ht="24" customHeight="1">
      <c r="A773" s="6">
        <v>772</v>
      </c>
      <c r="B773" s="4" t="str">
        <f>"1200000817"</f>
        <v>1200000817</v>
      </c>
      <c r="C773" s="5" t="str">
        <f>"کوليس ضخامت سنج دست ساز 100ميليمتري"</f>
        <v>کوليس ضخامت سنج دست ساز 100ميليمتري</v>
      </c>
      <c r="D773" s="4" t="str">
        <f>"K 8700-0910-کاليبره 17334"</f>
        <v>K 8700-0910-کاليبره 17334</v>
      </c>
      <c r="E773" s="4" t="str">
        <f t="shared" si="50"/>
        <v>دستگاه</v>
      </c>
      <c r="F773" s="4">
        <v>1</v>
      </c>
      <c r="G773" s="10">
        <v>2300000</v>
      </c>
      <c r="H773" s="10">
        <f t="shared" ref="H773:H836" si="51">F773*G773</f>
        <v>2300000</v>
      </c>
    </row>
    <row r="774" spans="1:8" s="2" customFormat="1" ht="24" customHeight="1">
      <c r="A774" s="4">
        <v>773</v>
      </c>
      <c r="B774" s="4" t="str">
        <f>"1200000818"</f>
        <v>1200000818</v>
      </c>
      <c r="C774" s="5" t="str">
        <f>"ميکرومتر خارج سنج8عددي100 تا 300 ATLAS"</f>
        <v>ميکرومتر خارج سنج8عددي100 تا 300 ATLAS</v>
      </c>
      <c r="D774" s="4" t="str">
        <f>"100-125و125-150و150-175و175-200و200-225و225-250و250-275و275-300"</f>
        <v>100-125و125-150و150-175و175-200و200-225و225-250و250-275و275-300</v>
      </c>
      <c r="E774" s="4" t="str">
        <f t="shared" si="50"/>
        <v>دستگاه</v>
      </c>
      <c r="F774" s="4">
        <v>8</v>
      </c>
      <c r="G774" s="10">
        <v>4000000</v>
      </c>
      <c r="H774" s="10">
        <f t="shared" si="51"/>
        <v>32000000</v>
      </c>
    </row>
    <row r="775" spans="1:8" s="2" customFormat="1" ht="24" customHeight="1">
      <c r="A775" s="4">
        <v>774</v>
      </c>
      <c r="B775" s="4" t="str">
        <f>"1200000819"</f>
        <v>1200000819</v>
      </c>
      <c r="C775" s="5" t="str">
        <f>"ترازو عقربه اي 5000كيلوگرمي"</f>
        <v>ترازو عقربه اي 5000كيلوگرمي</v>
      </c>
      <c r="D775" s="4" t="str">
        <f>"0-5000 KG  -  36006-NUILLSTELLER"</f>
        <v>0-5000 KG  -  36006-NUILLSTELLER</v>
      </c>
      <c r="E775" s="4" t="str">
        <f t="shared" si="50"/>
        <v>دستگاه</v>
      </c>
      <c r="F775" s="4">
        <v>1</v>
      </c>
      <c r="G775" s="10">
        <v>30000000</v>
      </c>
      <c r="H775" s="10">
        <f t="shared" si="51"/>
        <v>30000000</v>
      </c>
    </row>
    <row r="776" spans="1:8" s="2" customFormat="1" ht="24" customHeight="1">
      <c r="A776" s="4">
        <v>775</v>
      </c>
      <c r="B776" s="4" t="str">
        <f>"1200000820"</f>
        <v>1200000820</v>
      </c>
      <c r="C776" s="5" t="str">
        <f>"ترک متر  درايو 1/2"</f>
        <v>ترک متر  درايو 1/2</v>
      </c>
      <c r="D776" s="4" t="str">
        <f>"417  N.M  HANS  42-21 N.M -320683---70-350N.M -334950--20-100N.M-GEDORE 3078"</f>
        <v>417  N.M  HANS  42-21 N.M -320683---70-350N.M -334950--20-100N.M-GEDORE 3078</v>
      </c>
      <c r="E776" s="4" t="str">
        <f t="shared" si="50"/>
        <v>دستگاه</v>
      </c>
      <c r="F776" s="4">
        <v>2</v>
      </c>
      <c r="G776" s="10">
        <v>6500000</v>
      </c>
      <c r="H776" s="10">
        <f t="shared" si="51"/>
        <v>13000000</v>
      </c>
    </row>
    <row r="777" spans="1:8" s="2" customFormat="1" ht="24" customHeight="1">
      <c r="A777" s="6">
        <v>776</v>
      </c>
      <c r="B777" s="4" t="str">
        <f>"1200000821"</f>
        <v>1200000821</v>
      </c>
      <c r="C777" s="5" t="str">
        <f>"ترک متر هيدروليک برقي با متعلقات"</f>
        <v>ترک متر هيدروليک برقي با متعلقات</v>
      </c>
      <c r="D777" s="4" t="str">
        <f>"ZU4 ENERPAC  --B00614010C-- MAX PSI 10000-700"</f>
        <v>ZU4 ENERPAC  --B00614010C-- MAX PSI 10000-700</v>
      </c>
      <c r="E777" s="4" t="str">
        <f t="shared" si="50"/>
        <v>دستگاه</v>
      </c>
      <c r="F777" s="4">
        <v>1</v>
      </c>
      <c r="G777" s="10">
        <v>45000000</v>
      </c>
      <c r="H777" s="10">
        <f t="shared" si="51"/>
        <v>45000000</v>
      </c>
    </row>
    <row r="778" spans="1:8" s="2" customFormat="1" ht="24" customHeight="1">
      <c r="A778" s="4">
        <v>777</v>
      </c>
      <c r="B778" s="4" t="str">
        <f>"1200000822"</f>
        <v>1200000822</v>
      </c>
      <c r="C778" s="5" t="str">
        <f>"پمپ جک هيدروليک بدون گيج"</f>
        <v>پمپ جک هيدروليک بدون گيج</v>
      </c>
      <c r="D778" s="4" t="str">
        <f>"ENERPAC-P2282 -P392 10000-700BAR-35BAR"</f>
        <v>ENERPAC-P2282 -P392 10000-700BAR-35BAR</v>
      </c>
      <c r="E778" s="4" t="str">
        <f t="shared" si="50"/>
        <v>دستگاه</v>
      </c>
      <c r="F778" s="4">
        <v>5</v>
      </c>
      <c r="G778" s="10">
        <v>15000000</v>
      </c>
      <c r="H778" s="10">
        <f t="shared" si="51"/>
        <v>75000000</v>
      </c>
    </row>
    <row r="779" spans="1:8" s="2" customFormat="1" ht="24" customHeight="1">
      <c r="A779" s="4">
        <v>778</v>
      </c>
      <c r="B779" s="4" t="str">
        <f>"1200000823"</f>
        <v>1200000823</v>
      </c>
      <c r="C779" s="5" t="str">
        <f>"پمپ جک هيدروليک گيج دار"</f>
        <v>پمپ جک هيدروليک گيج دار</v>
      </c>
      <c r="D779" s="4" t="str">
        <f>"ENERPAC -10000-700 BAR -"</f>
        <v>ENERPAC -10000-700 BAR -</v>
      </c>
      <c r="E779" s="4" t="str">
        <f t="shared" si="50"/>
        <v>دستگاه</v>
      </c>
      <c r="F779" s="4">
        <v>1</v>
      </c>
      <c r="G779" s="10">
        <v>19000000</v>
      </c>
      <c r="H779" s="10">
        <f t="shared" si="51"/>
        <v>19000000</v>
      </c>
    </row>
    <row r="780" spans="1:8" s="2" customFormat="1" ht="24" customHeight="1">
      <c r="A780" s="4">
        <v>779</v>
      </c>
      <c r="B780" s="4" t="str">
        <f>"1200000824"</f>
        <v>1200000824</v>
      </c>
      <c r="C780" s="5" t="str">
        <f>"جک هيدروليک استوانه اي  10 تن"</f>
        <v>جک هيدروليک استوانه اي  10 تن</v>
      </c>
      <c r="D780" s="4" t="str">
        <f>"10 TON - MAX 10000-700 A 1714 K RCS101-A19 14K-A25 14K"</f>
        <v>10 TON - MAX 10000-700 A 1714 K RCS101-A19 14K-A25 14K</v>
      </c>
      <c r="E780" s="4" t="str">
        <f t="shared" ref="E780:E786" si="52">"عدد"</f>
        <v>عدد</v>
      </c>
      <c r="F780" s="4">
        <v>1</v>
      </c>
      <c r="G780" s="10">
        <v>18000000</v>
      </c>
      <c r="H780" s="10">
        <f t="shared" si="51"/>
        <v>18000000</v>
      </c>
    </row>
    <row r="781" spans="1:8" s="2" customFormat="1" ht="24" customHeight="1">
      <c r="A781" s="6">
        <v>780</v>
      </c>
      <c r="B781" s="4" t="str">
        <f>"1200000825"</f>
        <v>1200000825</v>
      </c>
      <c r="C781" s="5" t="str">
        <f>"جک هيدروليک استوانه اي   20 تن"</f>
        <v>جک هيدروليک استوانه اي   20 تن</v>
      </c>
      <c r="D781" s="4" t="str">
        <f>"10000-700 BAR- A2814K RCS201--CS012K--RCH 202--C2914 K"</f>
        <v>10000-700 BAR- A2814K RCS201--CS012K--RCH 202--C2914 K</v>
      </c>
      <c r="E781" s="4" t="str">
        <f t="shared" si="52"/>
        <v>عدد</v>
      </c>
      <c r="F781" s="4">
        <v>2</v>
      </c>
      <c r="G781" s="10">
        <v>20000000</v>
      </c>
      <c r="H781" s="10">
        <f t="shared" si="51"/>
        <v>40000000</v>
      </c>
    </row>
    <row r="782" spans="1:8" s="2" customFormat="1" ht="24" customHeight="1">
      <c r="A782" s="4">
        <v>781</v>
      </c>
      <c r="B782" s="4" t="str">
        <f>"1200000826"</f>
        <v>1200000826</v>
      </c>
      <c r="C782" s="5" t="str">
        <f>"جک هيدروليک  استوانه اي  30 تن"</f>
        <v>جک هيدروليک  استوانه اي  30 تن</v>
      </c>
      <c r="D782" s="4" t="str">
        <f>"10000-700BAR -B3414KRCS 302 --B2414KRCS302"</f>
        <v>10000-700BAR -B3414KRCS 302 --B2414KRCS302</v>
      </c>
      <c r="E782" s="4" t="str">
        <f t="shared" si="52"/>
        <v>عدد</v>
      </c>
      <c r="F782" s="4">
        <v>3</v>
      </c>
      <c r="G782" s="10">
        <v>25000000</v>
      </c>
      <c r="H782" s="10">
        <f t="shared" si="51"/>
        <v>75000000</v>
      </c>
    </row>
    <row r="783" spans="1:8" s="2" customFormat="1" ht="24" customHeight="1">
      <c r="A783" s="4">
        <v>782</v>
      </c>
      <c r="B783" s="4" t="str">
        <f>"1200000827"</f>
        <v>1200000827</v>
      </c>
      <c r="C783" s="5" t="str">
        <f>"جک هيدروليک استوانه اي  50 تن"</f>
        <v>جک هيدروليک استوانه اي  50 تن</v>
      </c>
      <c r="D783" s="4" t="str">
        <f>"C50 12K -RC502"</f>
        <v>C50 12K -RC502</v>
      </c>
      <c r="E783" s="4" t="str">
        <f t="shared" si="52"/>
        <v>عدد</v>
      </c>
      <c r="F783" s="4">
        <v>2</v>
      </c>
      <c r="G783" s="10">
        <v>28000000</v>
      </c>
      <c r="H783" s="10">
        <f t="shared" si="51"/>
        <v>56000000</v>
      </c>
    </row>
    <row r="784" spans="1:8" s="2" customFormat="1" ht="24" customHeight="1">
      <c r="A784" s="4">
        <v>783</v>
      </c>
      <c r="B784" s="4" t="str">
        <f>"1200000831"</f>
        <v>1200000831</v>
      </c>
      <c r="C784" s="5" t="str">
        <f>"جک ماشيني 3/5 تني دسته دار"</f>
        <v>جک ماشيني 3/5 تني دسته دار</v>
      </c>
      <c r="D784" s="4" t="str">
        <f>"IRAN JACK"</f>
        <v>IRAN JACK</v>
      </c>
      <c r="E784" s="4" t="str">
        <f t="shared" si="52"/>
        <v>عدد</v>
      </c>
      <c r="F784" s="4">
        <v>2</v>
      </c>
      <c r="G784" s="10">
        <v>700000</v>
      </c>
      <c r="H784" s="10">
        <f t="shared" si="51"/>
        <v>1400000</v>
      </c>
    </row>
    <row r="785" spans="1:8" s="2" customFormat="1" ht="24" customHeight="1">
      <c r="A785" s="6">
        <v>784</v>
      </c>
      <c r="B785" s="4" t="str">
        <f>"1200000832"</f>
        <v>1200000832</v>
      </c>
      <c r="C785" s="5" t="str">
        <f>"جک ماشيني 10 تني دسته دار"</f>
        <v>جک ماشيني 10 تني دسته دار</v>
      </c>
      <c r="D785" s="4" t="str">
        <f>"IRAN JACK"</f>
        <v>IRAN JACK</v>
      </c>
      <c r="E785" s="4" t="str">
        <f t="shared" si="52"/>
        <v>عدد</v>
      </c>
      <c r="F785" s="4">
        <v>4</v>
      </c>
      <c r="G785" s="10">
        <v>1500000</v>
      </c>
      <c r="H785" s="10">
        <f t="shared" si="51"/>
        <v>6000000</v>
      </c>
    </row>
    <row r="786" spans="1:8" s="2" customFormat="1" ht="24" customHeight="1">
      <c r="A786" s="4">
        <v>785</v>
      </c>
      <c r="B786" s="4" t="str">
        <f>"1200000833"</f>
        <v>1200000833</v>
      </c>
      <c r="C786" s="5" t="str">
        <f>"جک ماشيني 5  تني دسته دار"</f>
        <v>جک ماشيني 5  تني دسته دار</v>
      </c>
      <c r="D786" s="4" t="str">
        <f>"IRAN JACK"</f>
        <v>IRAN JACK</v>
      </c>
      <c r="E786" s="4" t="str">
        <f t="shared" si="52"/>
        <v>عدد</v>
      </c>
      <c r="F786" s="4">
        <v>2</v>
      </c>
      <c r="G786" s="10">
        <v>750000</v>
      </c>
      <c r="H786" s="10">
        <f t="shared" si="51"/>
        <v>1500000</v>
      </c>
    </row>
    <row r="787" spans="1:8" s="2" customFormat="1" ht="24" customHeight="1">
      <c r="A787" s="4">
        <v>786</v>
      </c>
      <c r="B787" s="4" t="str">
        <f>"1200000834"</f>
        <v>1200000834</v>
      </c>
      <c r="C787" s="5" t="str">
        <f>"دريل شارژي هيلتي همراه با متعلقات"</f>
        <v>دريل شارژي هيلتي همراه با متعلقات</v>
      </c>
      <c r="D787" s="4" t="str">
        <f>"SFH 22-A  HILTI -PA666F35-  423711کاليبره -429811105"</f>
        <v>SFH 22-A  HILTI -PA666F35-  423711کاليبره -429811105</v>
      </c>
      <c r="E787" s="4" t="str">
        <f>"دستگاه"</f>
        <v>دستگاه</v>
      </c>
      <c r="F787" s="4">
        <v>1</v>
      </c>
      <c r="G787" s="10">
        <v>15000000</v>
      </c>
      <c r="H787" s="10">
        <f t="shared" si="51"/>
        <v>15000000</v>
      </c>
    </row>
    <row r="788" spans="1:8" s="2" customFormat="1" ht="24" customHeight="1">
      <c r="A788" s="4">
        <v>787</v>
      </c>
      <c r="B788" s="4" t="str">
        <f>"1200000836"</f>
        <v>1200000836</v>
      </c>
      <c r="C788" s="5" t="str">
        <f>"دستگاه بکس بادي درايو  1/2-1همراه با فيلتر"</f>
        <v>دستگاه بکس بادي درايو  1/2-1همراه با فيلتر</v>
      </c>
      <c r="D788" s="4" t="str">
        <f>"NMPK- 1   1/2 DRIVE"</f>
        <v>NMPK- 1   1/2 DRIVE</v>
      </c>
      <c r="E788" s="4" t="str">
        <f>"دستگاه"</f>
        <v>دستگاه</v>
      </c>
      <c r="F788" s="4">
        <v>1</v>
      </c>
      <c r="G788" s="10">
        <v>25000000</v>
      </c>
      <c r="H788" s="10">
        <f t="shared" si="51"/>
        <v>25000000</v>
      </c>
    </row>
    <row r="789" spans="1:8" s="2" customFormat="1" ht="24" customHeight="1">
      <c r="A789" s="6">
        <v>788</v>
      </c>
      <c r="B789" s="4" t="str">
        <f>"1200000837"</f>
        <v>1200000837</v>
      </c>
      <c r="C789" s="5" t="str">
        <f>"دستگاه بکس بادي درايو 1/2-1اينچ"</f>
        <v>دستگاه بکس بادي درايو 1/2-1اينچ</v>
      </c>
      <c r="D789" s="4" t="str">
        <f>"FUJI  851005"</f>
        <v>FUJI  851005</v>
      </c>
      <c r="E789" s="4" t="str">
        <f>"دستگاه"</f>
        <v>دستگاه</v>
      </c>
      <c r="F789" s="4">
        <v>1</v>
      </c>
      <c r="G789" s="10">
        <v>20000000</v>
      </c>
      <c r="H789" s="10">
        <f t="shared" si="51"/>
        <v>20000000</v>
      </c>
    </row>
    <row r="790" spans="1:8" s="2" customFormat="1" ht="24" customHeight="1">
      <c r="A790" s="4">
        <v>789</v>
      </c>
      <c r="B790" s="4" t="str">
        <f>"1200000838"</f>
        <v>1200000838</v>
      </c>
      <c r="C790" s="5" t="str">
        <f>"بالانسر 22 کيلوگرمي"</f>
        <v>بالانسر 22 کيلوگرمي</v>
      </c>
      <c r="D790" s="4" t="str">
        <f>"ENDO - 1/5 M -مدل EWF22-- P2 B300734"</f>
        <v>ENDO - 1/5 M -مدل EWF22-- P2 B300734</v>
      </c>
      <c r="E790" s="4" t="str">
        <f>"عدد"</f>
        <v>عدد</v>
      </c>
      <c r="F790" s="4">
        <v>1</v>
      </c>
      <c r="G790" s="10">
        <v>12000000</v>
      </c>
      <c r="H790" s="10">
        <f t="shared" si="51"/>
        <v>12000000</v>
      </c>
    </row>
    <row r="791" spans="1:8" s="2" customFormat="1" ht="24" customHeight="1">
      <c r="A791" s="4">
        <v>790</v>
      </c>
      <c r="B791" s="4" t="str">
        <f>"1200000839"</f>
        <v>1200000839</v>
      </c>
      <c r="C791" s="5" t="str">
        <f>"بالانسر  40 کيلو گرمي"</f>
        <v>بالانسر  40 کيلو گرمي</v>
      </c>
      <c r="D791" s="4" t="str">
        <f>"ENDO - 1/5 M - مدل EWF 40 -- P2 B300738"</f>
        <v>ENDO - 1/5 M - مدل EWF 40 -- P2 B300738</v>
      </c>
      <c r="E791" s="4" t="str">
        <f>"عدد"</f>
        <v>عدد</v>
      </c>
      <c r="F791" s="4">
        <v>1</v>
      </c>
      <c r="G791" s="10">
        <v>14000000</v>
      </c>
      <c r="H791" s="10">
        <f t="shared" si="51"/>
        <v>14000000</v>
      </c>
    </row>
    <row r="792" spans="1:8" s="2" customFormat="1" ht="24" customHeight="1">
      <c r="A792" s="4">
        <v>791</v>
      </c>
      <c r="B792" s="4" t="str">
        <f>"1200000840"</f>
        <v>1200000840</v>
      </c>
      <c r="C792" s="5" t="str">
        <f>"آچار دو سر بكس 6پر 19-18ميليمتر"</f>
        <v>آچار دو سر بكس 6پر 19-18ميليمتر</v>
      </c>
      <c r="D792" s="4" t="str">
        <f>"DOWIDAT"</f>
        <v>DOWIDAT</v>
      </c>
      <c r="E792" s="4" t="str">
        <f>"عدد"</f>
        <v>عدد</v>
      </c>
      <c r="F792" s="4">
        <v>7</v>
      </c>
      <c r="G792" s="10">
        <v>250000</v>
      </c>
      <c r="H792" s="10">
        <f t="shared" si="51"/>
        <v>1750000</v>
      </c>
    </row>
    <row r="793" spans="1:8" s="2" customFormat="1" ht="24" customHeight="1">
      <c r="A793" s="6">
        <v>792</v>
      </c>
      <c r="B793" s="4" t="str">
        <f>"1200000841"</f>
        <v>1200000841</v>
      </c>
      <c r="C793" s="5" t="str">
        <f>"آچار چکش خور رينگي 12پر  ازسايز 55-150"</f>
        <v>آچار چکش خور رينگي 12پر  ازسايز 55-150</v>
      </c>
      <c r="D793" s="4" t="str">
        <f>"WALTER-55-65-70-75-80-85-95-100-105-115-120-130-135-145-150-ALLOY STEEL-100"</f>
        <v>WALTER-55-65-70-75-80-85-95-100-105-115-120-130-135-145-150-ALLOY STEEL-100</v>
      </c>
      <c r="E793" s="4" t="str">
        <f>"عدد"</f>
        <v>عدد</v>
      </c>
      <c r="F793" s="4">
        <v>23</v>
      </c>
      <c r="G793" s="10">
        <v>2000000</v>
      </c>
      <c r="H793" s="10">
        <f t="shared" si="51"/>
        <v>46000000</v>
      </c>
    </row>
    <row r="794" spans="1:8" s="2" customFormat="1" ht="24" customHeight="1">
      <c r="A794" s="4">
        <v>793</v>
      </c>
      <c r="B794" s="4" t="str">
        <f>"1200000842"</f>
        <v>1200000842</v>
      </c>
      <c r="C794" s="5" t="str">
        <f>"پولي کش 2 و 3 بازويي"</f>
        <v>پولي کش 2 و 3 بازويي</v>
      </c>
      <c r="D794" s="4" t="str">
        <f>"3اينچ - 4 اينچ  -  -085001-085002  (ابوعلي"</f>
        <v>3اينچ - 4 اينچ  -  -085001-085002  (ابوعلي</v>
      </c>
      <c r="E794" s="4" t="str">
        <f>"عدد"</f>
        <v>عدد</v>
      </c>
      <c r="F794" s="4">
        <v>2</v>
      </c>
      <c r="G794" s="10">
        <v>1500000</v>
      </c>
      <c r="H794" s="10">
        <f t="shared" si="51"/>
        <v>3000000</v>
      </c>
    </row>
    <row r="795" spans="1:8" s="2" customFormat="1" ht="24" customHeight="1">
      <c r="A795" s="4">
        <v>794</v>
      </c>
      <c r="B795" s="4" t="str">
        <f>"1200000843"</f>
        <v>1200000843</v>
      </c>
      <c r="C795" s="5" t="str">
        <f>"آچار گيربكس دار درايو3/4بزرگ 8 - 60"</f>
        <v>آچار گيربكس دار درايو3/4بزرگ 8 - 60</v>
      </c>
      <c r="D795" s="4" t="str">
        <f>"رابط كوتاه+رابط بلند+دسته+آچار هزار خار -7616 -8112538"</f>
        <v>رابط كوتاه+رابط بلند+دسته+آچار هزار خار -7616 -8112538</v>
      </c>
      <c r="E795" s="4" t="str">
        <f>"دستگاه"</f>
        <v>دستگاه</v>
      </c>
      <c r="F795" s="4">
        <v>1</v>
      </c>
      <c r="G795" s="10">
        <v>4500000</v>
      </c>
      <c r="H795" s="10">
        <f t="shared" si="51"/>
        <v>4500000</v>
      </c>
    </row>
    <row r="796" spans="1:8" s="2" customFormat="1" ht="24" customHeight="1">
      <c r="A796" s="4">
        <v>795</v>
      </c>
      <c r="B796" s="4" t="str">
        <f>"1200000844"</f>
        <v>1200000844</v>
      </c>
      <c r="C796" s="5" t="str">
        <f>"جيم پلاگ  دستي(تيفور)"</f>
        <v>جيم پلاگ  دستي(تيفور)</v>
      </c>
      <c r="D796" s="4" t="str">
        <f>"3/2 TON  VITAL"</f>
        <v>3/2 TON  VITAL</v>
      </c>
      <c r="E796" s="4" t="str">
        <f>"دستگاه"</f>
        <v>دستگاه</v>
      </c>
      <c r="F796" s="4">
        <v>1</v>
      </c>
      <c r="G796" s="10">
        <v>3500000</v>
      </c>
      <c r="H796" s="10">
        <f t="shared" si="51"/>
        <v>3500000</v>
      </c>
    </row>
    <row r="797" spans="1:8" s="2" customFormat="1" ht="24" customHeight="1">
      <c r="A797" s="6">
        <v>796</v>
      </c>
      <c r="B797" s="4" t="str">
        <f>"1200000845"</f>
        <v>1200000845</v>
      </c>
      <c r="C797" s="5" t="str">
        <f>"تسمه بار كنفي 3تني 1متري"</f>
        <v>تسمه بار كنفي 3تني 1متري</v>
      </c>
      <c r="D797" s="4" t="str">
        <f>""</f>
        <v/>
      </c>
      <c r="E797" s="4" t="str">
        <f>"کلاف"</f>
        <v>کلاف</v>
      </c>
      <c r="F797" s="4">
        <v>8</v>
      </c>
      <c r="G797" s="10">
        <v>200000</v>
      </c>
      <c r="H797" s="10">
        <f t="shared" si="51"/>
        <v>1600000</v>
      </c>
    </row>
    <row r="798" spans="1:8" s="2" customFormat="1" ht="24" customHeight="1">
      <c r="A798" s="4">
        <v>797</v>
      </c>
      <c r="B798" s="4" t="str">
        <f>"1200000880"</f>
        <v>1200000880</v>
      </c>
      <c r="C798" s="5" t="str">
        <f>"آچار بكس 6 پر24ميليمتري درايو3/4"</f>
        <v>آچار بكس 6 پر24ميليمتري درايو3/4</v>
      </c>
      <c r="D798" s="4" t="str">
        <f>"درايو 3/4"</f>
        <v>درايو 3/4</v>
      </c>
      <c r="E798" s="4" t="str">
        <f>"عدد"</f>
        <v>عدد</v>
      </c>
      <c r="F798" s="4">
        <v>2</v>
      </c>
      <c r="G798" s="10">
        <v>250000</v>
      </c>
      <c r="H798" s="10">
        <f t="shared" si="51"/>
        <v>500000</v>
      </c>
    </row>
    <row r="799" spans="1:8" s="2" customFormat="1" ht="24" customHeight="1">
      <c r="A799" s="4">
        <v>798</v>
      </c>
      <c r="B799" s="4" t="str">
        <f>"1200000847"</f>
        <v>1200000847</v>
      </c>
      <c r="C799" s="5" t="str">
        <f>"آچار بكس 6 پر36ميليمتردرايو1.1/2اينچ"</f>
        <v>آچار بكس 6 پر36ميليمتردرايو1.1/2اينچ</v>
      </c>
      <c r="D799" s="4" t="str">
        <f>"درايو1.1/2اينچ"</f>
        <v>درايو1.1/2اينچ</v>
      </c>
      <c r="E799" s="4" t="str">
        <f>"عدد"</f>
        <v>عدد</v>
      </c>
      <c r="F799" s="4">
        <v>1</v>
      </c>
      <c r="G799" s="10">
        <v>550000</v>
      </c>
      <c r="H799" s="10">
        <f t="shared" si="51"/>
        <v>550000</v>
      </c>
    </row>
    <row r="800" spans="1:8" s="2" customFormat="1" ht="24" customHeight="1">
      <c r="A800" s="4">
        <v>799</v>
      </c>
      <c r="B800" s="4" t="str">
        <f>"1200000848"</f>
        <v>1200000848</v>
      </c>
      <c r="C800" s="5" t="str">
        <f>"آچار بكس 6 پر46ميليمتردرايو1.1/2اينچ"</f>
        <v>آچار بكس 6 پر46ميليمتردرايو1.1/2اينچ</v>
      </c>
      <c r="D800" s="4" t="str">
        <f>"درايو1.1/2اينچ"</f>
        <v>درايو1.1/2اينچ</v>
      </c>
      <c r="E800" s="4" t="str">
        <f>"عدد"</f>
        <v>عدد</v>
      </c>
      <c r="F800" s="4">
        <v>1</v>
      </c>
      <c r="G800" s="10">
        <v>600000</v>
      </c>
      <c r="H800" s="10">
        <f t="shared" si="51"/>
        <v>600000</v>
      </c>
    </row>
    <row r="801" spans="1:8" s="2" customFormat="1" ht="24" customHeight="1">
      <c r="A801" s="6">
        <v>800</v>
      </c>
      <c r="B801" s="4" t="str">
        <f>"1200000849"</f>
        <v>1200000849</v>
      </c>
      <c r="C801" s="5" t="str">
        <f>"آچار بكس 6 پر60ميليمتردرايو1/2_1اينچ"</f>
        <v>آچار بكس 6 پر60ميليمتردرايو1/2_1اينچ</v>
      </c>
      <c r="D801" s="4" t="str">
        <f>"درايو1.1/2اينچ"</f>
        <v>درايو1.1/2اينچ</v>
      </c>
      <c r="E801" s="4" t="str">
        <f>"عدد"</f>
        <v>عدد</v>
      </c>
      <c r="F801" s="4">
        <v>1</v>
      </c>
      <c r="G801" s="10">
        <v>800000</v>
      </c>
      <c r="H801" s="10">
        <f t="shared" si="51"/>
        <v>800000</v>
      </c>
    </row>
    <row r="802" spans="1:8" s="2" customFormat="1" ht="24" customHeight="1">
      <c r="A802" s="4">
        <v>801</v>
      </c>
      <c r="B802" s="4" t="str">
        <f>"1200000850"</f>
        <v>1200000850</v>
      </c>
      <c r="C802" s="5" t="str">
        <f>"دستگاه لپينگ آب بنديVENTA 50 ,150"</f>
        <v>دستگاه لپينگ آب بنديVENTA 50 ,150</v>
      </c>
      <c r="D802" s="4" t="str">
        <f>"venta50-venta150"</f>
        <v>venta50-venta150</v>
      </c>
      <c r="E802" s="4" t="str">
        <f t="shared" ref="E802:E806" si="53">"دستگاه"</f>
        <v>دستگاه</v>
      </c>
      <c r="F802" s="4">
        <v>2</v>
      </c>
      <c r="G802" s="36">
        <v>210000000</v>
      </c>
      <c r="H802" s="36">
        <f t="shared" si="51"/>
        <v>420000000</v>
      </c>
    </row>
    <row r="803" spans="1:8" s="2" customFormat="1" ht="24" customHeight="1">
      <c r="A803" s="4">
        <v>802</v>
      </c>
      <c r="B803" s="4" t="str">
        <f>"1200000851"</f>
        <v>1200000851</v>
      </c>
      <c r="C803" s="5" t="str">
        <f>"دستگاه لپينگ  آب بنديSLIM 150"</f>
        <v>دستگاه لپينگ  آب بنديSLIM 150</v>
      </c>
      <c r="D803" s="4" t="str">
        <f>"slim 150"</f>
        <v>slim 150</v>
      </c>
      <c r="E803" s="4" t="str">
        <f t="shared" si="53"/>
        <v>دستگاه</v>
      </c>
      <c r="F803" s="4">
        <v>2</v>
      </c>
      <c r="G803" s="36">
        <v>553000000</v>
      </c>
      <c r="H803" s="36">
        <f t="shared" si="51"/>
        <v>1106000000</v>
      </c>
    </row>
    <row r="804" spans="1:8" s="2" customFormat="1" ht="24" customHeight="1">
      <c r="A804" s="4">
        <v>803</v>
      </c>
      <c r="B804" s="4" t="str">
        <f>"1200000852"</f>
        <v>1200000852</v>
      </c>
      <c r="C804" s="5" t="str">
        <f>"دستگاه لپينگ  آب بنديKVS369 -65"</f>
        <v>دستگاه لپينگ  آب بنديKVS369 -65</v>
      </c>
      <c r="D804" s="4" t="str">
        <f>"kvs 369 - 65"</f>
        <v>kvs 369 - 65</v>
      </c>
      <c r="E804" s="4" t="str">
        <f t="shared" si="53"/>
        <v>دستگاه</v>
      </c>
      <c r="F804" s="4">
        <v>2</v>
      </c>
      <c r="G804" s="36">
        <v>256000000</v>
      </c>
      <c r="H804" s="36">
        <f t="shared" si="51"/>
        <v>512000000</v>
      </c>
    </row>
    <row r="805" spans="1:8" s="2" customFormat="1" ht="24" customHeight="1">
      <c r="A805" s="6">
        <v>804</v>
      </c>
      <c r="B805" s="4" t="str">
        <f>"1200000853"</f>
        <v>1200000853</v>
      </c>
      <c r="C805" s="5" t="str">
        <f>"دستگاه لپينگ  آب بندي KVS369 - 150"</f>
        <v>دستگاه لپينگ  آب بندي KVS369 - 150</v>
      </c>
      <c r="D805" s="4" t="str">
        <f>"kvs 369 - 150"</f>
        <v>kvs 369 - 150</v>
      </c>
      <c r="E805" s="4" t="str">
        <f t="shared" si="53"/>
        <v>دستگاه</v>
      </c>
      <c r="F805" s="4">
        <v>4</v>
      </c>
      <c r="G805" s="36">
        <v>560000000</v>
      </c>
      <c r="H805" s="36">
        <f t="shared" si="51"/>
        <v>2240000000</v>
      </c>
    </row>
    <row r="806" spans="1:8" s="2" customFormat="1" ht="24" customHeight="1">
      <c r="A806" s="4">
        <v>805</v>
      </c>
      <c r="B806" s="4" t="str">
        <f>"1200000856"</f>
        <v>1200000856</v>
      </c>
      <c r="C806" s="5" t="str">
        <f>"مولتي پلاير 1/15  آلمان غربي"</f>
        <v>مولتي پلاير 1/15  آلمان غربي</v>
      </c>
      <c r="D806" s="4" t="str">
        <f>""</f>
        <v/>
      </c>
      <c r="E806" s="4" t="str">
        <f t="shared" si="53"/>
        <v>دستگاه</v>
      </c>
      <c r="F806" s="4">
        <v>1</v>
      </c>
      <c r="G806" s="10">
        <v>55000000</v>
      </c>
      <c r="H806" s="10">
        <f t="shared" si="51"/>
        <v>55000000</v>
      </c>
    </row>
    <row r="807" spans="1:8" s="2" customFormat="1" ht="24" customHeight="1">
      <c r="A807" s="4">
        <v>806</v>
      </c>
      <c r="B807" s="4" t="str">
        <f>"1200000857"</f>
        <v>1200000857</v>
      </c>
      <c r="C807" s="5" t="str">
        <f>"دسته قلاويز متوسط M4 - M12"</f>
        <v>دسته قلاويز متوسط M4 - M12</v>
      </c>
      <c r="D807" s="4" t="str">
        <f>"3/16  -  1/2"</f>
        <v>3/16  -  1/2</v>
      </c>
      <c r="E807" s="4" t="str">
        <f>"سيلندر"</f>
        <v>سيلندر</v>
      </c>
      <c r="F807" s="4">
        <v>15</v>
      </c>
      <c r="G807" s="10">
        <v>400000</v>
      </c>
      <c r="H807" s="10">
        <f t="shared" si="51"/>
        <v>6000000</v>
      </c>
    </row>
    <row r="808" spans="1:8" s="2" customFormat="1" ht="24" customHeight="1">
      <c r="A808" s="4">
        <v>807</v>
      </c>
      <c r="B808" s="4" t="str">
        <f>"1200000859"</f>
        <v>1200000859</v>
      </c>
      <c r="C808" s="5" t="str">
        <f>"تيفوردستي(بكسلي)"</f>
        <v>تيفوردستي(بكسلي)</v>
      </c>
      <c r="D808" s="4" t="str">
        <f>"1600KG"</f>
        <v>1600KG</v>
      </c>
      <c r="E808" s="4" t="str">
        <f>"دستگاه"</f>
        <v>دستگاه</v>
      </c>
      <c r="F808" s="4">
        <v>2</v>
      </c>
      <c r="G808" s="10">
        <v>3500000</v>
      </c>
      <c r="H808" s="10">
        <f t="shared" si="51"/>
        <v>7000000</v>
      </c>
    </row>
    <row r="809" spans="1:8" s="2" customFormat="1" ht="24" customHeight="1">
      <c r="A809" s="6">
        <v>808</v>
      </c>
      <c r="B809" s="4" t="str">
        <f>"1200000860"</f>
        <v>1200000860</v>
      </c>
      <c r="C809" s="5" t="str">
        <f>"جک مكانيكي عمودي 3تني (هندلي)"</f>
        <v>جک مكانيكي عمودي 3تني (هندلي)</v>
      </c>
      <c r="D809" s="4" t="str">
        <f>"3000KG"</f>
        <v>3000KG</v>
      </c>
      <c r="E809" s="4" t="str">
        <f>"دستگاه"</f>
        <v>دستگاه</v>
      </c>
      <c r="F809" s="4">
        <v>1</v>
      </c>
      <c r="G809" s="10">
        <v>500000</v>
      </c>
      <c r="H809" s="10">
        <f t="shared" si="51"/>
        <v>500000</v>
      </c>
    </row>
    <row r="810" spans="1:8" s="2" customFormat="1" ht="24" customHeight="1">
      <c r="A810" s="4">
        <v>809</v>
      </c>
      <c r="B810" s="4" t="str">
        <f>"1200000861"</f>
        <v>1200000861</v>
      </c>
      <c r="C810" s="5" t="str">
        <f>"اره کناف بر"</f>
        <v>اره کناف بر</v>
      </c>
      <c r="D810" s="4" t="str">
        <f>"دسته چوبي"</f>
        <v>دسته چوبي</v>
      </c>
      <c r="E810" s="4" t="str">
        <f>"عدد"</f>
        <v>عدد</v>
      </c>
      <c r="F810" s="4">
        <v>3</v>
      </c>
      <c r="G810" s="10">
        <v>200000</v>
      </c>
      <c r="H810" s="10">
        <f t="shared" si="51"/>
        <v>600000</v>
      </c>
    </row>
    <row r="811" spans="1:8" s="2" customFormat="1" ht="24" customHeight="1">
      <c r="A811" s="4">
        <v>810</v>
      </c>
      <c r="B811" s="4" t="str">
        <f>"1200000862"</f>
        <v>1200000862</v>
      </c>
      <c r="C811" s="5" t="str">
        <f>"خار بازكن بدون عايق متوسط"</f>
        <v>خار بازكن بدون عايق متوسط</v>
      </c>
      <c r="D811" s="4" t="str">
        <f>" آلماني -متوسط"</f>
        <v xml:space="preserve"> آلماني -متوسط</v>
      </c>
      <c r="E811" s="4" t="str">
        <f>"عدد"</f>
        <v>عدد</v>
      </c>
      <c r="F811" s="4">
        <v>1</v>
      </c>
      <c r="G811" s="10">
        <v>500000</v>
      </c>
      <c r="H811" s="10">
        <f t="shared" si="51"/>
        <v>500000</v>
      </c>
    </row>
    <row r="812" spans="1:8" s="2" customFormat="1" ht="24" customHeight="1">
      <c r="A812" s="4">
        <v>811</v>
      </c>
      <c r="B812" s="4" t="str">
        <f>"1200000863"</f>
        <v>1200000863</v>
      </c>
      <c r="C812" s="5" t="str">
        <f>"دسته قلاويز متوسط M6  -M20"</f>
        <v>دسته قلاويز متوسط M6  -M20</v>
      </c>
      <c r="D812" s="4" t="str">
        <f>"M6  -  M20"</f>
        <v>M6  -  M20</v>
      </c>
      <c r="E812" s="4" t="str">
        <f>"عدد"</f>
        <v>عدد</v>
      </c>
      <c r="F812" s="4">
        <v>10</v>
      </c>
      <c r="G812" s="10">
        <v>550000</v>
      </c>
      <c r="H812" s="10">
        <f t="shared" si="51"/>
        <v>5500000</v>
      </c>
    </row>
    <row r="813" spans="1:8" s="2" customFormat="1" ht="24" customHeight="1">
      <c r="A813" s="6">
        <v>812</v>
      </c>
      <c r="B813" s="4" t="str">
        <f>"1200000864"</f>
        <v>1200000864</v>
      </c>
      <c r="C813" s="5" t="str">
        <f>"دسته قلاويز بزرگ M9  - M27"</f>
        <v>دسته قلاويز بزرگ M9  - M27</v>
      </c>
      <c r="D813" s="4" t="str">
        <f>"M9 - M27   -   3/8 - 1"</f>
        <v>M9 - M27   -   3/8 - 1</v>
      </c>
      <c r="E813" s="4" t="str">
        <f>"عدد"</f>
        <v>عدد</v>
      </c>
      <c r="F813" s="4">
        <v>3</v>
      </c>
      <c r="G813" s="10">
        <v>800000</v>
      </c>
      <c r="H813" s="10">
        <f t="shared" si="51"/>
        <v>2400000</v>
      </c>
    </row>
    <row r="814" spans="1:8" s="2" customFormat="1" ht="24" customHeight="1">
      <c r="A814" s="4">
        <v>813</v>
      </c>
      <c r="B814" s="4" t="str">
        <f>"1200000865"</f>
        <v>1200000865</v>
      </c>
      <c r="C814" s="5" t="str">
        <f>"پانچ اعداد لاتين 5ميليمتر"</f>
        <v>پانچ اعداد لاتين 5ميليمتر</v>
      </c>
      <c r="D814" s="4" t="str">
        <f>"GEROZ"</f>
        <v>GEROZ</v>
      </c>
      <c r="E814" s="4" t="str">
        <f>"ست"</f>
        <v>ست</v>
      </c>
      <c r="F814" s="4">
        <v>1</v>
      </c>
      <c r="G814" s="10">
        <v>350000</v>
      </c>
      <c r="H814" s="10">
        <f t="shared" si="51"/>
        <v>350000</v>
      </c>
    </row>
    <row r="815" spans="1:8" s="2" customFormat="1" ht="24" customHeight="1">
      <c r="A815" s="4">
        <v>814</v>
      </c>
      <c r="B815" s="4" t="str">
        <f>"1200000866"</f>
        <v>1200000866</v>
      </c>
      <c r="C815" s="5" t="str">
        <f>"پانچ اعداد لاتين 6ميليمتر"</f>
        <v>پانچ اعداد لاتين 6ميليمتر</v>
      </c>
      <c r="D815" s="4" t="str">
        <f>"LIEFENBEGRENZUTU"</f>
        <v>LIEFENBEGRENZUTU</v>
      </c>
      <c r="E815" s="4" t="str">
        <f>"ست"</f>
        <v>ست</v>
      </c>
      <c r="F815" s="4">
        <v>8</v>
      </c>
      <c r="G815" s="10">
        <v>350000</v>
      </c>
      <c r="H815" s="10">
        <f t="shared" si="51"/>
        <v>2800000</v>
      </c>
    </row>
    <row r="816" spans="1:8" s="2" customFormat="1" ht="24" customHeight="1">
      <c r="A816" s="4">
        <v>815</v>
      </c>
      <c r="B816" s="4" t="str">
        <f>"1200000867"</f>
        <v>1200000867</v>
      </c>
      <c r="C816" s="5" t="str">
        <f>"پانچ اعداد لاتين 8ميليمتر"</f>
        <v>پانچ اعداد لاتين 8ميليمتر</v>
      </c>
      <c r="D816" s="4" t="str">
        <f>"PRIORITY"</f>
        <v>PRIORITY</v>
      </c>
      <c r="E816" s="4" t="str">
        <f>"ست"</f>
        <v>ست</v>
      </c>
      <c r="F816" s="4">
        <v>2</v>
      </c>
      <c r="G816" s="10">
        <v>450000</v>
      </c>
      <c r="H816" s="10">
        <f t="shared" si="51"/>
        <v>900000</v>
      </c>
    </row>
    <row r="817" spans="1:8" s="2" customFormat="1" ht="24" customHeight="1">
      <c r="A817" s="6">
        <v>816</v>
      </c>
      <c r="B817" s="4" t="str">
        <f>"1200000869"</f>
        <v>1200000869</v>
      </c>
      <c r="C817" s="5" t="str">
        <f>"پرگار فلزي"</f>
        <v>پرگار فلزي</v>
      </c>
      <c r="D817" s="4" t="str">
        <f>"سايز بزرگ"</f>
        <v>سايز بزرگ</v>
      </c>
      <c r="E817" s="4" t="str">
        <f t="shared" ref="E817:E822" si="54">"عدد"</f>
        <v>عدد</v>
      </c>
      <c r="F817" s="4">
        <v>2</v>
      </c>
      <c r="G817" s="10">
        <v>2000000</v>
      </c>
      <c r="H817" s="10">
        <f t="shared" si="51"/>
        <v>4000000</v>
      </c>
    </row>
    <row r="818" spans="1:8" s="2" customFormat="1" ht="24" customHeight="1">
      <c r="A818" s="4">
        <v>817</v>
      </c>
      <c r="B818" s="4" t="str">
        <f>"1200000870"</f>
        <v>1200000870</v>
      </c>
      <c r="C818" s="5" t="str">
        <f>"آچار يك سر بکس 32ميليمتر"</f>
        <v>آچار يك سر بکس 32ميليمتر</v>
      </c>
      <c r="D818" s="4" t="str">
        <f>""</f>
        <v/>
      </c>
      <c r="E818" s="4" t="str">
        <f t="shared" si="54"/>
        <v>عدد</v>
      </c>
      <c r="F818" s="4">
        <v>1</v>
      </c>
      <c r="G818" s="10">
        <v>250000</v>
      </c>
      <c r="H818" s="10">
        <f t="shared" si="51"/>
        <v>250000</v>
      </c>
    </row>
    <row r="819" spans="1:8" s="2" customFormat="1" ht="24" customHeight="1">
      <c r="A819" s="4">
        <v>818</v>
      </c>
      <c r="B819" s="4" t="str">
        <f>"1200000871"</f>
        <v>1200000871</v>
      </c>
      <c r="C819" s="5" t="str">
        <f>"آچار يک سر چپقي 30ميليمتر"</f>
        <v>آچار يک سر چپقي 30ميليمتر</v>
      </c>
      <c r="D819" s="4" t="str">
        <f>""</f>
        <v/>
      </c>
      <c r="E819" s="4" t="str">
        <f t="shared" si="54"/>
        <v>عدد</v>
      </c>
      <c r="F819" s="4">
        <v>1</v>
      </c>
      <c r="G819" s="10">
        <v>300000</v>
      </c>
      <c r="H819" s="10">
        <f t="shared" si="51"/>
        <v>300000</v>
      </c>
    </row>
    <row r="820" spans="1:8" s="2" customFormat="1" ht="24" customHeight="1">
      <c r="A820" s="4">
        <v>819</v>
      </c>
      <c r="B820" s="4" t="str">
        <f>"1200000872"</f>
        <v>1200000872</v>
      </c>
      <c r="C820" s="5" t="str">
        <f>"پمپ باد دستي تلمبه"</f>
        <v>پمپ باد دستي تلمبه</v>
      </c>
      <c r="D820" s="4" t="str">
        <f>""</f>
        <v/>
      </c>
      <c r="E820" s="4" t="str">
        <f t="shared" si="54"/>
        <v>عدد</v>
      </c>
      <c r="F820" s="4">
        <v>1</v>
      </c>
      <c r="G820" s="10">
        <v>100000</v>
      </c>
      <c r="H820" s="10">
        <f t="shared" si="51"/>
        <v>100000</v>
      </c>
    </row>
    <row r="821" spans="1:8" s="2" customFormat="1" ht="24" customHeight="1">
      <c r="A821" s="6">
        <v>820</v>
      </c>
      <c r="B821" s="4" t="str">
        <f>"1200000873"</f>
        <v>1200000873</v>
      </c>
      <c r="C821" s="5" t="str">
        <f>"دسته قلاويز كروي بزرگ M11 -M20"</f>
        <v>دسته قلاويز كروي بزرگ M11 -M20</v>
      </c>
      <c r="D821" s="4" t="str">
        <f>"M11-M20 - WERO"</f>
        <v>M11-M20 - WERO</v>
      </c>
      <c r="E821" s="4" t="str">
        <f t="shared" si="54"/>
        <v>عدد</v>
      </c>
      <c r="F821" s="4">
        <v>8</v>
      </c>
      <c r="G821" s="10">
        <v>550000</v>
      </c>
      <c r="H821" s="10">
        <f t="shared" si="51"/>
        <v>4400000</v>
      </c>
    </row>
    <row r="822" spans="1:8" s="2" customFormat="1" ht="24" customHeight="1">
      <c r="A822" s="4">
        <v>821</v>
      </c>
      <c r="B822" s="4" t="str">
        <f>"1200000874"</f>
        <v>1200000874</v>
      </c>
      <c r="C822" s="5" t="str">
        <f>"انبر دست فلزي کوچک"</f>
        <v>انبر دست فلزي کوچک</v>
      </c>
      <c r="D822" s="4" t="str">
        <f>""</f>
        <v/>
      </c>
      <c r="E822" s="4" t="str">
        <f t="shared" si="54"/>
        <v>عدد</v>
      </c>
      <c r="F822" s="4">
        <v>1</v>
      </c>
      <c r="G822" s="10">
        <v>150000</v>
      </c>
      <c r="H822" s="10">
        <f t="shared" si="51"/>
        <v>150000</v>
      </c>
    </row>
    <row r="823" spans="1:8" s="2" customFormat="1" ht="24" customHeight="1">
      <c r="A823" s="4">
        <v>822</v>
      </c>
      <c r="B823" s="4" t="str">
        <f>"1200000875"</f>
        <v>1200000875</v>
      </c>
      <c r="C823" s="5" t="str">
        <f>"مانومتر آرگون ترکARG-CO2"</f>
        <v>مانومتر آرگون ترکARG-CO2</v>
      </c>
      <c r="D823" s="4" t="str">
        <f>"argon-0-32    CO2-0-315"</f>
        <v>argon-0-32    CO2-0-315</v>
      </c>
      <c r="E823" s="4" t="str">
        <f>"دستگاه"</f>
        <v>دستگاه</v>
      </c>
      <c r="F823" s="4">
        <v>5</v>
      </c>
      <c r="G823" s="10">
        <v>9500000</v>
      </c>
      <c r="H823" s="10">
        <f t="shared" si="51"/>
        <v>47500000</v>
      </c>
    </row>
    <row r="824" spans="1:8" s="2" customFormat="1" ht="24" customHeight="1">
      <c r="A824" s="4">
        <v>823</v>
      </c>
      <c r="B824" s="4" t="str">
        <f>"1200000881"</f>
        <v>1200000881</v>
      </c>
      <c r="C824" s="5" t="str">
        <f>"پانچ حروف انگليسي 8ميليمتر"</f>
        <v>پانچ حروف انگليسي 8ميليمتر</v>
      </c>
      <c r="D824" s="4" t="str">
        <f>""</f>
        <v/>
      </c>
      <c r="E824" s="4" t="str">
        <f>"ست"</f>
        <v>ست</v>
      </c>
      <c r="F824" s="4">
        <v>13</v>
      </c>
      <c r="G824" s="10">
        <v>900000</v>
      </c>
      <c r="H824" s="10">
        <f t="shared" si="51"/>
        <v>11700000</v>
      </c>
    </row>
    <row r="825" spans="1:8" s="2" customFormat="1" ht="24" customHeight="1">
      <c r="A825" s="6">
        <v>824</v>
      </c>
      <c r="B825" s="4" t="str">
        <f>"1200000882"</f>
        <v>1200000882</v>
      </c>
      <c r="C825" s="5" t="str">
        <f>"پانچ حروف انگليسي 5ميليمتر"</f>
        <v>پانچ حروف انگليسي 5ميليمتر</v>
      </c>
      <c r="D825" s="4" t="str">
        <f>""</f>
        <v/>
      </c>
      <c r="E825" s="4" t="str">
        <f>"ست"</f>
        <v>ست</v>
      </c>
      <c r="F825" s="4">
        <v>2</v>
      </c>
      <c r="G825" s="10">
        <v>650000</v>
      </c>
      <c r="H825" s="10">
        <f t="shared" si="51"/>
        <v>1300000</v>
      </c>
    </row>
    <row r="826" spans="1:8" s="2" customFormat="1" ht="24" customHeight="1">
      <c r="A826" s="4">
        <v>825</v>
      </c>
      <c r="B826" s="4" t="str">
        <f>"1200000883"</f>
        <v>1200000883</v>
      </c>
      <c r="C826" s="5" t="str">
        <f>"سوهان نيم گرد 30 سانتي بدون دسته"</f>
        <v>سوهان نيم گرد 30 سانتي بدون دسته</v>
      </c>
      <c r="D826" s="4" t="str">
        <f>"آلماني"</f>
        <v>آلماني</v>
      </c>
      <c r="E826" s="4" t="str">
        <f>"عدد"</f>
        <v>عدد</v>
      </c>
      <c r="F826" s="4">
        <v>4</v>
      </c>
      <c r="G826" s="10">
        <v>300000</v>
      </c>
      <c r="H826" s="10">
        <f t="shared" si="51"/>
        <v>1200000</v>
      </c>
    </row>
    <row r="827" spans="1:8" s="2" customFormat="1" ht="24" customHeight="1">
      <c r="A827" s="4">
        <v>826</v>
      </c>
      <c r="B827" s="4" t="str">
        <f>"1200000897"</f>
        <v>1200000897</v>
      </c>
      <c r="C827" s="5" t="str">
        <f>"دسته قلاويز كروي M14"</f>
        <v>دسته قلاويز كروي M14</v>
      </c>
      <c r="D827" s="4" t="str">
        <f>"M14 -WERO"</f>
        <v>M14 -WERO</v>
      </c>
      <c r="E827" s="4" t="str">
        <f>"دستگاه"</f>
        <v>دستگاه</v>
      </c>
      <c r="F827" s="4">
        <v>11</v>
      </c>
      <c r="G827" s="10">
        <v>350000</v>
      </c>
      <c r="H827" s="10">
        <f t="shared" si="51"/>
        <v>3850000</v>
      </c>
    </row>
    <row r="828" spans="1:8" s="2" customFormat="1" ht="24" customHeight="1">
      <c r="A828" s="4">
        <v>827</v>
      </c>
      <c r="B828" s="4" t="str">
        <f>"1200000898"</f>
        <v>1200000898</v>
      </c>
      <c r="C828" s="5" t="str">
        <f>"قلم حكاكي الكترونيكي"</f>
        <v>قلم حكاكي الكترونيكي</v>
      </c>
      <c r="D828" s="4" t="str">
        <f>""</f>
        <v/>
      </c>
      <c r="E828" s="4" t="str">
        <f>"دستگاه"</f>
        <v>دستگاه</v>
      </c>
      <c r="F828" s="4">
        <v>1</v>
      </c>
      <c r="G828" s="10">
        <v>1500000</v>
      </c>
      <c r="H828" s="10">
        <f t="shared" si="51"/>
        <v>1500000</v>
      </c>
    </row>
    <row r="829" spans="1:8" s="2" customFormat="1" ht="24" customHeight="1">
      <c r="A829" s="6">
        <v>828</v>
      </c>
      <c r="B829" s="4" t="str">
        <f>"1200000899"</f>
        <v>1200000899</v>
      </c>
      <c r="C829" s="5" t="str">
        <f>"دسته حديده M10"</f>
        <v>دسته حديده M10</v>
      </c>
      <c r="D829" s="4" t="str">
        <f>"M10"</f>
        <v>M10</v>
      </c>
      <c r="E829" s="4" t="str">
        <f t="shared" ref="E829:E837" si="55">"عدد"</f>
        <v>عدد</v>
      </c>
      <c r="F829" s="4">
        <v>14</v>
      </c>
      <c r="G829" s="10">
        <v>200000</v>
      </c>
      <c r="H829" s="10">
        <f t="shared" si="51"/>
        <v>2800000</v>
      </c>
    </row>
    <row r="830" spans="1:8" s="2" customFormat="1" ht="24" customHeight="1">
      <c r="A830" s="4">
        <v>829</v>
      </c>
      <c r="B830" s="4" t="str">
        <f>"1200000901"</f>
        <v>1200000901</v>
      </c>
      <c r="C830" s="5" t="str">
        <f>"آچار لوله گير معمولي 12اينچ"</f>
        <v>آچار لوله گير معمولي 12اينچ</v>
      </c>
      <c r="D830" s="4" t="str">
        <f>""</f>
        <v/>
      </c>
      <c r="E830" s="4" t="str">
        <f t="shared" si="55"/>
        <v>عدد</v>
      </c>
      <c r="F830" s="4">
        <v>1</v>
      </c>
      <c r="G830" s="10">
        <v>500000</v>
      </c>
      <c r="H830" s="10">
        <f t="shared" si="51"/>
        <v>500000</v>
      </c>
    </row>
    <row r="831" spans="1:8" s="2" customFormat="1" ht="24" customHeight="1">
      <c r="A831" s="4">
        <v>830</v>
      </c>
      <c r="B831" s="4" t="str">
        <f>"1200000902"</f>
        <v>1200000902</v>
      </c>
      <c r="C831" s="5" t="str">
        <f>"آچار بکس 6 پر  40 ميلي متري درايو3/4"</f>
        <v>آچار بکس 6 پر  40 ميلي متري درايو3/4</v>
      </c>
      <c r="D831" s="4" t="str">
        <f>"6پر درايو3/4"</f>
        <v>6پر درايو3/4</v>
      </c>
      <c r="E831" s="4" t="str">
        <f t="shared" si="55"/>
        <v>عدد</v>
      </c>
      <c r="F831" s="4">
        <v>1</v>
      </c>
      <c r="G831" s="10">
        <v>350000</v>
      </c>
      <c r="H831" s="10">
        <f t="shared" si="51"/>
        <v>350000</v>
      </c>
    </row>
    <row r="832" spans="1:8" s="2" customFormat="1" ht="24" customHeight="1">
      <c r="A832" s="4">
        <v>831</v>
      </c>
      <c r="B832" s="4" t="str">
        <f>"1200000903"</f>
        <v>1200000903</v>
      </c>
      <c r="C832" s="5" t="str">
        <f>"رابط بکس  درايو  3/4   4سانتي متري"</f>
        <v>رابط بکس  درايو  3/4   4سانتي متري</v>
      </c>
      <c r="D832" s="4" t="str">
        <f>""</f>
        <v/>
      </c>
      <c r="E832" s="4" t="str">
        <f t="shared" si="55"/>
        <v>عدد</v>
      </c>
      <c r="F832" s="4">
        <v>2</v>
      </c>
      <c r="G832" s="10">
        <v>350000</v>
      </c>
      <c r="H832" s="10">
        <f t="shared" si="51"/>
        <v>700000</v>
      </c>
    </row>
    <row r="833" spans="1:8" s="2" customFormat="1" ht="24" customHeight="1">
      <c r="A833" s="6">
        <v>832</v>
      </c>
      <c r="B833" s="4" t="str">
        <f>"1200000904"</f>
        <v>1200000904</v>
      </c>
      <c r="C833" s="5" t="str">
        <f>"رابط بکس درايو3/4   6سانتي متري"</f>
        <v>رابط بکس درايو3/4   6سانتي متري</v>
      </c>
      <c r="D833" s="4" t="str">
        <f>"6ساتي"</f>
        <v>6ساتي</v>
      </c>
      <c r="E833" s="4" t="str">
        <f t="shared" si="55"/>
        <v>عدد</v>
      </c>
      <c r="F833" s="4">
        <v>2</v>
      </c>
      <c r="G833" s="10">
        <v>500000</v>
      </c>
      <c r="H833" s="10">
        <f t="shared" si="51"/>
        <v>1000000</v>
      </c>
    </row>
    <row r="834" spans="1:8" s="2" customFormat="1" ht="24" customHeight="1">
      <c r="A834" s="4">
        <v>833</v>
      </c>
      <c r="B834" s="4" t="str">
        <f>"1200000905"</f>
        <v>1200000905</v>
      </c>
      <c r="C834" s="5" t="str">
        <f>"رابط بکس درايو3/4   8سانتي متري"</f>
        <v>رابط بکس درايو3/4   8سانتي متري</v>
      </c>
      <c r="D834" s="4" t="str">
        <f>""</f>
        <v/>
      </c>
      <c r="E834" s="4" t="str">
        <f t="shared" si="55"/>
        <v>عدد</v>
      </c>
      <c r="F834" s="4">
        <v>2</v>
      </c>
      <c r="G834" s="10">
        <v>600000</v>
      </c>
      <c r="H834" s="10">
        <f t="shared" si="51"/>
        <v>1200000</v>
      </c>
    </row>
    <row r="835" spans="1:8" s="2" customFormat="1" ht="24" customHeight="1">
      <c r="A835" s="4">
        <v>834</v>
      </c>
      <c r="B835" s="4" t="str">
        <f>"1200000906"</f>
        <v>1200000906</v>
      </c>
      <c r="C835" s="5" t="str">
        <f>"رابط بکس درايو 3/4  10سانتي متري"</f>
        <v>رابط بکس درايو 3/4  10سانتي متري</v>
      </c>
      <c r="D835" s="4" t="str">
        <f>""</f>
        <v/>
      </c>
      <c r="E835" s="4" t="str">
        <f t="shared" si="55"/>
        <v>عدد</v>
      </c>
      <c r="F835" s="4">
        <v>2</v>
      </c>
      <c r="G835" s="10">
        <v>700000</v>
      </c>
      <c r="H835" s="10">
        <f t="shared" si="51"/>
        <v>1400000</v>
      </c>
    </row>
    <row r="836" spans="1:8" s="2" customFormat="1" ht="24" customHeight="1">
      <c r="A836" s="4">
        <v>835</v>
      </c>
      <c r="B836" s="4" t="str">
        <f>"1200000907"</f>
        <v>1200000907</v>
      </c>
      <c r="C836" s="5" t="str">
        <f>"لامپ روشنايي سيار"</f>
        <v>لامپ روشنايي سيار</v>
      </c>
      <c r="D836" s="4" t="str">
        <f>"10متري"</f>
        <v>10متري</v>
      </c>
      <c r="E836" s="4" t="str">
        <f t="shared" si="55"/>
        <v>عدد</v>
      </c>
      <c r="F836" s="4">
        <v>4</v>
      </c>
      <c r="G836" s="10">
        <v>250000</v>
      </c>
      <c r="H836" s="10">
        <f t="shared" si="51"/>
        <v>1000000</v>
      </c>
    </row>
    <row r="837" spans="1:8" s="2" customFormat="1" ht="24" customHeight="1">
      <c r="A837" s="6">
        <v>836</v>
      </c>
      <c r="B837" s="4" t="str">
        <f>"1200000908"</f>
        <v>1200000908</v>
      </c>
      <c r="C837" s="5" t="str">
        <f>"قيف فلزي-در سه سايز"</f>
        <v>قيف فلزي-در سه سايز</v>
      </c>
      <c r="D837" s="4" t="str">
        <f>"کوچک-متوسط-بزرگ"</f>
        <v>کوچک-متوسط-بزرگ</v>
      </c>
      <c r="E837" s="4" t="str">
        <f t="shared" si="55"/>
        <v>عدد</v>
      </c>
      <c r="F837" s="4">
        <v>3</v>
      </c>
      <c r="G837" s="10">
        <v>200000</v>
      </c>
      <c r="H837" s="10">
        <f t="shared" ref="H837:H900" si="56">F837*G837</f>
        <v>600000</v>
      </c>
    </row>
    <row r="838" spans="1:8" s="2" customFormat="1" ht="24" customHeight="1">
      <c r="A838" s="4">
        <v>837</v>
      </c>
      <c r="B838" s="4" t="str">
        <f>"1200000909"</f>
        <v>1200000909</v>
      </c>
      <c r="C838" s="5" t="str">
        <f>"سري هوا برش"</f>
        <v>سري هوا برش</v>
      </c>
      <c r="D838" s="4" t="str">
        <f>"MORRIS-"</f>
        <v>MORRIS-</v>
      </c>
      <c r="E838" s="4" t="str">
        <f>"سري"</f>
        <v>سري</v>
      </c>
      <c r="F838" s="4">
        <v>2</v>
      </c>
      <c r="G838" s="10">
        <v>2500000</v>
      </c>
      <c r="H838" s="10">
        <f t="shared" si="56"/>
        <v>5000000</v>
      </c>
    </row>
    <row r="839" spans="1:8" s="2" customFormat="1" ht="24" customHeight="1">
      <c r="A839" s="4">
        <v>838</v>
      </c>
      <c r="B839" s="4" t="str">
        <f>"1200000877"</f>
        <v>1200000877</v>
      </c>
      <c r="C839" s="5" t="str">
        <f>"پمپ باد دستي پلاستيكي"</f>
        <v>پمپ باد دستي پلاستيكي</v>
      </c>
      <c r="D839" s="4" t="str">
        <f>""</f>
        <v/>
      </c>
      <c r="E839" s="4" t="str">
        <f>"عدد"</f>
        <v>عدد</v>
      </c>
      <c r="F839" s="4">
        <v>4</v>
      </c>
      <c r="G839" s="10">
        <v>100000</v>
      </c>
      <c r="H839" s="10">
        <f t="shared" si="56"/>
        <v>400000</v>
      </c>
    </row>
    <row r="840" spans="1:8" s="2" customFormat="1" ht="24" customHeight="1">
      <c r="A840" s="4">
        <v>839</v>
      </c>
      <c r="B840" s="4" t="str">
        <f>"1200000878"</f>
        <v>1200000878</v>
      </c>
      <c r="C840" s="5" t="str">
        <f>"کلنگ"</f>
        <v>کلنگ</v>
      </c>
      <c r="D840" s="4" t="str">
        <f>""</f>
        <v/>
      </c>
      <c r="E840" s="4" t="str">
        <f>"عدد"</f>
        <v>عدد</v>
      </c>
      <c r="F840" s="4">
        <v>5</v>
      </c>
      <c r="G840" s="10">
        <v>250000</v>
      </c>
      <c r="H840" s="10">
        <f t="shared" si="56"/>
        <v>1250000</v>
      </c>
    </row>
    <row r="841" spans="1:8" s="2" customFormat="1" ht="24" customHeight="1">
      <c r="A841" s="6">
        <v>840</v>
      </c>
      <c r="B841" s="4" t="str">
        <f>"1200000879"</f>
        <v>1200000879</v>
      </c>
      <c r="C841" s="5" t="str">
        <f>"پيچ گوشتي دو سو معمولي"</f>
        <v>پيچ گوشتي دو سو معمولي</v>
      </c>
      <c r="D841" s="4" t="str">
        <f>""</f>
        <v/>
      </c>
      <c r="E841" s="4" t="str">
        <f>"عدد"</f>
        <v>عدد</v>
      </c>
      <c r="F841" s="4">
        <v>5</v>
      </c>
      <c r="G841" s="10">
        <v>80000</v>
      </c>
      <c r="H841" s="10">
        <f t="shared" si="56"/>
        <v>400000</v>
      </c>
    </row>
    <row r="842" spans="1:8" s="2" customFormat="1" ht="24" customHeight="1">
      <c r="A842" s="4">
        <v>841</v>
      </c>
      <c r="B842" s="4" t="str">
        <f>"1200000910"</f>
        <v>1200000910</v>
      </c>
      <c r="C842" s="5" t="str">
        <f>"پيچ گوشتي چهار سو معمولي"</f>
        <v>پيچ گوشتي چهار سو معمولي</v>
      </c>
      <c r="D842" s="4" t="str">
        <f>""</f>
        <v/>
      </c>
      <c r="E842" s="4" t="str">
        <f>"عدد"</f>
        <v>عدد</v>
      </c>
      <c r="F842" s="4">
        <v>1</v>
      </c>
      <c r="G842" s="10">
        <v>80000</v>
      </c>
      <c r="H842" s="10">
        <f t="shared" si="56"/>
        <v>80000</v>
      </c>
    </row>
    <row r="843" spans="1:8" s="2" customFormat="1" ht="24" customHeight="1">
      <c r="A843" s="4">
        <v>842</v>
      </c>
      <c r="B843" s="4" t="str">
        <f>"1200000911"</f>
        <v>1200000911</v>
      </c>
      <c r="C843" s="5" t="str">
        <f>"دستگاه ارت سنج-مدل 41054"</f>
        <v>دستگاه ارت سنج-مدل 41054</v>
      </c>
      <c r="D843" s="4" t="str">
        <f>"S.N-E8057505-E8057502"</f>
        <v>S.N-E8057505-E8057502</v>
      </c>
      <c r="E843" s="4" t="str">
        <f>"دستگاه"</f>
        <v>دستگاه</v>
      </c>
      <c r="F843" s="4">
        <v>2</v>
      </c>
      <c r="G843" s="10">
        <v>3500000</v>
      </c>
      <c r="H843" s="10">
        <f t="shared" si="56"/>
        <v>7000000</v>
      </c>
    </row>
    <row r="844" spans="1:8" s="2" customFormat="1" ht="24" customHeight="1">
      <c r="A844" s="4">
        <v>843</v>
      </c>
      <c r="B844" s="4" t="str">
        <f>"1200000912"</f>
        <v>1200000912</v>
      </c>
      <c r="C844" s="5" t="str">
        <f>"دستگاه ولت متر-مدل 1009"</f>
        <v>دستگاه ولت متر-مدل 1009</v>
      </c>
      <c r="D844" s="4" t="str">
        <f>"S.N-A0072654-A0072655"</f>
        <v>S.N-A0072654-A0072655</v>
      </c>
      <c r="E844" s="4" t="str">
        <f>"دستگاه"</f>
        <v>دستگاه</v>
      </c>
      <c r="F844" s="4">
        <v>2</v>
      </c>
      <c r="G844" s="10">
        <v>3500000</v>
      </c>
      <c r="H844" s="10">
        <f t="shared" si="56"/>
        <v>7000000</v>
      </c>
    </row>
    <row r="845" spans="1:8" s="2" customFormat="1" ht="24" customHeight="1">
      <c r="A845" s="6">
        <v>844</v>
      </c>
      <c r="B845" s="4" t="str">
        <f>"1200000913"</f>
        <v>1200000913</v>
      </c>
      <c r="C845" s="5" t="str">
        <f>"جک ماشيني 15تن دسته دار"</f>
        <v>جک ماشيني 15تن دسته دار</v>
      </c>
      <c r="D845" s="4" t="str">
        <f>"دسته دار"</f>
        <v>دسته دار</v>
      </c>
      <c r="E845" s="4" t="str">
        <f>"عدد"</f>
        <v>عدد</v>
      </c>
      <c r="F845" s="4">
        <v>1</v>
      </c>
      <c r="G845" s="10">
        <v>2500000</v>
      </c>
      <c r="H845" s="10">
        <f t="shared" si="56"/>
        <v>2500000</v>
      </c>
    </row>
    <row r="846" spans="1:8" s="2" customFormat="1" ht="24" customHeight="1">
      <c r="A846" s="4">
        <v>845</v>
      </c>
      <c r="B846" s="4" t="str">
        <f>"1200000914"</f>
        <v>1200000914</v>
      </c>
      <c r="C846" s="5" t="str">
        <f>"مانو متر هوا-دو گيج دار"</f>
        <v>مانو متر هوا-دو گيج دار</v>
      </c>
      <c r="D846" s="4" t="str">
        <f>"مارکACE--0-315bar,0-16bar"</f>
        <v>مارکACE--0-315bar,0-16bar</v>
      </c>
      <c r="E846" s="4" t="str">
        <f>"دستگاه"</f>
        <v>دستگاه</v>
      </c>
      <c r="F846" s="4">
        <v>1</v>
      </c>
      <c r="G846" s="10">
        <v>1600000</v>
      </c>
      <c r="H846" s="10">
        <f t="shared" si="56"/>
        <v>1600000</v>
      </c>
    </row>
    <row r="847" spans="1:8" s="2" customFormat="1" ht="24" customHeight="1">
      <c r="A847" s="4">
        <v>846</v>
      </c>
      <c r="B847" s="4" t="str">
        <f>"1200000915"</f>
        <v>1200000915</v>
      </c>
      <c r="C847" s="5" t="str">
        <f>"آمپر متر کلاغي(انبري)-مدل 3280"</f>
        <v>آمپر متر کلاغي(انبري)-مدل 3280</v>
      </c>
      <c r="D847" s="4" t="str">
        <f>"600A-1000A"</f>
        <v>600A-1000A</v>
      </c>
      <c r="E847" s="4" t="str">
        <f>"دستگاه"</f>
        <v>دستگاه</v>
      </c>
      <c r="F847" s="4">
        <v>1</v>
      </c>
      <c r="G847" s="10">
        <v>3500000</v>
      </c>
      <c r="H847" s="10">
        <f t="shared" si="56"/>
        <v>3500000</v>
      </c>
    </row>
    <row r="848" spans="1:8" s="2" customFormat="1" ht="24" customHeight="1">
      <c r="A848" s="4">
        <v>847</v>
      </c>
      <c r="B848" s="4" t="str">
        <f>"1200000917"</f>
        <v>1200000917</v>
      </c>
      <c r="C848" s="5" t="str">
        <f>"جيم پلاک 5تني-6متري"</f>
        <v>جيم پلاک 5تني-6متري</v>
      </c>
      <c r="D848" s="4" t="str">
        <f>"5تن-6متري"</f>
        <v>5تن-6متري</v>
      </c>
      <c r="E848" s="4" t="str">
        <f t="shared" ref="E848:E855" si="57">"عدد"</f>
        <v>عدد</v>
      </c>
      <c r="F848" s="4">
        <v>1</v>
      </c>
      <c r="G848" s="10">
        <v>7500000</v>
      </c>
      <c r="H848" s="10">
        <f t="shared" si="56"/>
        <v>7500000</v>
      </c>
    </row>
    <row r="849" spans="1:8" s="2" customFormat="1" ht="24" customHeight="1">
      <c r="A849" s="6">
        <v>848</v>
      </c>
      <c r="B849" s="4" t="str">
        <f>"1200000918"</f>
        <v>1200000918</v>
      </c>
      <c r="C849" s="5" t="str">
        <f>"جيم پلاک 5تني-3متري"</f>
        <v>جيم پلاک 5تني-3متري</v>
      </c>
      <c r="D849" s="4" t="str">
        <f>"5تن-3متر"</f>
        <v>5تن-3متر</v>
      </c>
      <c r="E849" s="4" t="str">
        <f t="shared" si="57"/>
        <v>عدد</v>
      </c>
      <c r="F849" s="4">
        <v>1</v>
      </c>
      <c r="G849" s="10">
        <v>5000000</v>
      </c>
      <c r="H849" s="10">
        <f t="shared" si="56"/>
        <v>5000000</v>
      </c>
    </row>
    <row r="850" spans="1:8" s="2" customFormat="1" ht="24" customHeight="1">
      <c r="A850" s="4">
        <v>849</v>
      </c>
      <c r="B850" s="4" t="str">
        <f>"1200000919"</f>
        <v>1200000919</v>
      </c>
      <c r="C850" s="5" t="str">
        <f>"جيم پلاک3تني-6متري"</f>
        <v>جيم پلاک3تني-6متري</v>
      </c>
      <c r="D850" s="4" t="str">
        <f>"3تني-6متري"</f>
        <v>3تني-6متري</v>
      </c>
      <c r="E850" s="4" t="str">
        <f t="shared" si="57"/>
        <v>عدد</v>
      </c>
      <c r="F850" s="4">
        <v>2</v>
      </c>
      <c r="G850" s="10">
        <v>5500000</v>
      </c>
      <c r="H850" s="10">
        <f t="shared" si="56"/>
        <v>11000000</v>
      </c>
    </row>
    <row r="851" spans="1:8" s="2" customFormat="1" ht="24" customHeight="1">
      <c r="A851" s="4">
        <v>850</v>
      </c>
      <c r="B851" s="4" t="str">
        <f>"1200000920"</f>
        <v>1200000920</v>
      </c>
      <c r="C851" s="5" t="str">
        <f>"نردبان تاشويي آلومينيومي3متري"</f>
        <v>نردبان تاشويي آلومينيومي3متري</v>
      </c>
      <c r="D851" s="4" t="str">
        <f>"4*150Cm"</f>
        <v>4*150Cm</v>
      </c>
      <c r="E851" s="4" t="str">
        <f t="shared" si="57"/>
        <v>عدد</v>
      </c>
      <c r="F851" s="4">
        <v>2</v>
      </c>
      <c r="G851" s="10">
        <v>3000000</v>
      </c>
      <c r="H851" s="10">
        <f t="shared" si="56"/>
        <v>6000000</v>
      </c>
    </row>
    <row r="852" spans="1:8" s="2" customFormat="1" ht="24" customHeight="1">
      <c r="A852" s="4">
        <v>851</v>
      </c>
      <c r="B852" s="4" t="str">
        <f>"1200000921"</f>
        <v>1200000921</v>
      </c>
      <c r="C852" s="5" t="str">
        <f>"نردبان تاشويي آلومينيومي2 متري"</f>
        <v>نردبان تاشويي آلومينيومي2 متري</v>
      </c>
      <c r="D852" s="4" t="str">
        <f>"4*100Cm"</f>
        <v>4*100Cm</v>
      </c>
      <c r="E852" s="4" t="str">
        <f t="shared" si="57"/>
        <v>عدد</v>
      </c>
      <c r="F852" s="4">
        <v>1</v>
      </c>
      <c r="G852" s="10">
        <v>2500000</v>
      </c>
      <c r="H852" s="10">
        <f t="shared" si="56"/>
        <v>2500000</v>
      </c>
    </row>
    <row r="853" spans="1:8" s="2" customFormat="1" ht="24" customHeight="1">
      <c r="A853" s="6">
        <v>852</v>
      </c>
      <c r="B853" s="4" t="str">
        <f>"1200000294"</f>
        <v>1200000294</v>
      </c>
      <c r="C853" s="5" t="str">
        <f>"آچار شمعي 6پر 27-29 ميليمتر"</f>
        <v>آچار شمعي 6پر 27-29 ميليمتر</v>
      </c>
      <c r="D853" s="4" t="str">
        <f>"27-29 MM"</f>
        <v>27-29 MM</v>
      </c>
      <c r="E853" s="4" t="str">
        <f t="shared" si="57"/>
        <v>عدد</v>
      </c>
      <c r="F853" s="4">
        <v>1</v>
      </c>
      <c r="G853" s="10">
        <v>300000</v>
      </c>
      <c r="H853" s="10">
        <f t="shared" si="56"/>
        <v>300000</v>
      </c>
    </row>
    <row r="854" spans="1:8" s="2" customFormat="1" ht="24" customHeight="1">
      <c r="A854" s="4">
        <v>853</v>
      </c>
      <c r="B854" s="4" t="str">
        <f>"1200000306"</f>
        <v>1200000306</v>
      </c>
      <c r="C854" s="5" t="str">
        <f>"آچار دو سر شمعي 17-14 ميليمتر"</f>
        <v>آچار دو سر شمعي 17-14 ميليمتر</v>
      </c>
      <c r="D854" s="4" t="str">
        <f>"14X17"</f>
        <v>14X17</v>
      </c>
      <c r="E854" s="4" t="str">
        <f t="shared" si="57"/>
        <v>عدد</v>
      </c>
      <c r="F854" s="4">
        <v>1</v>
      </c>
      <c r="G854" s="10">
        <v>250000</v>
      </c>
      <c r="H854" s="10">
        <f t="shared" si="56"/>
        <v>250000</v>
      </c>
    </row>
    <row r="855" spans="1:8" s="2" customFormat="1" ht="24" customHeight="1">
      <c r="A855" s="4">
        <v>854</v>
      </c>
      <c r="B855" s="4" t="str">
        <f>"1200000405"</f>
        <v>1200000405</v>
      </c>
      <c r="C855" s="5" t="str">
        <f>"آچار دو سر بكس12پر 15/16(24ميليمتر) _1اينچ"</f>
        <v>آچار دو سر بكس12پر 15/16(24ميليمتر) _1اينچ</v>
      </c>
      <c r="D855" s="4" t="str">
        <f>"HAZET"</f>
        <v>HAZET</v>
      </c>
      <c r="E855" s="4" t="str">
        <f t="shared" si="57"/>
        <v>عدد</v>
      </c>
      <c r="F855" s="4">
        <v>1</v>
      </c>
      <c r="G855" s="10">
        <v>450000</v>
      </c>
      <c r="H855" s="10">
        <f t="shared" si="56"/>
        <v>450000</v>
      </c>
    </row>
    <row r="856" spans="1:8" s="2" customFormat="1" ht="24" customHeight="1">
      <c r="A856" s="4">
        <v>855</v>
      </c>
      <c r="B856" s="4" t="str">
        <f>"1200000433"</f>
        <v>1200000433</v>
      </c>
      <c r="C856" s="5" t="str">
        <f>"سيم سيار چرخدار سه فاز"</f>
        <v>سيم سيار چرخدار سه فاز</v>
      </c>
      <c r="D856" s="4" t="str">
        <f>"100متري"</f>
        <v>100متري</v>
      </c>
      <c r="E856" s="4" t="str">
        <f>"دستگاه"</f>
        <v>دستگاه</v>
      </c>
      <c r="F856" s="4">
        <v>1</v>
      </c>
      <c r="G856" s="10">
        <v>4800000</v>
      </c>
      <c r="H856" s="10">
        <f t="shared" si="56"/>
        <v>4800000</v>
      </c>
    </row>
    <row r="857" spans="1:8" s="2" customFormat="1" ht="24" customHeight="1">
      <c r="A857" s="6">
        <v>856</v>
      </c>
      <c r="B857" s="4" t="str">
        <f>"1200000630"</f>
        <v>1200000630</v>
      </c>
      <c r="C857" s="5" t="str">
        <f>"قلم پانچ واشربر 13ميليمتر"</f>
        <v>قلم پانچ واشربر 13ميليمتر</v>
      </c>
      <c r="D857" s="4" t="str">
        <f>"VBW -13MM"</f>
        <v>VBW -13MM</v>
      </c>
      <c r="E857" s="4" t="str">
        <f>"عدد"</f>
        <v>عدد</v>
      </c>
      <c r="F857" s="4">
        <v>1</v>
      </c>
      <c r="G857" s="10">
        <v>250000</v>
      </c>
      <c r="H857" s="10">
        <f t="shared" si="56"/>
        <v>250000</v>
      </c>
    </row>
    <row r="858" spans="1:8" s="2" customFormat="1" ht="24" customHeight="1">
      <c r="A858" s="4">
        <v>857</v>
      </c>
      <c r="B858" s="4" t="str">
        <f>"1200000639"</f>
        <v>1200000639</v>
      </c>
      <c r="C858" s="5" t="str">
        <f>"پانچ واشربر75ميليمتر"</f>
        <v>پانچ واشربر75ميليمتر</v>
      </c>
      <c r="D858" s="4" t="str">
        <f>"75ميليمتر"</f>
        <v>75ميليمتر</v>
      </c>
      <c r="E858" s="4" t="str">
        <f>"عدد"</f>
        <v>عدد</v>
      </c>
      <c r="F858" s="4">
        <v>1</v>
      </c>
      <c r="G858" s="10">
        <v>600000</v>
      </c>
      <c r="H858" s="10">
        <f t="shared" si="56"/>
        <v>600000</v>
      </c>
    </row>
    <row r="859" spans="1:8" s="2" customFormat="1" ht="24" customHeight="1">
      <c r="A859" s="4">
        <v>858</v>
      </c>
      <c r="B859" s="4" t="str">
        <f>"1200000641"</f>
        <v>1200000641</v>
      </c>
      <c r="C859" s="5" t="str">
        <f>"تسمه بار كنفي1تن 2متري"</f>
        <v>تسمه بار كنفي1تن 2متري</v>
      </c>
      <c r="D859" s="4" t="str">
        <f>"1تن 2متري"</f>
        <v>1تن 2متري</v>
      </c>
      <c r="E859" s="4" t="str">
        <f>"کلاف"</f>
        <v>کلاف</v>
      </c>
      <c r="F859" s="4">
        <v>1</v>
      </c>
      <c r="G859" s="10">
        <v>350000</v>
      </c>
      <c r="H859" s="10">
        <f t="shared" si="56"/>
        <v>350000</v>
      </c>
    </row>
    <row r="860" spans="1:8" s="2" customFormat="1" ht="24" customHeight="1">
      <c r="A860" s="4">
        <v>859</v>
      </c>
      <c r="B860" s="4" t="str">
        <f>"1200000642"</f>
        <v>1200000642</v>
      </c>
      <c r="C860" s="5" t="str">
        <f>"قلم پانچ واشربر11ميليمتر"</f>
        <v>قلم پانچ واشربر11ميليمتر</v>
      </c>
      <c r="D860" s="4" t="str">
        <f>"11ميليمتر - VBW"</f>
        <v>11ميليمتر - VBW</v>
      </c>
      <c r="E860" s="4" t="str">
        <f t="shared" ref="E860:E871" si="58">"عدد"</f>
        <v>عدد</v>
      </c>
      <c r="F860" s="4">
        <v>1</v>
      </c>
      <c r="G860" s="10">
        <v>200000</v>
      </c>
      <c r="H860" s="10">
        <f t="shared" si="56"/>
        <v>200000</v>
      </c>
    </row>
    <row r="861" spans="1:8" s="2" customFormat="1" ht="24" customHeight="1">
      <c r="A861" s="6">
        <v>860</v>
      </c>
      <c r="B861" s="4" t="str">
        <f>"1200000663"</f>
        <v>1200000663</v>
      </c>
      <c r="C861" s="5" t="str">
        <f>"شگل DIN5"</f>
        <v>شگل DIN5</v>
      </c>
      <c r="D861" s="4" t="str">
        <f>""</f>
        <v/>
      </c>
      <c r="E861" s="4" t="str">
        <f t="shared" si="58"/>
        <v>عدد</v>
      </c>
      <c r="F861" s="4">
        <v>2</v>
      </c>
      <c r="G861" s="10">
        <v>250000</v>
      </c>
      <c r="H861" s="10">
        <f t="shared" si="56"/>
        <v>500000</v>
      </c>
    </row>
    <row r="862" spans="1:8" s="2" customFormat="1" ht="24" customHeight="1">
      <c r="A862" s="4">
        <v>861</v>
      </c>
      <c r="B862" s="4" t="str">
        <f>"1200000669"</f>
        <v>1200000669</v>
      </c>
      <c r="C862" s="5" t="str">
        <f>"سوهان نيمگرد 25  سانتي بدون دسته"</f>
        <v>سوهان نيمگرد 25  سانتي بدون دسته</v>
      </c>
      <c r="D862" s="4" t="str">
        <f>"GERMANY"</f>
        <v>GERMANY</v>
      </c>
      <c r="E862" s="4" t="str">
        <f t="shared" si="58"/>
        <v>عدد</v>
      </c>
      <c r="F862" s="4">
        <v>1</v>
      </c>
      <c r="G862" s="10">
        <v>250000</v>
      </c>
      <c r="H862" s="10">
        <f t="shared" si="56"/>
        <v>250000</v>
      </c>
    </row>
    <row r="863" spans="1:8" s="2" customFormat="1" ht="24" customHeight="1">
      <c r="A863" s="4">
        <v>862</v>
      </c>
      <c r="B863" s="4" t="str">
        <f>"1200000690"</f>
        <v>1200000690</v>
      </c>
      <c r="C863" s="5" t="str">
        <f>"آچار دو سر تخت مسي19-18 ميليمتر-ضد جرقه"</f>
        <v>آچار دو سر تخت مسي19-18 ميليمتر-ضد جرقه</v>
      </c>
      <c r="D863" s="4" t="str">
        <f>"مسي 19-18ميليمتر"</f>
        <v>مسي 19-18ميليمتر</v>
      </c>
      <c r="E863" s="4" t="str">
        <f t="shared" si="58"/>
        <v>عدد</v>
      </c>
      <c r="F863" s="4">
        <v>2</v>
      </c>
      <c r="G863" s="10">
        <v>550000</v>
      </c>
      <c r="H863" s="10">
        <f t="shared" si="56"/>
        <v>1100000</v>
      </c>
    </row>
    <row r="864" spans="1:8" s="2" customFormat="1" ht="24" customHeight="1">
      <c r="A864" s="4">
        <v>863</v>
      </c>
      <c r="B864" s="4" t="str">
        <f>"1200000694"</f>
        <v>1200000694</v>
      </c>
      <c r="C864" s="5" t="str">
        <f>"آچار دو سر تخت 12-14ميليمتر-ضد جرقه"</f>
        <v>آچار دو سر تخت 12-14ميليمتر-ضد جرقه</v>
      </c>
      <c r="D864" s="4" t="str">
        <f>"ميليمتر 14-12 -مسي-ضد جرقه"</f>
        <v>ميليمتر 14-12 -مسي-ضد جرقه</v>
      </c>
      <c r="E864" s="4" t="str">
        <f t="shared" si="58"/>
        <v>عدد</v>
      </c>
      <c r="F864" s="4">
        <v>1</v>
      </c>
      <c r="G864" s="10">
        <v>450000</v>
      </c>
      <c r="H864" s="10">
        <f t="shared" si="56"/>
        <v>450000</v>
      </c>
    </row>
    <row r="865" spans="1:8" s="2" customFormat="1" ht="24" customHeight="1">
      <c r="A865" s="6">
        <v>864</v>
      </c>
      <c r="B865" s="4" t="str">
        <f>"1200000713"</f>
        <v>1200000713</v>
      </c>
      <c r="C865" s="5" t="str">
        <f>"آچار دو سر تخت مسي12-10ميليمتر-ضدجرقه"</f>
        <v>آچار دو سر تخت مسي12-10ميليمتر-ضدجرقه</v>
      </c>
      <c r="D865" s="4" t="str">
        <f>"مسي - 10-12ميليمتر"</f>
        <v>مسي - 10-12ميليمتر</v>
      </c>
      <c r="E865" s="4" t="str">
        <f t="shared" si="58"/>
        <v>عدد</v>
      </c>
      <c r="F865" s="4">
        <v>1</v>
      </c>
      <c r="G865" s="10">
        <v>400000</v>
      </c>
      <c r="H865" s="10">
        <f t="shared" si="56"/>
        <v>400000</v>
      </c>
    </row>
    <row r="866" spans="1:8" s="2" customFormat="1" ht="24" customHeight="1">
      <c r="A866" s="4">
        <v>865</v>
      </c>
      <c r="B866" s="4" t="str">
        <f>"1200000744"</f>
        <v>1200000744</v>
      </c>
      <c r="C866" s="5" t="str">
        <f>"آچار دو سر تخت اينچي2  -  13/16-1"</f>
        <v>آچار دو سر تخت اينچي2  -  13/16-1</v>
      </c>
      <c r="D866" s="4" t="str">
        <f>"GEDORE"</f>
        <v>GEDORE</v>
      </c>
      <c r="E866" s="4" t="str">
        <f t="shared" si="58"/>
        <v>عدد</v>
      </c>
      <c r="F866" s="4">
        <v>1</v>
      </c>
      <c r="G866" s="10">
        <v>500000</v>
      </c>
      <c r="H866" s="10">
        <f t="shared" si="56"/>
        <v>500000</v>
      </c>
    </row>
    <row r="867" spans="1:8" s="2" customFormat="1" ht="24" customHeight="1">
      <c r="A867" s="4">
        <v>866</v>
      </c>
      <c r="B867" s="4" t="str">
        <f>"1200000520"</f>
        <v>1200000520</v>
      </c>
      <c r="C867" s="5" t="str">
        <f>"آچار دو سر تخت اينچي1/4-1   -   16/1-1"</f>
        <v>آچار دو سر تخت اينچي1/4-1   -   16/1-1</v>
      </c>
      <c r="D867" s="4" t="str">
        <f>"اينچي"</f>
        <v>اينچي</v>
      </c>
      <c r="E867" s="4" t="str">
        <f t="shared" si="58"/>
        <v>عدد</v>
      </c>
      <c r="F867" s="4">
        <v>1</v>
      </c>
      <c r="G867" s="10">
        <v>450000</v>
      </c>
      <c r="H867" s="10">
        <f t="shared" si="56"/>
        <v>450000</v>
      </c>
    </row>
    <row r="868" spans="1:8" s="2" customFormat="1" ht="24" customHeight="1">
      <c r="A868" s="4">
        <v>867</v>
      </c>
      <c r="B868" s="4" t="str">
        <f>"1200000523"</f>
        <v>1200000523</v>
      </c>
      <c r="C868" s="5" t="str">
        <f>"آچار دو سر تخت اينچي 1/8-1  -  1/16-1"</f>
        <v>آچار دو سر تخت اينچي 1/8-1  -  1/16-1</v>
      </c>
      <c r="D868" s="4" t="str">
        <f>"اينچي"</f>
        <v>اينچي</v>
      </c>
      <c r="E868" s="4" t="str">
        <f t="shared" si="58"/>
        <v>عدد</v>
      </c>
      <c r="F868" s="4">
        <v>1</v>
      </c>
      <c r="G868" s="10">
        <v>450000</v>
      </c>
      <c r="H868" s="10">
        <f t="shared" si="56"/>
        <v>450000</v>
      </c>
    </row>
    <row r="869" spans="1:8" s="2" customFormat="1" ht="24" customHeight="1">
      <c r="A869" s="6">
        <v>868</v>
      </c>
      <c r="B869" s="4" t="str">
        <f>"1200000747"</f>
        <v>1200000747</v>
      </c>
      <c r="C869" s="5" t="str">
        <f>"آچار دو سر تخت اينچي 7/8  -  15/16"</f>
        <v>آچار دو سر تخت اينچي 7/8  -  15/16</v>
      </c>
      <c r="D869" s="4" t="str">
        <f>"اينچي"</f>
        <v>اينچي</v>
      </c>
      <c r="E869" s="4" t="str">
        <f t="shared" si="58"/>
        <v>عدد</v>
      </c>
      <c r="F869" s="4">
        <v>1</v>
      </c>
      <c r="G869" s="10">
        <v>450000</v>
      </c>
      <c r="H869" s="10">
        <f t="shared" si="56"/>
        <v>450000</v>
      </c>
    </row>
    <row r="870" spans="1:8" s="2" customFormat="1" ht="24" customHeight="1">
      <c r="A870" s="4">
        <v>869</v>
      </c>
      <c r="B870" s="4" t="str">
        <f>"1200000760"</f>
        <v>1200000760</v>
      </c>
      <c r="C870" s="5" t="str">
        <f>"آچار دو سر تخت اينچي7/8  -  13/16"</f>
        <v>آچار دو سر تخت اينچي7/8  -  13/16</v>
      </c>
      <c r="D870" s="4" t="str">
        <f>"اينچي"</f>
        <v>اينچي</v>
      </c>
      <c r="E870" s="4" t="str">
        <f t="shared" si="58"/>
        <v>عدد</v>
      </c>
      <c r="F870" s="4">
        <v>1</v>
      </c>
      <c r="G870" s="10">
        <v>300000</v>
      </c>
      <c r="H870" s="10">
        <f t="shared" si="56"/>
        <v>300000</v>
      </c>
    </row>
    <row r="871" spans="1:8" s="2" customFormat="1" ht="24" customHeight="1">
      <c r="A871" s="4">
        <v>870</v>
      </c>
      <c r="B871" s="4" t="str">
        <f>"1200000788"</f>
        <v>1200000788</v>
      </c>
      <c r="C871" s="5" t="str">
        <f>"متر 20متري"</f>
        <v>متر 20متري</v>
      </c>
      <c r="D871" s="4" t="str">
        <f>"كاليبره"</f>
        <v>كاليبره</v>
      </c>
      <c r="E871" s="4" t="str">
        <f t="shared" si="58"/>
        <v>عدد</v>
      </c>
      <c r="F871" s="4">
        <v>1</v>
      </c>
      <c r="G871" s="10">
        <v>250000</v>
      </c>
      <c r="H871" s="10">
        <f t="shared" si="56"/>
        <v>250000</v>
      </c>
    </row>
    <row r="872" spans="1:8" s="2" customFormat="1" ht="24" customHeight="1">
      <c r="A872" s="4">
        <v>871</v>
      </c>
      <c r="B872" s="4" t="str">
        <f>"1200000923"</f>
        <v>1200000923</v>
      </c>
      <c r="C872" s="5" t="str">
        <f>"سيم بکسل کرپي-مغز كنفي-19*6"</f>
        <v>سيم بکسل کرپي-مغز كنفي-19*6</v>
      </c>
      <c r="D872" s="4" t="str">
        <f>"قطر20ميليمتر"</f>
        <v>قطر20ميليمتر</v>
      </c>
      <c r="E872" s="4" t="str">
        <f>"کلاف"</f>
        <v>کلاف</v>
      </c>
      <c r="F872" s="4">
        <v>4</v>
      </c>
      <c r="G872" s="10">
        <v>250000</v>
      </c>
      <c r="H872" s="10">
        <f t="shared" si="56"/>
        <v>1000000</v>
      </c>
    </row>
    <row r="873" spans="1:8" s="2" customFormat="1" ht="24" customHeight="1">
      <c r="A873" s="6">
        <v>872</v>
      </c>
      <c r="B873" s="4" t="str">
        <f>"1200000924"</f>
        <v>1200000924</v>
      </c>
      <c r="C873" s="5" t="str">
        <f>"سيم سيار 3متري 4خانه"</f>
        <v>سيم سيار 3متري 4خانه</v>
      </c>
      <c r="D873" s="4" t="str">
        <f>"3متري-4خانه-پارت الکتريک"</f>
        <v>3متري-4خانه-پارت الکتريک</v>
      </c>
      <c r="E873" s="4" t="str">
        <f t="shared" ref="E873:E877" si="59">"عدد"</f>
        <v>عدد</v>
      </c>
      <c r="F873" s="4">
        <v>5</v>
      </c>
      <c r="G873" s="10">
        <v>250000</v>
      </c>
      <c r="H873" s="10">
        <f t="shared" si="56"/>
        <v>1250000</v>
      </c>
    </row>
    <row r="874" spans="1:8" s="2" customFormat="1" ht="24" customHeight="1">
      <c r="A874" s="4">
        <v>873</v>
      </c>
      <c r="B874" s="4" t="str">
        <f>"1200000925"</f>
        <v>1200000925</v>
      </c>
      <c r="C874" s="5" t="str">
        <f>"سيم سيار 4خانه محافظ دار 2متري"</f>
        <v>سيم سيار 4خانه محافظ دار 2متري</v>
      </c>
      <c r="D874" s="4" t="str">
        <f>"محافظ دار-4خانه"</f>
        <v>محافظ دار-4خانه</v>
      </c>
      <c r="E874" s="4" t="str">
        <f t="shared" si="59"/>
        <v>عدد</v>
      </c>
      <c r="F874" s="4">
        <v>3</v>
      </c>
      <c r="G874" s="10">
        <v>350000</v>
      </c>
      <c r="H874" s="10">
        <f t="shared" si="56"/>
        <v>1050000</v>
      </c>
    </row>
    <row r="875" spans="1:8" s="2" customFormat="1" ht="24" customHeight="1">
      <c r="A875" s="4">
        <v>874</v>
      </c>
      <c r="B875" s="4" t="str">
        <f>"1200000926"</f>
        <v>1200000926</v>
      </c>
      <c r="C875" s="5" t="str">
        <f>"سيم سيار 4خانه -محافظ دار 5متري"</f>
        <v>سيم سيار 4خانه -محافظ دار 5متري</v>
      </c>
      <c r="D875" s="4" t="str">
        <f>"4خانه محافظ دار"</f>
        <v>4خانه محافظ دار</v>
      </c>
      <c r="E875" s="4" t="str">
        <f t="shared" si="59"/>
        <v>عدد</v>
      </c>
      <c r="F875" s="4">
        <v>1</v>
      </c>
      <c r="G875" s="10">
        <v>400000</v>
      </c>
      <c r="H875" s="10">
        <f t="shared" si="56"/>
        <v>400000</v>
      </c>
    </row>
    <row r="876" spans="1:8" s="2" customFormat="1" ht="24" customHeight="1">
      <c r="A876" s="4">
        <v>875</v>
      </c>
      <c r="B876" s="4" t="str">
        <f>"1200000927"</f>
        <v>1200000927</v>
      </c>
      <c r="C876" s="5" t="str">
        <f>"آچار فرانسه ضد جرقه-15 اينچ"</f>
        <v>آچار فرانسه ضد جرقه-15 اينچ</v>
      </c>
      <c r="D876" s="4" t="str">
        <f>"ضد جرقه"</f>
        <v>ضد جرقه</v>
      </c>
      <c r="E876" s="4" t="str">
        <f t="shared" si="59"/>
        <v>عدد</v>
      </c>
      <c r="F876" s="4">
        <v>1</v>
      </c>
      <c r="G876" s="10">
        <v>1500000</v>
      </c>
      <c r="H876" s="10">
        <f t="shared" si="56"/>
        <v>1500000</v>
      </c>
    </row>
    <row r="877" spans="1:8" s="2" customFormat="1" ht="24" customHeight="1">
      <c r="A877" s="6">
        <v>876</v>
      </c>
      <c r="B877" s="4" t="str">
        <f>"1200000942"</f>
        <v>1200000942</v>
      </c>
      <c r="C877" s="5" t="str">
        <f>"دسته جوشكاري يوزل-مخصوص ميني سيلندر"</f>
        <v>دسته جوشكاري يوزل-مخصوص ميني سيلندر</v>
      </c>
      <c r="D877" s="4" t="str">
        <f>"HOSED TORCH"</f>
        <v>HOSED TORCH</v>
      </c>
      <c r="E877" s="4" t="str">
        <f t="shared" si="59"/>
        <v>عدد</v>
      </c>
      <c r="F877" s="4">
        <v>1</v>
      </c>
      <c r="G877" s="10">
        <v>3000000</v>
      </c>
      <c r="H877" s="10">
        <f t="shared" si="56"/>
        <v>3000000</v>
      </c>
    </row>
    <row r="878" spans="1:8" s="2" customFormat="1" ht="24" customHeight="1">
      <c r="A878" s="4">
        <v>877</v>
      </c>
      <c r="B878" s="4" t="str">
        <f>"1200000946"</f>
        <v>1200000946</v>
      </c>
      <c r="C878" s="5" t="str">
        <f>"دستگاه خم كن فول هيدروليك به طول 2/5متر-قدرت خم 2/5با تابلو ,P"</f>
        <v>دستگاه خم كن فول هيدروليك به طول 2/5متر-قدرت خم 2/5با تابلو ,P</v>
      </c>
      <c r="D878" s="4" t="str">
        <f>" P.L.C.همراه با تابلو"</f>
        <v xml:space="preserve"> P.L.C.همراه با تابلو</v>
      </c>
      <c r="E878" s="4" t="str">
        <f>"دستگاه"</f>
        <v>دستگاه</v>
      </c>
      <c r="F878" s="4">
        <v>1</v>
      </c>
      <c r="G878" s="10">
        <v>280000000</v>
      </c>
      <c r="H878" s="10">
        <f t="shared" si="56"/>
        <v>280000000</v>
      </c>
    </row>
    <row r="879" spans="1:8" s="2" customFormat="1" ht="24" customHeight="1">
      <c r="A879" s="4">
        <v>878</v>
      </c>
      <c r="B879" s="4" t="str">
        <f>"1200000947"</f>
        <v>1200000947</v>
      </c>
      <c r="C879" s="5" t="str">
        <f>"دستگاه نورد كن به طول 120CMجهت نورد ورق آهن"</f>
        <v>دستگاه نورد كن به طول 120CMجهت نورد ورق آهن</v>
      </c>
      <c r="D879" s="4" t="str">
        <f>"به ضخامت 1/5متروحداقل قطر 8 سانتيمتر"</f>
        <v>به ضخامت 1/5متروحداقل قطر 8 سانتيمتر</v>
      </c>
      <c r="E879" s="4" t="str">
        <f>"دستگاه"</f>
        <v>دستگاه</v>
      </c>
      <c r="F879" s="4">
        <v>1</v>
      </c>
      <c r="G879" s="10">
        <v>52000000</v>
      </c>
      <c r="H879" s="10">
        <f t="shared" si="56"/>
        <v>52000000</v>
      </c>
    </row>
    <row r="880" spans="1:8" s="2" customFormat="1" ht="24" customHeight="1">
      <c r="A880" s="4">
        <v>879</v>
      </c>
      <c r="B880" s="4" t="str">
        <f>"1200000948"</f>
        <v>1200000948</v>
      </c>
      <c r="C880" s="5" t="str">
        <f>"دستگاه رول گير به قدرت 10تن وطول 1/5متربا سيستم برقي وتابلو"</f>
        <v>دستگاه رول گير به قدرت 10تن وطول 1/5متربا سيستم برقي وتابلو</v>
      </c>
      <c r="D880" s="4" t="str">
        <f>"قدرت 10تن وبه طول 1/5متر با سيستم برقي وتابلو"</f>
        <v>قدرت 10تن وبه طول 1/5متر با سيستم برقي وتابلو</v>
      </c>
      <c r="E880" s="4" t="str">
        <f>"دستگاه"</f>
        <v>دستگاه</v>
      </c>
      <c r="F880" s="4">
        <v>1</v>
      </c>
      <c r="G880" s="10">
        <v>110000000</v>
      </c>
      <c r="H880" s="10">
        <f t="shared" si="56"/>
        <v>110000000</v>
      </c>
    </row>
    <row r="881" spans="1:8" s="2" customFormat="1" ht="24" customHeight="1">
      <c r="A881" s="6">
        <v>880</v>
      </c>
      <c r="B881" s="4" t="str">
        <f>"1200000950"</f>
        <v>1200000950</v>
      </c>
      <c r="C881" s="5" t="str">
        <f>"آچار داربست بندي-حقجغه اي21-19"</f>
        <v>آچار داربست بندي-حقجغه اي21-19</v>
      </c>
      <c r="D881" s="4" t="str">
        <f>"19--21mm"</f>
        <v>19--21mm</v>
      </c>
      <c r="E881" s="4" t="str">
        <f>"عدد"</f>
        <v>عدد</v>
      </c>
      <c r="F881" s="4">
        <v>5</v>
      </c>
      <c r="G881" s="10">
        <v>1500000</v>
      </c>
      <c r="H881" s="10">
        <f t="shared" si="56"/>
        <v>7500000</v>
      </c>
    </row>
    <row r="882" spans="1:8" s="2" customFormat="1" ht="24" customHeight="1">
      <c r="A882" s="4">
        <v>881</v>
      </c>
      <c r="B882" s="4" t="str">
        <f>"1200000957"</f>
        <v>1200000957</v>
      </c>
      <c r="C882" s="5" t="str">
        <f>"گونيا يك متري فلزي"</f>
        <v>گونيا يك متري فلزي</v>
      </c>
      <c r="D882" s="4" t="str">
        <f>""</f>
        <v/>
      </c>
      <c r="E882" s="4" t="str">
        <f>"دستگاه"</f>
        <v>دستگاه</v>
      </c>
      <c r="F882" s="4">
        <v>1</v>
      </c>
      <c r="G882" s="10">
        <v>1200000</v>
      </c>
      <c r="H882" s="10">
        <f t="shared" si="56"/>
        <v>1200000</v>
      </c>
    </row>
    <row r="883" spans="1:8" s="2" customFormat="1" ht="24" customHeight="1">
      <c r="A883" s="4">
        <v>882</v>
      </c>
      <c r="B883" s="4" t="str">
        <f>"1200000959"</f>
        <v>1200000959</v>
      </c>
      <c r="C883" s="5" t="str">
        <f>"پرگار 50سانتيمتري"</f>
        <v>پرگار 50سانتيمتري</v>
      </c>
      <c r="D883" s="4" t="str">
        <f>"50cm"</f>
        <v>50cm</v>
      </c>
      <c r="E883" s="4" t="str">
        <f>"دستگاه"</f>
        <v>دستگاه</v>
      </c>
      <c r="F883" s="4">
        <v>1</v>
      </c>
      <c r="G883" s="10">
        <v>1800000</v>
      </c>
      <c r="H883" s="10">
        <f t="shared" si="56"/>
        <v>1800000</v>
      </c>
    </row>
    <row r="884" spans="1:8" s="2" customFormat="1" ht="24" customHeight="1">
      <c r="A884" s="4">
        <v>883</v>
      </c>
      <c r="B884" s="4" t="str">
        <f>"1200000960"</f>
        <v>1200000960</v>
      </c>
      <c r="C884" s="5" t="str">
        <f>"پرگار يك متري"</f>
        <v>پرگار يك متري</v>
      </c>
      <c r="D884" s="4" t="str">
        <f>"1m"</f>
        <v>1m</v>
      </c>
      <c r="E884" s="4" t="str">
        <f>"دستگاه"</f>
        <v>دستگاه</v>
      </c>
      <c r="F884" s="4">
        <v>1</v>
      </c>
      <c r="G884" s="10">
        <v>4000000</v>
      </c>
      <c r="H884" s="10">
        <f t="shared" si="56"/>
        <v>4000000</v>
      </c>
    </row>
    <row r="885" spans="1:8" s="2" customFormat="1" ht="24" customHeight="1">
      <c r="A885" s="6">
        <v>884</v>
      </c>
      <c r="B885" s="4" t="str">
        <f>"1200000961"</f>
        <v>1200000961</v>
      </c>
      <c r="C885" s="5" t="str">
        <f>"دستگاه دوربين ترموگراف-همراه با متعلقات(شامل باطري-شارژر"</f>
        <v>دستگاه دوربين ترموگراف-همراه با متعلقات(شامل باطري-شارژر</v>
      </c>
      <c r="D885" s="4" t="str">
        <f>""</f>
        <v/>
      </c>
      <c r="E885" s="4" t="str">
        <f>"دستگاه"</f>
        <v>دستگاه</v>
      </c>
      <c r="F885" s="4">
        <v>1</v>
      </c>
      <c r="G885" s="10">
        <v>351000000</v>
      </c>
      <c r="H885" s="10">
        <f t="shared" si="56"/>
        <v>351000000</v>
      </c>
    </row>
    <row r="886" spans="1:8" s="2" customFormat="1" ht="24" customHeight="1">
      <c r="A886" s="4">
        <v>885</v>
      </c>
      <c r="B886" s="4" t="str">
        <f>"1200000962"</f>
        <v>1200000962</v>
      </c>
      <c r="C886" s="5" t="str">
        <f>"آچار دو سر تخت 10-8ميليمتر"</f>
        <v>آچار دو سر تخت 10-8ميليمتر</v>
      </c>
      <c r="D886" s="4" t="str">
        <f>""</f>
        <v/>
      </c>
      <c r="E886" s="4" t="str">
        <f t="shared" ref="E886:E903" si="60">"عدد"</f>
        <v>عدد</v>
      </c>
      <c r="F886" s="4">
        <v>2</v>
      </c>
      <c r="G886" s="10">
        <v>100000</v>
      </c>
      <c r="H886" s="10">
        <f t="shared" si="56"/>
        <v>200000</v>
      </c>
    </row>
    <row r="887" spans="1:8" s="2" customFormat="1" ht="24" customHeight="1">
      <c r="A887" s="4">
        <v>886</v>
      </c>
      <c r="B887" s="4" t="str">
        <f>"1200000963"</f>
        <v>1200000963</v>
      </c>
      <c r="C887" s="5" t="str">
        <f>"آچار دو سر تخت 12-10ميليمتر"</f>
        <v>آچار دو سر تخت 12-10ميليمتر</v>
      </c>
      <c r="D887" s="4" t="str">
        <f>""</f>
        <v/>
      </c>
      <c r="E887" s="4" t="str">
        <f t="shared" si="60"/>
        <v>عدد</v>
      </c>
      <c r="F887" s="4">
        <v>2</v>
      </c>
      <c r="G887" s="10">
        <v>120000</v>
      </c>
      <c r="H887" s="10">
        <f t="shared" si="56"/>
        <v>240000</v>
      </c>
    </row>
    <row r="888" spans="1:8" s="2" customFormat="1" ht="24" customHeight="1">
      <c r="A888" s="4">
        <v>887</v>
      </c>
      <c r="B888" s="4" t="str">
        <f>"1200000964"</f>
        <v>1200000964</v>
      </c>
      <c r="C888" s="5" t="str">
        <f>"آچار دوسر تخت14-12ميليمتر"</f>
        <v>آچار دوسر تخت14-12ميليمتر</v>
      </c>
      <c r="D888" s="4" t="str">
        <f>""</f>
        <v/>
      </c>
      <c r="E888" s="4" t="str">
        <f t="shared" si="60"/>
        <v>عدد</v>
      </c>
      <c r="F888" s="4">
        <v>2</v>
      </c>
      <c r="G888" s="10">
        <v>150000</v>
      </c>
      <c r="H888" s="10">
        <f t="shared" si="56"/>
        <v>300000</v>
      </c>
    </row>
    <row r="889" spans="1:8" s="2" customFormat="1" ht="24" customHeight="1">
      <c r="A889" s="6">
        <v>888</v>
      </c>
      <c r="B889" s="4" t="str">
        <f>"1200000965"</f>
        <v>1200000965</v>
      </c>
      <c r="C889" s="5" t="str">
        <f>"آچار دو سر تخت 22-19ميليمتر"</f>
        <v>آچار دو سر تخت 22-19ميليمتر</v>
      </c>
      <c r="D889" s="4" t="str">
        <f>""</f>
        <v/>
      </c>
      <c r="E889" s="4" t="str">
        <f t="shared" si="60"/>
        <v>عدد</v>
      </c>
      <c r="F889" s="4">
        <v>2</v>
      </c>
      <c r="G889" s="10">
        <v>270000</v>
      </c>
      <c r="H889" s="10">
        <f t="shared" si="56"/>
        <v>540000</v>
      </c>
    </row>
    <row r="890" spans="1:8" s="2" customFormat="1" ht="24" customHeight="1">
      <c r="A890" s="4">
        <v>889</v>
      </c>
      <c r="B890" s="4" t="str">
        <f>"1200000966"</f>
        <v>1200000966</v>
      </c>
      <c r="C890" s="5" t="str">
        <f>"آچار دو سر تخت19-17مليمتر"</f>
        <v>آچار دو سر تخت19-17مليمتر</v>
      </c>
      <c r="D890" s="4" t="str">
        <f>""</f>
        <v/>
      </c>
      <c r="E890" s="4" t="str">
        <f t="shared" si="60"/>
        <v>عدد</v>
      </c>
      <c r="F890" s="4">
        <v>2</v>
      </c>
      <c r="G890" s="10">
        <v>250000</v>
      </c>
      <c r="H890" s="10">
        <f t="shared" si="56"/>
        <v>500000</v>
      </c>
    </row>
    <row r="891" spans="1:8" s="2" customFormat="1" ht="24" customHeight="1">
      <c r="A891" s="4">
        <v>890</v>
      </c>
      <c r="B891" s="4" t="str">
        <f>"1200000968"</f>
        <v>1200000968</v>
      </c>
      <c r="C891" s="5" t="str">
        <f>"آچار دو سر رينگي22-19ميليمتر"</f>
        <v>آچار دو سر رينگي22-19ميليمتر</v>
      </c>
      <c r="D891" s="4" t="str">
        <f>""</f>
        <v/>
      </c>
      <c r="E891" s="4" t="str">
        <f t="shared" si="60"/>
        <v>عدد</v>
      </c>
      <c r="F891" s="4">
        <v>2</v>
      </c>
      <c r="G891" s="10">
        <v>400000</v>
      </c>
      <c r="H891" s="10">
        <f t="shared" si="56"/>
        <v>800000</v>
      </c>
    </row>
    <row r="892" spans="1:8" s="2" customFormat="1" ht="24" customHeight="1">
      <c r="A892" s="4">
        <v>891</v>
      </c>
      <c r="B892" s="4" t="str">
        <f>"1200000969"</f>
        <v>1200000969</v>
      </c>
      <c r="C892" s="5" t="str">
        <f>"آچار چکش خور 24ميليمتر"</f>
        <v>آچار چکش خور 24ميليمتر</v>
      </c>
      <c r="D892" s="4" t="str">
        <f>""</f>
        <v/>
      </c>
      <c r="E892" s="4" t="str">
        <f t="shared" si="60"/>
        <v>عدد</v>
      </c>
      <c r="F892" s="4">
        <v>2</v>
      </c>
      <c r="G892" s="10">
        <v>480000</v>
      </c>
      <c r="H892" s="10">
        <f t="shared" si="56"/>
        <v>960000</v>
      </c>
    </row>
    <row r="893" spans="1:8" s="2" customFormat="1" ht="24" customHeight="1">
      <c r="A893" s="6">
        <v>892</v>
      </c>
      <c r="B893" s="4" t="str">
        <f>"1200000970"</f>
        <v>1200000970</v>
      </c>
      <c r="C893" s="5" t="str">
        <f>"آچار چکش خور 27ميليمتر"</f>
        <v>آچار چکش خور 27ميليمتر</v>
      </c>
      <c r="D893" s="4" t="str">
        <f>""</f>
        <v/>
      </c>
      <c r="E893" s="4" t="str">
        <f t="shared" si="60"/>
        <v>عدد</v>
      </c>
      <c r="F893" s="4">
        <v>2</v>
      </c>
      <c r="G893" s="10">
        <v>540000</v>
      </c>
      <c r="H893" s="10">
        <f t="shared" si="56"/>
        <v>1080000</v>
      </c>
    </row>
    <row r="894" spans="1:8" s="2" customFormat="1" ht="24" customHeight="1">
      <c r="A894" s="4">
        <v>893</v>
      </c>
      <c r="B894" s="4" t="str">
        <f>"1200000971"</f>
        <v>1200000971</v>
      </c>
      <c r="C894" s="5" t="str">
        <f>"آچار بکس اينچي 12 پر  3/8 اينچ"</f>
        <v>آچار بکس اينچي 12 پر  3/8 اينچ</v>
      </c>
      <c r="D894" s="4" t="str">
        <f>""</f>
        <v/>
      </c>
      <c r="E894" s="4" t="str">
        <f t="shared" si="60"/>
        <v>عدد</v>
      </c>
      <c r="F894" s="4">
        <v>1</v>
      </c>
      <c r="G894" s="10">
        <v>3800000</v>
      </c>
      <c r="H894" s="10">
        <f t="shared" si="56"/>
        <v>3800000</v>
      </c>
    </row>
    <row r="895" spans="1:8" s="2" customFormat="1" ht="24" customHeight="1">
      <c r="A895" s="4">
        <v>894</v>
      </c>
      <c r="B895" s="4" t="str">
        <f>"1200000972"</f>
        <v>1200000972</v>
      </c>
      <c r="C895" s="5" t="str">
        <f>"شابر"</f>
        <v>شابر</v>
      </c>
      <c r="D895" s="4" t="str">
        <f>""</f>
        <v/>
      </c>
      <c r="E895" s="4" t="str">
        <f t="shared" si="60"/>
        <v>عدد</v>
      </c>
      <c r="F895" s="4">
        <v>2</v>
      </c>
      <c r="G895" s="10">
        <v>750000</v>
      </c>
      <c r="H895" s="10">
        <f t="shared" si="56"/>
        <v>1500000</v>
      </c>
    </row>
    <row r="896" spans="1:8" s="2" customFormat="1" ht="24" customHeight="1">
      <c r="A896" s="4">
        <v>895</v>
      </c>
      <c r="B896" s="4" t="str">
        <f>"1200000973"</f>
        <v>1200000973</v>
      </c>
      <c r="C896" s="5" t="str">
        <f>"قيچي ورق بر"</f>
        <v>قيچي ورق بر</v>
      </c>
      <c r="D896" s="4" t="str">
        <f>""</f>
        <v/>
      </c>
      <c r="E896" s="4" t="str">
        <f t="shared" si="60"/>
        <v>عدد</v>
      </c>
      <c r="F896" s="4">
        <v>18</v>
      </c>
      <c r="G896" s="10">
        <v>500000</v>
      </c>
      <c r="H896" s="10">
        <f t="shared" si="56"/>
        <v>9000000</v>
      </c>
    </row>
    <row r="897" spans="1:8" s="2" customFormat="1" ht="24" customHeight="1">
      <c r="A897" s="6">
        <v>896</v>
      </c>
      <c r="B897" s="4" t="str">
        <f>"1200000974"</f>
        <v>1200000974</v>
      </c>
      <c r="C897" s="5" t="str">
        <f>"شگل 4 تن"</f>
        <v>شگل 4 تن</v>
      </c>
      <c r="D897" s="4" t="str">
        <f>""</f>
        <v/>
      </c>
      <c r="E897" s="4" t="str">
        <f t="shared" si="60"/>
        <v>عدد</v>
      </c>
      <c r="F897" s="4">
        <v>2</v>
      </c>
      <c r="G897" s="10">
        <v>360000</v>
      </c>
      <c r="H897" s="10">
        <f t="shared" si="56"/>
        <v>720000</v>
      </c>
    </row>
    <row r="898" spans="1:8" s="2" customFormat="1" ht="24" customHeight="1">
      <c r="A898" s="4">
        <v>897</v>
      </c>
      <c r="B898" s="4" t="str">
        <f>"1200000975"</f>
        <v>1200000975</v>
      </c>
      <c r="C898" s="5" t="str">
        <f>"شگل9/5 تن"</f>
        <v>شگل9/5 تن</v>
      </c>
      <c r="D898" s="4" t="str">
        <f>""</f>
        <v/>
      </c>
      <c r="E898" s="4" t="str">
        <f t="shared" si="60"/>
        <v>عدد</v>
      </c>
      <c r="F898" s="4">
        <v>2</v>
      </c>
      <c r="G898" s="10">
        <v>900000</v>
      </c>
      <c r="H898" s="10">
        <f t="shared" si="56"/>
        <v>1800000</v>
      </c>
    </row>
    <row r="899" spans="1:8" s="2" customFormat="1" ht="24" customHeight="1">
      <c r="A899" s="4">
        <v>898</v>
      </c>
      <c r="B899" s="4" t="str">
        <f>"1200000976"</f>
        <v>1200000976</v>
      </c>
      <c r="C899" s="5" t="str">
        <f>"پتک 10کيلويي"</f>
        <v>پتک 10کيلويي</v>
      </c>
      <c r="D899" s="4" t="str">
        <f>""</f>
        <v/>
      </c>
      <c r="E899" s="4" t="str">
        <f t="shared" si="60"/>
        <v>عدد</v>
      </c>
      <c r="F899" s="4">
        <v>2</v>
      </c>
      <c r="G899" s="10">
        <v>1800000</v>
      </c>
      <c r="H899" s="10">
        <f t="shared" si="56"/>
        <v>3600000</v>
      </c>
    </row>
    <row r="900" spans="1:8" s="2" customFormat="1" ht="24" customHeight="1">
      <c r="A900" s="4">
        <v>899</v>
      </c>
      <c r="B900" s="4" t="str">
        <f>"1200000977"</f>
        <v>1200000977</v>
      </c>
      <c r="C900" s="5" t="str">
        <f>"آچار آلن 3/5"</f>
        <v>آچار آلن 3/5</v>
      </c>
      <c r="D900" s="4" t="str">
        <f>""</f>
        <v/>
      </c>
      <c r="E900" s="4" t="str">
        <f t="shared" si="60"/>
        <v>عدد</v>
      </c>
      <c r="F900" s="4">
        <v>3</v>
      </c>
      <c r="G900" s="10">
        <v>30000</v>
      </c>
      <c r="H900" s="10">
        <f t="shared" si="56"/>
        <v>90000</v>
      </c>
    </row>
    <row r="901" spans="1:8" s="2" customFormat="1" ht="24" customHeight="1">
      <c r="A901" s="6">
        <v>900</v>
      </c>
      <c r="B901" s="4" t="str">
        <f>"1200000978"</f>
        <v>1200000978</v>
      </c>
      <c r="C901" s="5" t="str">
        <f>"قلم خط کشي فلزي"</f>
        <v>قلم خط کشي فلزي</v>
      </c>
      <c r="D901" s="4" t="str">
        <f>""</f>
        <v/>
      </c>
      <c r="E901" s="4" t="str">
        <f t="shared" si="60"/>
        <v>عدد</v>
      </c>
      <c r="F901" s="4">
        <v>5</v>
      </c>
      <c r="G901" s="10">
        <v>100000</v>
      </c>
      <c r="H901" s="10">
        <f t="shared" ref="H901:H959" si="61">F901*G901</f>
        <v>500000</v>
      </c>
    </row>
    <row r="902" spans="1:8" s="2" customFormat="1" ht="24" customHeight="1">
      <c r="A902" s="4">
        <v>901</v>
      </c>
      <c r="B902" s="4" t="str">
        <f>"1200000979"</f>
        <v>1200000979</v>
      </c>
      <c r="C902" s="5" t="str">
        <f>"آچار چاکنيت"</f>
        <v>آچار چاکنيت</v>
      </c>
      <c r="D902" s="4" t="str">
        <f>""</f>
        <v/>
      </c>
      <c r="E902" s="4" t="str">
        <f t="shared" si="60"/>
        <v>عدد</v>
      </c>
      <c r="F902" s="4">
        <v>4</v>
      </c>
      <c r="G902" s="10">
        <v>3000000</v>
      </c>
      <c r="H902" s="10">
        <f t="shared" si="61"/>
        <v>12000000</v>
      </c>
    </row>
    <row r="903" spans="1:8" s="2" customFormat="1" ht="24" customHeight="1">
      <c r="A903" s="4">
        <v>902</v>
      </c>
      <c r="B903" s="4" t="str">
        <f>"1200000980"</f>
        <v>1200000980</v>
      </c>
      <c r="C903" s="5" t="str">
        <f>"آچار چاکنيت كيفي"</f>
        <v>آچار چاکنيت كيفي</v>
      </c>
      <c r="D903" s="4" t="str">
        <f>""</f>
        <v/>
      </c>
      <c r="E903" s="4" t="str">
        <f t="shared" si="60"/>
        <v>عدد</v>
      </c>
      <c r="F903" s="4">
        <v>1</v>
      </c>
      <c r="G903" s="10">
        <v>4300000</v>
      </c>
      <c r="H903" s="10">
        <f t="shared" si="61"/>
        <v>4300000</v>
      </c>
    </row>
    <row r="904" spans="1:8" s="2" customFormat="1" ht="24" customHeight="1">
      <c r="A904" s="4">
        <v>903</v>
      </c>
      <c r="B904" s="4" t="str">
        <f>"1200000981"</f>
        <v>1200000981</v>
      </c>
      <c r="C904" s="5" t="str">
        <f>"سنبه پين نوك پهن"</f>
        <v>سنبه پين نوك پهن</v>
      </c>
      <c r="D904" s="4" t="str">
        <f>""</f>
        <v/>
      </c>
      <c r="E904" s="4" t="str">
        <f>"بسته"</f>
        <v>بسته</v>
      </c>
      <c r="F904" s="4">
        <v>3</v>
      </c>
      <c r="G904" s="10">
        <v>650000</v>
      </c>
      <c r="H904" s="10">
        <f t="shared" si="61"/>
        <v>1950000</v>
      </c>
    </row>
    <row r="905" spans="1:8" s="2" customFormat="1" ht="24" customHeight="1">
      <c r="A905" s="6">
        <v>904</v>
      </c>
      <c r="B905" s="4" t="str">
        <f>"1200000982"</f>
        <v>1200000982</v>
      </c>
      <c r="C905" s="5" t="str">
        <f>"پکينگ کش فنري"</f>
        <v>پکينگ کش فنري</v>
      </c>
      <c r="D905" s="4" t="str">
        <f>""</f>
        <v/>
      </c>
      <c r="E905" s="4" t="str">
        <f>"عدد"</f>
        <v>عدد</v>
      </c>
      <c r="F905" s="4">
        <v>1</v>
      </c>
      <c r="G905" s="10">
        <v>1500000</v>
      </c>
      <c r="H905" s="10">
        <f t="shared" si="61"/>
        <v>1500000</v>
      </c>
    </row>
    <row r="906" spans="1:8" s="2" customFormat="1" ht="24" customHeight="1">
      <c r="A906" s="4">
        <v>905</v>
      </c>
      <c r="B906" s="4" t="str">
        <f>"1200000984"</f>
        <v>1200000984</v>
      </c>
      <c r="C906" s="5" t="str">
        <f>"دستگاه سنگ سمباده دو طرفه"</f>
        <v>دستگاه سنگ سمباده دو طرفه</v>
      </c>
      <c r="D906" s="4" t="str">
        <f>"150*25*32"</f>
        <v>150*25*32</v>
      </c>
      <c r="E906" s="4" t="str">
        <f>"دستگاه"</f>
        <v>دستگاه</v>
      </c>
      <c r="F906" s="4">
        <v>3</v>
      </c>
      <c r="G906" s="10">
        <v>1950000</v>
      </c>
      <c r="H906" s="10">
        <f t="shared" si="61"/>
        <v>5850000</v>
      </c>
    </row>
    <row r="907" spans="1:8" s="2" customFormat="1" ht="24" customHeight="1">
      <c r="A907" s="4">
        <v>906</v>
      </c>
      <c r="B907" s="4" t="str">
        <f>"1200000985"</f>
        <v>1200000985</v>
      </c>
      <c r="C907" s="5" t="str">
        <f>"نوک پيچ گوشتي دوسو چهار سو"</f>
        <v>نوک پيچ گوشتي دوسو چهار سو</v>
      </c>
      <c r="D907" s="4" t="str">
        <f>""</f>
        <v/>
      </c>
      <c r="E907" s="4" t="str">
        <f>"عدد"</f>
        <v>عدد</v>
      </c>
      <c r="F907" s="4">
        <v>30</v>
      </c>
      <c r="G907" s="10">
        <v>25000</v>
      </c>
      <c r="H907" s="10">
        <f t="shared" si="61"/>
        <v>750000</v>
      </c>
    </row>
    <row r="908" spans="1:8" s="2" customFormat="1" ht="24" customHeight="1">
      <c r="A908" s="4">
        <v>907</v>
      </c>
      <c r="B908" s="4" t="str">
        <f>"1200000986"</f>
        <v>1200000986</v>
      </c>
      <c r="C908" s="5" t="str">
        <f>"فيلم رنگ تر(ضخامت سنج)"</f>
        <v>فيلم رنگ تر(ضخامت سنج)</v>
      </c>
      <c r="D908" s="4" t="str">
        <f>""</f>
        <v/>
      </c>
      <c r="E908" s="4" t="str">
        <f>"عدد"</f>
        <v>عدد</v>
      </c>
      <c r="F908" s="4">
        <v>1</v>
      </c>
      <c r="G908" s="10">
        <v>2500000</v>
      </c>
      <c r="H908" s="10">
        <f t="shared" si="61"/>
        <v>2500000</v>
      </c>
    </row>
    <row r="909" spans="1:8" s="2" customFormat="1" ht="24" customHeight="1">
      <c r="A909" s="6">
        <v>908</v>
      </c>
      <c r="B909" s="4" t="str">
        <f>"1200000987"</f>
        <v>1200000987</v>
      </c>
      <c r="C909" s="5" t="str">
        <f>"پولي کش 8تن"</f>
        <v>پولي کش 8تن</v>
      </c>
      <c r="D909" s="4" t="str">
        <f>""</f>
        <v/>
      </c>
      <c r="E909" s="4" t="str">
        <f>"عدد"</f>
        <v>عدد</v>
      </c>
      <c r="F909" s="4">
        <v>2</v>
      </c>
      <c r="G909" s="10">
        <v>22000000</v>
      </c>
      <c r="H909" s="10">
        <f t="shared" si="61"/>
        <v>44000000</v>
      </c>
    </row>
    <row r="910" spans="1:8" s="2" customFormat="1" ht="24" customHeight="1">
      <c r="A910" s="4">
        <v>909</v>
      </c>
      <c r="B910" s="4" t="str">
        <f>"1200000988"</f>
        <v>1200000988</v>
      </c>
      <c r="C910" s="5" t="str">
        <f>"پولي کش 20تن"</f>
        <v>پولي کش 20تن</v>
      </c>
      <c r="D910" s="4" t="str">
        <f>""</f>
        <v/>
      </c>
      <c r="E910" s="4" t="str">
        <f>"عدد"</f>
        <v>عدد</v>
      </c>
      <c r="F910" s="4">
        <v>2</v>
      </c>
      <c r="G910" s="10">
        <v>32000000</v>
      </c>
      <c r="H910" s="10">
        <f t="shared" si="61"/>
        <v>64000000</v>
      </c>
    </row>
    <row r="911" spans="1:8" s="2" customFormat="1" ht="24" customHeight="1">
      <c r="A911" s="4">
        <v>910</v>
      </c>
      <c r="B911" s="4" t="str">
        <f>"1200000989"</f>
        <v>1200000989</v>
      </c>
      <c r="C911" s="5" t="str">
        <f>"پولي کش 50تن"</f>
        <v>پولي کش 50تن</v>
      </c>
      <c r="D911" s="4" t="str">
        <f>""</f>
        <v/>
      </c>
      <c r="E911" s="4" t="str">
        <f>"عدد"</f>
        <v>عدد</v>
      </c>
      <c r="F911" s="4">
        <v>2</v>
      </c>
      <c r="G911" s="10">
        <v>40000000</v>
      </c>
      <c r="H911" s="10">
        <f t="shared" si="61"/>
        <v>80000000</v>
      </c>
    </row>
    <row r="912" spans="1:8" s="2" customFormat="1" ht="24" customHeight="1">
      <c r="A912" s="4">
        <v>911</v>
      </c>
      <c r="B912" s="4" t="str">
        <f>"1200000990"</f>
        <v>1200000990</v>
      </c>
      <c r="C912" s="5" t="str">
        <f>"ترازو ديجيتال 3تني"</f>
        <v>ترازو ديجيتال 3تني</v>
      </c>
      <c r="D912" s="4" t="str">
        <f>"LCB"</f>
        <v>LCB</v>
      </c>
      <c r="E912" s="4" t="str">
        <f>"دستگاه"</f>
        <v>دستگاه</v>
      </c>
      <c r="F912" s="4">
        <v>1</v>
      </c>
      <c r="G912" s="10">
        <v>45000000</v>
      </c>
      <c r="H912" s="10">
        <f t="shared" si="61"/>
        <v>45000000</v>
      </c>
    </row>
    <row r="913" spans="1:8" s="2" customFormat="1" ht="24" customHeight="1">
      <c r="A913" s="6">
        <v>912</v>
      </c>
      <c r="B913" s="4" t="str">
        <f>"1200000991"</f>
        <v>1200000991</v>
      </c>
      <c r="C913" s="5" t="str">
        <f>"گوه هيدروليکي"</f>
        <v>گوه هيدروليکي</v>
      </c>
      <c r="D913" s="4" t="str">
        <f>"700BAR------10000PSI"</f>
        <v>700BAR------10000PSI</v>
      </c>
      <c r="E913" s="4" t="str">
        <f>"دستگاه"</f>
        <v>دستگاه</v>
      </c>
      <c r="F913" s="4">
        <v>1</v>
      </c>
      <c r="G913" s="10">
        <v>65000000</v>
      </c>
      <c r="H913" s="10">
        <f t="shared" si="61"/>
        <v>65000000</v>
      </c>
    </row>
    <row r="914" spans="1:8" s="2" customFormat="1" ht="24" customHeight="1">
      <c r="A914" s="4">
        <v>913</v>
      </c>
      <c r="B914" s="4" t="str">
        <f>"1200000992"</f>
        <v>1200000992</v>
      </c>
      <c r="C914" s="5" t="str">
        <f>"مانومتر ازت"</f>
        <v>مانومتر ازت</v>
      </c>
      <c r="D914" s="4" t="str">
        <f>"0-200     230"</f>
        <v>0-200     230</v>
      </c>
      <c r="E914" s="4" t="str">
        <f>"عدد"</f>
        <v>عدد</v>
      </c>
      <c r="F914" s="4">
        <v>2</v>
      </c>
      <c r="G914" s="10">
        <v>2500000</v>
      </c>
      <c r="H914" s="10">
        <f t="shared" si="61"/>
        <v>5000000</v>
      </c>
    </row>
    <row r="915" spans="1:8" s="2" customFormat="1" ht="24" customHeight="1">
      <c r="A915" s="4">
        <v>914</v>
      </c>
      <c r="B915" s="4" t="str">
        <f>"1200000993"</f>
        <v>1200000993</v>
      </c>
      <c r="C915" s="5" t="str">
        <f>"سيم سيار 5متري 4خانه"</f>
        <v>سيم سيار 5متري 4خانه</v>
      </c>
      <c r="D915" s="4" t="str">
        <f>""</f>
        <v/>
      </c>
      <c r="E915" s="4" t="str">
        <f>"عدد"</f>
        <v>عدد</v>
      </c>
      <c r="F915" s="4">
        <v>5</v>
      </c>
      <c r="G915" s="10">
        <v>450000</v>
      </c>
      <c r="H915" s="10">
        <f t="shared" si="61"/>
        <v>2250000</v>
      </c>
    </row>
    <row r="916" spans="1:8" s="2" customFormat="1" ht="24" customHeight="1">
      <c r="A916" s="4">
        <v>915</v>
      </c>
      <c r="B916" s="4" t="str">
        <f>"1200000994"</f>
        <v>1200000994</v>
      </c>
      <c r="C916" s="5" t="str">
        <f>"سيم سيار 5متري6خانه"</f>
        <v>سيم سيار 5متري6خانه</v>
      </c>
      <c r="D916" s="4" t="str">
        <f>""</f>
        <v/>
      </c>
      <c r="E916" s="4" t="str">
        <f>"عدد"</f>
        <v>عدد</v>
      </c>
      <c r="F916" s="4">
        <v>3</v>
      </c>
      <c r="G916" s="10">
        <v>550000</v>
      </c>
      <c r="H916" s="10">
        <f t="shared" si="61"/>
        <v>1650000</v>
      </c>
    </row>
    <row r="917" spans="1:8" s="2" customFormat="1" ht="24" customHeight="1">
      <c r="A917" s="6">
        <v>916</v>
      </c>
      <c r="B917" s="4" t="str">
        <f>"1200000996"</f>
        <v>1200000996</v>
      </c>
      <c r="C917" s="5" t="str">
        <f>"تركمتر 10-60"</f>
        <v>تركمتر 10-60</v>
      </c>
      <c r="D917" s="4" t="str">
        <f>""</f>
        <v/>
      </c>
      <c r="E917" s="4" t="str">
        <f t="shared" ref="E917:E926" si="62">"عدد"</f>
        <v>عدد</v>
      </c>
      <c r="F917" s="4">
        <v>2</v>
      </c>
      <c r="G917" s="10">
        <v>7500000</v>
      </c>
      <c r="H917" s="10">
        <f t="shared" si="61"/>
        <v>15000000</v>
      </c>
    </row>
    <row r="918" spans="1:8" s="2" customFormat="1" ht="24" customHeight="1">
      <c r="A918" s="4">
        <v>917</v>
      </c>
      <c r="B918" s="4" t="str">
        <f>"1200000998"</f>
        <v>1200000998</v>
      </c>
      <c r="C918" s="5" t="str">
        <f>"آي بلت M8"</f>
        <v>آي بلت M8</v>
      </c>
      <c r="D918" s="4" t="str">
        <f>""</f>
        <v/>
      </c>
      <c r="E918" s="4" t="str">
        <f t="shared" si="62"/>
        <v>عدد</v>
      </c>
      <c r="F918" s="4">
        <v>15</v>
      </c>
      <c r="G918" s="10">
        <v>50000</v>
      </c>
      <c r="H918" s="10">
        <f t="shared" si="61"/>
        <v>750000</v>
      </c>
    </row>
    <row r="919" spans="1:8" s="2" customFormat="1" ht="24" customHeight="1">
      <c r="A919" s="4">
        <v>918</v>
      </c>
      <c r="B919" s="4" t="str">
        <f>"1200000999"</f>
        <v>1200000999</v>
      </c>
      <c r="C919" s="5" t="str">
        <f>"ترکمتر درايو3/4 اينچ-800-160"</f>
        <v>ترکمتر درايو3/4 اينچ-800-160</v>
      </c>
      <c r="D919" s="4" t="str">
        <f>""</f>
        <v/>
      </c>
      <c r="E919" s="4" t="str">
        <f t="shared" si="62"/>
        <v>عدد</v>
      </c>
      <c r="F919" s="4">
        <v>4</v>
      </c>
      <c r="G919" s="10">
        <v>35000000</v>
      </c>
      <c r="H919" s="10">
        <f t="shared" si="61"/>
        <v>140000000</v>
      </c>
    </row>
    <row r="920" spans="1:8" s="2" customFormat="1" ht="24" customHeight="1">
      <c r="A920" s="4">
        <v>919</v>
      </c>
      <c r="B920" s="4" t="str">
        <f>"1200001000"</f>
        <v>1200001000</v>
      </c>
      <c r="C920" s="5" t="str">
        <f>"ترکمتر درايو 1اينچ-2000-400"</f>
        <v>ترکمتر درايو 1اينچ-2000-400</v>
      </c>
      <c r="D920" s="4" t="str">
        <f>"درايو 1اينچ"</f>
        <v>درايو 1اينچ</v>
      </c>
      <c r="E920" s="4" t="str">
        <f t="shared" si="62"/>
        <v>عدد</v>
      </c>
      <c r="F920" s="4">
        <v>4</v>
      </c>
      <c r="G920" s="10">
        <v>62000000</v>
      </c>
      <c r="H920" s="10">
        <f t="shared" si="61"/>
        <v>248000000</v>
      </c>
    </row>
    <row r="921" spans="1:8" s="2" customFormat="1" ht="24" customHeight="1">
      <c r="A921" s="6">
        <v>920</v>
      </c>
      <c r="B921" s="4" t="str">
        <f>"1200001001"</f>
        <v>1200001001</v>
      </c>
      <c r="C921" s="5" t="str">
        <f>"پولي كش 30تن"</f>
        <v>پولي كش 30تن</v>
      </c>
      <c r="D921" s="4" t="str">
        <f>""</f>
        <v/>
      </c>
      <c r="E921" s="4" t="str">
        <f t="shared" si="62"/>
        <v>عدد</v>
      </c>
      <c r="F921" s="4">
        <v>2</v>
      </c>
      <c r="G921" s="10">
        <v>81000000</v>
      </c>
      <c r="H921" s="10">
        <f t="shared" si="61"/>
        <v>162000000</v>
      </c>
    </row>
    <row r="922" spans="1:8" s="2" customFormat="1" ht="24" customHeight="1">
      <c r="A922" s="4">
        <v>921</v>
      </c>
      <c r="B922" s="4" t="str">
        <f>"1200001002"</f>
        <v>1200001002</v>
      </c>
      <c r="C922" s="5" t="str">
        <f>"دسته حديده 46mm-متوسط"</f>
        <v>دسته حديده 46mm-متوسط</v>
      </c>
      <c r="D922" s="4" t="str">
        <f>"m46"</f>
        <v>m46</v>
      </c>
      <c r="E922" s="4" t="str">
        <f t="shared" si="62"/>
        <v>عدد</v>
      </c>
      <c r="F922" s="4">
        <v>1</v>
      </c>
      <c r="G922" s="10">
        <v>3500000</v>
      </c>
      <c r="H922" s="10">
        <f t="shared" si="61"/>
        <v>3500000</v>
      </c>
    </row>
    <row r="923" spans="1:8" s="2" customFormat="1" ht="24" customHeight="1">
      <c r="A923" s="4">
        <v>922</v>
      </c>
      <c r="B923" s="4" t="str">
        <f>"1200001003"</f>
        <v>1200001003</v>
      </c>
      <c r="C923" s="5" t="str">
        <f>"دسته حديده 36MM-کوچک"</f>
        <v>دسته حديده 36MM-کوچک</v>
      </c>
      <c r="D923" s="4" t="str">
        <f>"36MM"</f>
        <v>36MM</v>
      </c>
      <c r="E923" s="4" t="str">
        <f t="shared" si="62"/>
        <v>عدد</v>
      </c>
      <c r="F923" s="4">
        <v>1</v>
      </c>
      <c r="G923" s="10">
        <v>3000000</v>
      </c>
      <c r="H923" s="10">
        <f t="shared" si="61"/>
        <v>3000000</v>
      </c>
    </row>
    <row r="924" spans="1:8" s="2" customFormat="1" ht="24" customHeight="1">
      <c r="A924" s="4">
        <v>923</v>
      </c>
      <c r="B924" s="4" t="str">
        <f>"1200001006"</f>
        <v>1200001006</v>
      </c>
      <c r="C924" s="5" t="str">
        <f>"دسته حديده 60MM-بزرگ"</f>
        <v>دسته حديده 60MM-بزرگ</v>
      </c>
      <c r="D924" s="4" t="str">
        <f>"M60"</f>
        <v>M60</v>
      </c>
      <c r="E924" s="4" t="str">
        <f t="shared" si="62"/>
        <v>عدد</v>
      </c>
      <c r="F924" s="4">
        <v>1</v>
      </c>
      <c r="G924" s="10">
        <v>4000000</v>
      </c>
      <c r="H924" s="10">
        <f t="shared" si="61"/>
        <v>4000000</v>
      </c>
    </row>
    <row r="925" spans="1:8" s="2" customFormat="1" ht="24" customHeight="1">
      <c r="A925" s="6">
        <v>924</v>
      </c>
      <c r="B925" s="4" t="str">
        <f>"1200001009"</f>
        <v>1200001009</v>
      </c>
      <c r="C925" s="5" t="str">
        <f>"دسته قلاويز M36-کوچک"</f>
        <v>دسته قلاويز M36-کوچک</v>
      </c>
      <c r="D925" s="4" t="str">
        <f>""</f>
        <v/>
      </c>
      <c r="E925" s="4" t="str">
        <f t="shared" si="62"/>
        <v>عدد</v>
      </c>
      <c r="F925" s="4">
        <v>1</v>
      </c>
      <c r="G925" s="10">
        <v>5000000</v>
      </c>
      <c r="H925" s="10">
        <f t="shared" si="61"/>
        <v>5000000</v>
      </c>
    </row>
    <row r="926" spans="1:8" s="2" customFormat="1" ht="24" customHeight="1">
      <c r="A926" s="4">
        <v>925</v>
      </c>
      <c r="B926" s="4" t="str">
        <f>"1200001013"</f>
        <v>1200001013</v>
      </c>
      <c r="C926" s="5" t="str">
        <f>"دسته قلاويز M60-بزرگ"</f>
        <v>دسته قلاويز M60-بزرگ</v>
      </c>
      <c r="D926" s="4" t="str">
        <f>""</f>
        <v/>
      </c>
      <c r="E926" s="4" t="str">
        <f t="shared" si="62"/>
        <v>عدد</v>
      </c>
      <c r="F926" s="4">
        <v>1</v>
      </c>
      <c r="G926" s="10">
        <v>7000000</v>
      </c>
      <c r="H926" s="10">
        <f t="shared" si="61"/>
        <v>7000000</v>
      </c>
    </row>
    <row r="927" spans="1:8" s="2" customFormat="1" ht="24" customHeight="1">
      <c r="A927" s="4">
        <v>926</v>
      </c>
      <c r="B927" s="4" t="str">
        <f>"1200001022"</f>
        <v>1200001022</v>
      </c>
      <c r="C927" s="5" t="str">
        <f>"جک سوسماري LW16با متعلقات"</f>
        <v>جک سوسماري LW16با متعلقات</v>
      </c>
      <c r="D927" s="4" t="str">
        <f>"شامل پمپ- گايدها- جک سوسماري-شيلنک وپيچ ها"</f>
        <v>شامل پمپ- گايدها- جک سوسماري-شيلنک وپيچ ها</v>
      </c>
      <c r="E927" s="4" t="str">
        <f>"دستگاه"</f>
        <v>دستگاه</v>
      </c>
      <c r="F927" s="4">
        <v>1</v>
      </c>
      <c r="G927" s="10">
        <v>65000000</v>
      </c>
      <c r="H927" s="10">
        <f t="shared" si="61"/>
        <v>65000000</v>
      </c>
    </row>
    <row r="928" spans="1:8" s="2" customFormat="1" ht="24" customHeight="1">
      <c r="A928" s="4">
        <v>927</v>
      </c>
      <c r="B928" s="4" t="str">
        <f>"1200001025"</f>
        <v>1200001025</v>
      </c>
      <c r="C928" s="5" t="str">
        <f>"ميني سنگ شارژي-ماکيتا-همراه با شارژر"</f>
        <v>ميني سنگ شارژي-ماکيتا-همراه با شارژر</v>
      </c>
      <c r="D928" s="4" t="str">
        <f>"0361313-0361315سريال"</f>
        <v>0361313-0361315سريال</v>
      </c>
      <c r="E928" s="4" t="str">
        <f>"دستگاه"</f>
        <v>دستگاه</v>
      </c>
      <c r="F928" s="4">
        <v>1</v>
      </c>
      <c r="G928" s="10">
        <v>11000000</v>
      </c>
      <c r="H928" s="10">
        <f t="shared" si="61"/>
        <v>11000000</v>
      </c>
    </row>
    <row r="929" spans="1:8" s="2" customFormat="1" ht="24" customHeight="1">
      <c r="A929" s="6">
        <v>928</v>
      </c>
      <c r="B929" s="4" t="str">
        <f>"1200001027"</f>
        <v>1200001027</v>
      </c>
      <c r="C929" s="5" t="str">
        <f>"گرمكن القايي چرخ دار"</f>
        <v>گرمكن القايي چرخ دار</v>
      </c>
      <c r="D929" s="4" t="str">
        <f>"400VAC--32A - 50/60HZ"</f>
        <v>400VAC--32A - 50/60HZ</v>
      </c>
      <c r="E929" s="4" t="str">
        <f>"دستگاه"</f>
        <v>دستگاه</v>
      </c>
      <c r="F929" s="4">
        <v>1</v>
      </c>
      <c r="G929" s="10">
        <v>440000000</v>
      </c>
      <c r="H929" s="10">
        <f t="shared" si="61"/>
        <v>440000000</v>
      </c>
    </row>
    <row r="930" spans="1:8" s="2" customFormat="1" ht="24" customHeight="1">
      <c r="A930" s="4">
        <v>929</v>
      </c>
      <c r="B930" s="4" t="str">
        <f>"1200001028"</f>
        <v>1200001028</v>
      </c>
      <c r="C930" s="5" t="str">
        <f>"سنگ دو طرفه150"</f>
        <v>سنگ دو طرفه150</v>
      </c>
      <c r="D930" s="4" t="str">
        <f>""</f>
        <v/>
      </c>
      <c r="E930" s="4" t="str">
        <f>"دستگاه"</f>
        <v>دستگاه</v>
      </c>
      <c r="F930" s="4">
        <v>3</v>
      </c>
      <c r="G930" s="10">
        <v>1900000</v>
      </c>
      <c r="H930" s="10">
        <f t="shared" si="61"/>
        <v>5700000</v>
      </c>
    </row>
    <row r="931" spans="1:8" s="2" customFormat="1" ht="24" customHeight="1">
      <c r="A931" s="4">
        <v>930</v>
      </c>
      <c r="B931" s="4" t="str">
        <f>"1200001029"</f>
        <v>1200001029</v>
      </c>
      <c r="C931" s="5" t="str">
        <f>"گيج اندازه گيري KGF/CM2ء1500-0"</f>
        <v>گيج اندازه گيري KGF/CM2ء1500-0</v>
      </c>
      <c r="D931" s="4" t="str">
        <f>"0-1500KGF/CM2"</f>
        <v>0-1500KGF/CM2</v>
      </c>
      <c r="E931" s="4" t="str">
        <f>"عدد"</f>
        <v>عدد</v>
      </c>
      <c r="F931" s="4">
        <v>1</v>
      </c>
      <c r="G931" s="10">
        <v>3500000</v>
      </c>
      <c r="H931" s="10">
        <f t="shared" si="61"/>
        <v>3500000</v>
      </c>
    </row>
    <row r="932" spans="1:8" s="2" customFormat="1" ht="24" customHeight="1">
      <c r="A932" s="4">
        <v>931</v>
      </c>
      <c r="B932" s="4" t="str">
        <f>"1200001031"</f>
        <v>1200001031</v>
      </c>
      <c r="C932" s="5" t="str">
        <f>"پمپ هيدروليک mp110-با دسته ومتعلقات"</f>
        <v>پمپ هيدروليک mp110-با دسته ومتعلقات</v>
      </c>
      <c r="D932" s="4" t="str">
        <f>"شامل شيلنگ وگيج"</f>
        <v>شامل شيلنگ وگيج</v>
      </c>
      <c r="E932" s="4" t="str">
        <f>"دستگاه"</f>
        <v>دستگاه</v>
      </c>
      <c r="F932" s="4">
        <v>1</v>
      </c>
      <c r="G932" s="10">
        <v>68300000</v>
      </c>
      <c r="H932" s="10">
        <f t="shared" si="61"/>
        <v>68300000</v>
      </c>
    </row>
    <row r="933" spans="1:8" s="2" customFormat="1" ht="24" customHeight="1">
      <c r="A933" s="6">
        <v>932</v>
      </c>
      <c r="B933" s="4" t="str">
        <f>"1200001032"</f>
        <v>1200001032</v>
      </c>
      <c r="C933" s="5" t="str">
        <f>"پمپ هيدروليکmpu"</f>
        <v>پمپ هيدروليکmpu</v>
      </c>
      <c r="D933" s="4" t="str">
        <f>""</f>
        <v/>
      </c>
      <c r="E933" s="4" t="str">
        <f>"دستگاه"</f>
        <v>دستگاه</v>
      </c>
      <c r="F933" s="4">
        <v>1</v>
      </c>
      <c r="G933" s="10">
        <v>287000000</v>
      </c>
      <c r="H933" s="10">
        <f t="shared" si="61"/>
        <v>287000000</v>
      </c>
    </row>
    <row r="934" spans="1:8" s="2" customFormat="1" ht="24" customHeight="1">
      <c r="A934" s="4">
        <v>933</v>
      </c>
      <c r="B934" s="4" t="str">
        <f>"1200001033"</f>
        <v>1200001033</v>
      </c>
      <c r="C934" s="5" t="str">
        <f>"درايو آچار S3000X-ترکرنچ هيدروليک(14مخصوص پمپ MPU)"</f>
        <v>درايو آچار S3000X-ترکرنچ هيدروليک(14مخصوص پمپ MPU)</v>
      </c>
      <c r="D934" s="4" t="str">
        <f>""</f>
        <v/>
      </c>
      <c r="E934" s="4" t="str">
        <f>"عدد"</f>
        <v>عدد</v>
      </c>
      <c r="F934" s="4">
        <v>1</v>
      </c>
      <c r="G934" s="10">
        <v>215000000</v>
      </c>
      <c r="H934" s="10">
        <f t="shared" si="61"/>
        <v>215000000</v>
      </c>
    </row>
    <row r="935" spans="1:8" s="2" customFormat="1" ht="24" customHeight="1">
      <c r="A935" s="4">
        <v>934</v>
      </c>
      <c r="B935" s="4" t="str">
        <f>"1200001034"</f>
        <v>1200001034</v>
      </c>
      <c r="C935" s="5" t="str">
        <f>"کاست W2107X(مخصوص پمپ MPU15)"</f>
        <v>کاست W2107X(مخصوص پمپ MPU15)</v>
      </c>
      <c r="D935" s="4" t="str">
        <f>""</f>
        <v/>
      </c>
      <c r="E935" s="4" t="str">
        <f>"عدد"</f>
        <v>عدد</v>
      </c>
      <c r="F935" s="4">
        <v>1</v>
      </c>
      <c r="G935" s="10">
        <v>89500000</v>
      </c>
      <c r="H935" s="10">
        <f t="shared" si="61"/>
        <v>89500000</v>
      </c>
    </row>
    <row r="936" spans="1:8" s="2" customFormat="1" ht="24" customHeight="1">
      <c r="A936" s="4">
        <v>935</v>
      </c>
      <c r="B936" s="4" t="str">
        <f>"1200001035"</f>
        <v>1200001035</v>
      </c>
      <c r="C936" s="5" t="str">
        <f>"شيلنگ THQ706T(مخصوص پمپ MPU16)"</f>
        <v>شيلنگ THQ706T(مخصوص پمپ MPU16)</v>
      </c>
      <c r="D936" s="4" t="str">
        <f>""</f>
        <v/>
      </c>
      <c r="E936" s="4" t="str">
        <f>"حلقه"</f>
        <v>حلقه</v>
      </c>
      <c r="F936" s="4">
        <v>1</v>
      </c>
      <c r="G936" s="10">
        <v>900000</v>
      </c>
      <c r="H936" s="10">
        <f t="shared" si="61"/>
        <v>900000</v>
      </c>
    </row>
    <row r="937" spans="1:8" s="2" customFormat="1" ht="24" customHeight="1">
      <c r="A937" s="6">
        <v>936</v>
      </c>
      <c r="B937" s="4" t="str">
        <f>"1200001036"</f>
        <v>1200001036</v>
      </c>
      <c r="C937" s="5" t="str">
        <f>"ست آچار بکس فشار قوي درايو 1اينچ-6گوش 85-80-75-70(مخصوص MPU"</f>
        <v>ست آچار بکس فشار قوي درايو 1اينچ-6گوش 85-80-75-70(مخصوص MPU</v>
      </c>
      <c r="D937" s="4" t="str">
        <f>" MPUمخصوص پمپ"</f>
        <v xml:space="preserve"> MPUمخصوص پمپ</v>
      </c>
      <c r="E937" s="4" t="str">
        <f>"عدد"</f>
        <v>عدد</v>
      </c>
      <c r="F937" s="4">
        <v>4</v>
      </c>
      <c r="G937" s="10">
        <v>900000</v>
      </c>
      <c r="H937" s="10">
        <f t="shared" si="61"/>
        <v>3600000</v>
      </c>
    </row>
    <row r="938" spans="1:8" s="2" customFormat="1" ht="24" customHeight="1">
      <c r="A938" s="4">
        <v>937</v>
      </c>
      <c r="B938" s="4" t="str">
        <f>"1200001037"</f>
        <v>1200001037</v>
      </c>
      <c r="C938" s="5" t="str">
        <f>"ست آچار بکس فشار قوي درايو 1اينچ-6گوش65-55-50-36(مخصوصMMMMMM"</f>
        <v>ست آچار بکس فشار قوي درايو 1اينچ-6گوش65-55-50-36(مخصوصMMMMMM</v>
      </c>
      <c r="D938" s="4" t="str">
        <f>""</f>
        <v/>
      </c>
      <c r="E938" s="4" t="str">
        <f>"عدد"</f>
        <v>عدد</v>
      </c>
      <c r="F938" s="4">
        <v>4</v>
      </c>
      <c r="G938" s="10">
        <v>18540000</v>
      </c>
      <c r="H938" s="10">
        <f t="shared" si="61"/>
        <v>74160000</v>
      </c>
    </row>
    <row r="939" spans="1:8" s="2" customFormat="1" ht="24" customHeight="1">
      <c r="A939" s="4">
        <v>938</v>
      </c>
      <c r="B939" s="4" t="str">
        <f>"1200001038"</f>
        <v>1200001038</v>
      </c>
      <c r="C939" s="5" t="str">
        <f>"درايو هيدروليکW2000X(مخصوص پمپ MPU19)"</f>
        <v>درايو هيدروليکW2000X(مخصوص پمپ MPU19)</v>
      </c>
      <c r="D939" s="4" t="str">
        <f>""</f>
        <v/>
      </c>
      <c r="E939" s="4" t="str">
        <f>"عدد"</f>
        <v>عدد</v>
      </c>
      <c r="F939" s="4">
        <v>1</v>
      </c>
      <c r="G939" s="10">
        <v>14000000</v>
      </c>
      <c r="H939" s="10">
        <f t="shared" si="61"/>
        <v>14000000</v>
      </c>
    </row>
    <row r="940" spans="1:8" s="2" customFormat="1" ht="24" customHeight="1">
      <c r="A940" s="4">
        <v>939</v>
      </c>
      <c r="B940" s="4" t="str">
        <f>"1200001039"</f>
        <v>1200001039</v>
      </c>
      <c r="C940" s="5" t="str">
        <f>"اتصال گردان اينر پگTSP-300(مخصوص پمپ MPU20)"</f>
        <v>اتصال گردان اينر پگTSP-300(مخصوص پمپ MPU20)</v>
      </c>
      <c r="D940" s="4" t="str">
        <f>""</f>
        <v/>
      </c>
      <c r="E940" s="4" t="str">
        <f>"عدد"</f>
        <v>عدد</v>
      </c>
      <c r="F940" s="4">
        <v>1</v>
      </c>
      <c r="G940" s="10">
        <v>137000000</v>
      </c>
      <c r="H940" s="10">
        <f t="shared" si="61"/>
        <v>137000000</v>
      </c>
    </row>
    <row r="941" spans="1:8" s="2" customFormat="1" ht="24" customHeight="1">
      <c r="A941" s="6">
        <v>940</v>
      </c>
      <c r="B941" s="4" t="str">
        <f>"1200001040"</f>
        <v>1200001040</v>
      </c>
      <c r="C941" s="5" t="str">
        <f>"شيلنگ مخصوص پمپ 21-HT151HR-MPU"</f>
        <v>شيلنگ مخصوص پمپ 21-HT151HR-MPU</v>
      </c>
      <c r="D941" s="4" t="str">
        <f>""</f>
        <v/>
      </c>
      <c r="E941" s="4" t="str">
        <f>"حلقه"</f>
        <v>حلقه</v>
      </c>
      <c r="F941" s="4">
        <v>2</v>
      </c>
      <c r="G941" s="10">
        <v>32000000</v>
      </c>
      <c r="H941" s="10">
        <f t="shared" si="61"/>
        <v>64000000</v>
      </c>
    </row>
    <row r="942" spans="1:8" s="2" customFormat="1" ht="24" customHeight="1">
      <c r="A942" s="4">
        <v>941</v>
      </c>
      <c r="B942" s="4" t="str">
        <f>"1200001041"</f>
        <v>1200001041</v>
      </c>
      <c r="C942" s="5" t="str">
        <f>"لودسل بولت تنشنرgT4LCB(مخصوص پمپ MPU22)"</f>
        <v>لودسل بولت تنشنرgT4LCB(مخصوص پمپ MPU22)</v>
      </c>
      <c r="D942" s="4" t="str">
        <f>""</f>
        <v/>
      </c>
      <c r="E942" s="4" t="str">
        <f>"عدد"</f>
        <v>عدد</v>
      </c>
      <c r="F942" s="4">
        <v>4</v>
      </c>
      <c r="G942" s="10">
        <v>69750000</v>
      </c>
      <c r="H942" s="10">
        <f t="shared" si="61"/>
        <v>279000000</v>
      </c>
    </row>
    <row r="943" spans="1:8" s="2" customFormat="1" ht="24" customHeight="1">
      <c r="A943" s="4">
        <v>942</v>
      </c>
      <c r="B943" s="4" t="str">
        <f>"1200001042"</f>
        <v>1200001042</v>
      </c>
      <c r="C943" s="5" t="str">
        <f>"لودسل بولت تنشنر gT3LCB-(مخصوص پمپ MPU22)"</f>
        <v>لودسل بولت تنشنر gT3LCB-(مخصوص پمپ MPU22)</v>
      </c>
      <c r="D943" s="4" t="str">
        <f>""</f>
        <v/>
      </c>
      <c r="E943" s="4" t="str">
        <f>"عدد"</f>
        <v>عدد</v>
      </c>
      <c r="F943" s="4">
        <v>1</v>
      </c>
      <c r="G943" s="10">
        <v>57800000</v>
      </c>
      <c r="H943" s="10">
        <f t="shared" si="61"/>
        <v>57800000</v>
      </c>
    </row>
    <row r="944" spans="1:8" s="2" customFormat="1" ht="24" customHeight="1">
      <c r="A944" s="4">
        <v>943</v>
      </c>
      <c r="B944" s="4" t="str">
        <f>"1200001043"</f>
        <v>1200001043</v>
      </c>
      <c r="C944" s="5" t="str">
        <f>"شيلنگ مخصوص پمپ 15bar-HT1503HR-MPU24"</f>
        <v>شيلنگ مخصوص پمپ 15bar-HT1503HR-MPU24</v>
      </c>
      <c r="D944" s="4" t="str">
        <f>""</f>
        <v/>
      </c>
      <c r="E944" s="4" t="str">
        <f>"حلقه"</f>
        <v>حلقه</v>
      </c>
      <c r="F944" s="4">
        <v>4</v>
      </c>
      <c r="G944" s="10">
        <v>23000000</v>
      </c>
      <c r="H944" s="10">
        <f t="shared" si="61"/>
        <v>92000000</v>
      </c>
    </row>
    <row r="945" spans="1:8" s="2" customFormat="1" ht="24" customHeight="1">
      <c r="A945" s="6">
        <v>944</v>
      </c>
      <c r="B945" s="4" t="str">
        <f>"1200001044"</f>
        <v>1200001044</v>
      </c>
      <c r="C945" s="5" t="str">
        <f>"تبديل (رابط بکس )نري-مادگي1/2 -3/4"</f>
        <v>تبديل (رابط بکس )نري-مادگي1/2 -3/4</v>
      </c>
      <c r="D945" s="4" t="str">
        <f>""</f>
        <v/>
      </c>
      <c r="E945" s="4" t="str">
        <f>"عدد"</f>
        <v>عدد</v>
      </c>
      <c r="F945" s="4">
        <v>3</v>
      </c>
      <c r="G945" s="10">
        <v>100000</v>
      </c>
      <c r="H945" s="10">
        <f t="shared" si="61"/>
        <v>300000</v>
      </c>
    </row>
    <row r="946" spans="1:8" s="2" customFormat="1" ht="24" customHeight="1">
      <c r="A946" s="4">
        <v>945</v>
      </c>
      <c r="B946" s="4" t="str">
        <f>"1200001045"</f>
        <v>1200001045</v>
      </c>
      <c r="C946" s="5" t="str">
        <f>"آچار چکش خور تخت 32ميليمتر"</f>
        <v>آچار چکش خور تخت 32ميليمتر</v>
      </c>
      <c r="D946" s="4" t="str">
        <f>""</f>
        <v/>
      </c>
      <c r="E946" s="4" t="str">
        <f>"عدد"</f>
        <v>عدد</v>
      </c>
      <c r="F946" s="4">
        <v>2</v>
      </c>
      <c r="G946" s="10">
        <v>700000</v>
      </c>
      <c r="H946" s="10">
        <f t="shared" si="61"/>
        <v>1400000</v>
      </c>
    </row>
    <row r="947" spans="1:8" s="2" customFormat="1" ht="24" customHeight="1">
      <c r="A947" s="4">
        <v>946</v>
      </c>
      <c r="B947" s="4" t="str">
        <f>"1200001046"</f>
        <v>1200001046</v>
      </c>
      <c r="C947" s="5" t="str">
        <f>"دستگاه قيچي هيدروليکي-همراه باشيلنگ ومتعلقات"</f>
        <v>دستگاه قيچي هيدروليکي-همراه باشيلنگ ومتعلقات</v>
      </c>
      <c r="D947" s="4" t="str">
        <f>"SN-315"</f>
        <v>SN-315</v>
      </c>
      <c r="E947" s="4" t="str">
        <f>"دستگاه"</f>
        <v>دستگاه</v>
      </c>
      <c r="F947" s="4">
        <v>1</v>
      </c>
      <c r="G947" s="10">
        <v>72000000</v>
      </c>
      <c r="H947" s="10">
        <f t="shared" si="61"/>
        <v>72000000</v>
      </c>
    </row>
    <row r="948" spans="1:8" s="2" customFormat="1" ht="24" customHeight="1">
      <c r="A948" s="4">
        <v>947</v>
      </c>
      <c r="B948" s="4" t="str">
        <f>"1200001047"</f>
        <v>1200001047</v>
      </c>
      <c r="C948" s="5" t="str">
        <f>"دستگاه پمپ دستي (هيدرو تست)600بار"</f>
        <v>دستگاه پمپ دستي (هيدرو تست)600بار</v>
      </c>
      <c r="D948" s="4" t="str">
        <f>""</f>
        <v/>
      </c>
      <c r="E948" s="4" t="str">
        <f>"دستگاه"</f>
        <v>دستگاه</v>
      </c>
      <c r="F948" s="4">
        <v>1</v>
      </c>
      <c r="G948" s="10">
        <v>26000000</v>
      </c>
      <c r="H948" s="10">
        <f t="shared" si="61"/>
        <v>26000000</v>
      </c>
    </row>
    <row r="949" spans="1:8" s="2" customFormat="1" ht="24" customHeight="1">
      <c r="A949" s="6">
        <v>948</v>
      </c>
      <c r="B949" s="4" t="str">
        <f>"1200001048"</f>
        <v>1200001048</v>
      </c>
      <c r="C949" s="5" t="str">
        <f>"دستگاه پمپ (هيدروليکي)-ENER PAG -ZUTP-1500"</f>
        <v>دستگاه پمپ (هيدروليکي)-ENER PAG -ZUTP-1500</v>
      </c>
      <c r="D949" s="4" t="str">
        <f>"S.N:A02017004C-A02017006C"</f>
        <v>S.N:A02017004C-A02017006C</v>
      </c>
      <c r="E949" s="4" t="str">
        <f>"دستگاه"</f>
        <v>دستگاه</v>
      </c>
      <c r="F949" s="4">
        <v>2</v>
      </c>
      <c r="G949" s="10">
        <v>413000000</v>
      </c>
      <c r="H949" s="10">
        <f t="shared" si="61"/>
        <v>826000000</v>
      </c>
    </row>
    <row r="950" spans="1:8" s="2" customFormat="1" ht="24" customHeight="1">
      <c r="A950" s="4">
        <v>949</v>
      </c>
      <c r="B950" s="4" t="str">
        <f>"1200001049"</f>
        <v>1200001049</v>
      </c>
      <c r="C950" s="5" t="str">
        <f>"کيت تبديل GT3MM-NRS04850-(مربوط بهZUTP1500)"</f>
        <v>کيت تبديل GT3MM-NRS04850-(مربوط بهZUTP1500)</v>
      </c>
      <c r="D950" s="4" t="str">
        <f>"M48*5-1 7/8-M48"</f>
        <v>M48*5-1 7/8-M48</v>
      </c>
      <c r="E950" s="4" t="str">
        <f>"ست"</f>
        <v>ست</v>
      </c>
      <c r="F950" s="4">
        <v>4</v>
      </c>
      <c r="G950" s="10">
        <v>27500000</v>
      </c>
      <c r="H950" s="10">
        <f t="shared" si="61"/>
        <v>110000000</v>
      </c>
    </row>
    <row r="951" spans="1:8" s="2" customFormat="1" ht="24" customHeight="1">
      <c r="A951" s="4">
        <v>950</v>
      </c>
      <c r="B951" s="4" t="str">
        <f>"1200001050"</f>
        <v>1200001050</v>
      </c>
      <c r="C951" s="5" t="str">
        <f>"کيت تبديل GT3PMM-NRS05250-(مربوط به پمپZUTP1500)"</f>
        <v>کيت تبديل GT3PMM-NRS05250-(مربوط به پمپZUTP1500)</v>
      </c>
      <c r="D951" s="4" t="s">
        <v>18</v>
      </c>
      <c r="E951" s="4" t="str">
        <f>"ست"</f>
        <v>ست</v>
      </c>
      <c r="F951" s="4">
        <v>4</v>
      </c>
      <c r="G951" s="10">
        <v>27500000</v>
      </c>
      <c r="H951" s="10">
        <f t="shared" si="61"/>
        <v>110000000</v>
      </c>
    </row>
    <row r="952" spans="1:8" s="2" customFormat="1" ht="24" customHeight="1">
      <c r="A952" s="4">
        <v>951</v>
      </c>
      <c r="B952" s="4" t="str">
        <f>"1200001051"</f>
        <v>1200001051</v>
      </c>
      <c r="C952" s="5" t="str">
        <f>"کيت تبديل GT4 PMM-NRS 06055-(مربوط به پمپ ZUTP1500)"</f>
        <v>کيت تبديل GT4 PMM-NRS 06055-(مربوط به پمپ ZUTP1500)</v>
      </c>
      <c r="D952" s="4" t="str">
        <f>"GT4 NRSM60*5"</f>
        <v>GT4 NRSM60*5</v>
      </c>
      <c r="E952" s="4" t="str">
        <f>"ست"</f>
        <v>ست</v>
      </c>
      <c r="F952" s="4">
        <v>4</v>
      </c>
      <c r="G952" s="10">
        <v>35600000</v>
      </c>
      <c r="H952" s="10">
        <f t="shared" si="61"/>
        <v>142400000</v>
      </c>
    </row>
    <row r="953" spans="1:8" s="2" customFormat="1" ht="24" customHeight="1">
      <c r="A953" s="6">
        <v>952</v>
      </c>
      <c r="B953" s="4" t="str">
        <f>"1200001052"</f>
        <v>1200001052</v>
      </c>
      <c r="C953" s="5" t="str">
        <f>"لودسل مهره کش GT3-LCB-(مربوط به پمپ ZUTP1500)"</f>
        <v>لودسل مهره کش GT3-LCB-(مربوط به پمپ ZUTP1500)</v>
      </c>
      <c r="D953" s="4" t="str">
        <f>""</f>
        <v/>
      </c>
      <c r="E953" s="4" t="str">
        <f>"ست"</f>
        <v>ست</v>
      </c>
      <c r="F953" s="4">
        <v>3</v>
      </c>
      <c r="G953" s="10">
        <v>57800000</v>
      </c>
      <c r="H953" s="10">
        <f t="shared" si="61"/>
        <v>173400000</v>
      </c>
    </row>
    <row r="954" spans="1:8" s="2" customFormat="1" ht="24" customHeight="1">
      <c r="A954" s="4">
        <v>953</v>
      </c>
      <c r="B954" s="4" t="str">
        <f>"1200001053"</f>
        <v>1200001053</v>
      </c>
      <c r="C954" s="5" t="str">
        <f>"اتصال گردان TSP300X1-(مربوط به پمپ ZUTP 1500)"</f>
        <v>اتصال گردان TSP300X1-(مربوط به پمپ ZUTP 1500)</v>
      </c>
      <c r="D954" s="4" t="str">
        <f>"10000PSI"</f>
        <v>10000PSI</v>
      </c>
      <c r="E954" s="4" t="str">
        <f>"عدد"</f>
        <v>عدد</v>
      </c>
      <c r="F954" s="4">
        <v>1</v>
      </c>
      <c r="G954" s="10">
        <v>137000000</v>
      </c>
      <c r="H954" s="10">
        <f t="shared" si="61"/>
        <v>137000000</v>
      </c>
    </row>
    <row r="955" spans="1:8" s="2" customFormat="1" ht="24" customHeight="1">
      <c r="A955" s="4">
        <v>954</v>
      </c>
      <c r="B955" s="4" t="str">
        <f>"1200001054"</f>
        <v>1200001054</v>
      </c>
      <c r="C955" s="5" t="str">
        <f>"سر بکس36ميليمتر-مربوط به پمپ ZUTP1500"</f>
        <v>سر بکس36ميليمتر-مربوط به پمپ ZUTP1500</v>
      </c>
      <c r="D955" s="4" t="str">
        <f>""</f>
        <v/>
      </c>
      <c r="E955" s="4" t="str">
        <f>"عدد"</f>
        <v>عدد</v>
      </c>
      <c r="F955" s="4">
        <v>1</v>
      </c>
      <c r="G955" s="10">
        <v>400000</v>
      </c>
      <c r="H955" s="10">
        <f t="shared" si="61"/>
        <v>400000</v>
      </c>
    </row>
    <row r="956" spans="1:8" s="2" customFormat="1" ht="24" customHeight="1">
      <c r="A956" s="4">
        <v>955</v>
      </c>
      <c r="B956" s="4" t="str">
        <f>"1200001055"</f>
        <v>1200001055</v>
      </c>
      <c r="C956" s="5" t="str">
        <f>"سر بکس 50ميليمتر-مربوط به پمپ ZUTP1500"</f>
        <v>سر بکس 50ميليمتر-مربوط به پمپ ZUTP1500</v>
      </c>
      <c r="D956" s="4" t="str">
        <f>""</f>
        <v/>
      </c>
      <c r="E956" s="4" t="str">
        <f>"عدد"</f>
        <v>عدد</v>
      </c>
      <c r="F956" s="4">
        <v>1</v>
      </c>
      <c r="G956" s="10">
        <v>500000</v>
      </c>
      <c r="H956" s="10">
        <f t="shared" si="61"/>
        <v>500000</v>
      </c>
    </row>
    <row r="957" spans="1:8" s="2" customFormat="1" ht="24" customHeight="1">
      <c r="A957" s="6">
        <v>956</v>
      </c>
      <c r="B957" s="4" t="str">
        <f>"1200001056"</f>
        <v>1200001056</v>
      </c>
      <c r="C957" s="5" t="str">
        <f>"سر بکس 55ميليمتر -مربوط به پمپ ZUTP1500"</f>
        <v>سر بکس 55ميليمتر -مربوط به پمپ ZUTP1500</v>
      </c>
      <c r="D957" s="4" t="str">
        <f>""</f>
        <v/>
      </c>
      <c r="E957" s="4" t="str">
        <f>"عدد"</f>
        <v>عدد</v>
      </c>
      <c r="F957" s="4">
        <v>1</v>
      </c>
      <c r="G957" s="10">
        <v>600000</v>
      </c>
      <c r="H957" s="10">
        <f t="shared" si="61"/>
        <v>600000</v>
      </c>
    </row>
    <row r="958" spans="1:8" s="2" customFormat="1" ht="24" customHeight="1">
      <c r="A958" s="4">
        <v>957</v>
      </c>
      <c r="B958" s="4" t="str">
        <f>"1200001057"</f>
        <v>1200001057</v>
      </c>
      <c r="C958" s="5" t="str">
        <f>"سر بکس 65 ميليمتر -مربوط به پمپ ZUTP1500"</f>
        <v>سر بکس 65 ميليمتر -مربوط به پمپ ZUTP1500</v>
      </c>
      <c r="D958" s="4" t="str">
        <f>""</f>
        <v/>
      </c>
      <c r="E958" s="4" t="str">
        <f>"عدد"</f>
        <v>عدد</v>
      </c>
      <c r="F958" s="4">
        <v>1</v>
      </c>
      <c r="G958" s="10">
        <v>750000</v>
      </c>
      <c r="H958" s="10">
        <f t="shared" si="61"/>
        <v>750000</v>
      </c>
    </row>
    <row r="959" spans="1:8" s="2" customFormat="1" ht="24" customHeight="1">
      <c r="A959" s="4">
        <v>958</v>
      </c>
      <c r="B959" s="4" t="str">
        <f>"1200001058"</f>
        <v>1200001058</v>
      </c>
      <c r="C959" s="5" t="str">
        <f>"فلنج تراش FF120-مربوط به پمپ ZUTP1500"</f>
        <v>فلنج تراش FF120-مربوط به پمپ ZUTP1500</v>
      </c>
      <c r="D959" s="4" t="str">
        <f>"شامل آلن مشتي-چکش پلاستيکي-جغجقه درايو3/8-لقمه تراش 2عدد"</f>
        <v>شامل آلن مشتي-چکش پلاستيکي-جغجقه درايو3/8-لقمه تراش 2عدد</v>
      </c>
      <c r="E959" s="4" t="str">
        <f>"ست"</f>
        <v>ست</v>
      </c>
      <c r="F959" s="4">
        <v>1</v>
      </c>
      <c r="G959" s="10">
        <v>392000000</v>
      </c>
      <c r="H959" s="10">
        <f t="shared" si="61"/>
        <v>392000000</v>
      </c>
    </row>
    <row r="960" spans="1:8" ht="39" customHeight="1">
      <c r="H960" s="39">
        <f>SUM(H3:H959)</f>
        <v>24875040000</v>
      </c>
    </row>
  </sheetData>
  <mergeCells count="1">
    <mergeCell ref="A1:H1"/>
  </mergeCells>
  <pageMargins left="0.7" right="0.7" top="0.75" bottom="0.75" header="0.3" footer="0.3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rightToLeft="1" topLeftCell="A214" workbookViewId="0">
      <selection activeCell="H220" sqref="H220"/>
    </sheetView>
  </sheetViews>
  <sheetFormatPr defaultRowHeight="18"/>
  <cols>
    <col min="1" max="1" width="7.7109375" style="1" customWidth="1"/>
    <col min="2" max="2" width="14.42578125" style="1" customWidth="1"/>
    <col min="3" max="3" width="55.42578125" style="3" customWidth="1"/>
    <col min="4" max="4" width="49.85546875" style="1" customWidth="1"/>
    <col min="5" max="5" width="16" style="1" customWidth="1"/>
    <col min="6" max="6" width="13.140625" style="1" customWidth="1"/>
    <col min="7" max="7" width="15.140625" style="25" customWidth="1"/>
    <col min="8" max="8" width="20.7109375" style="11" customWidth="1"/>
    <col min="9" max="16384" width="9.140625" style="1"/>
  </cols>
  <sheetData>
    <row r="1" spans="1:8" ht="56.25" customHeight="1" thickBot="1">
      <c r="A1" s="45" t="s">
        <v>24</v>
      </c>
      <c r="B1" s="46"/>
      <c r="C1" s="46"/>
      <c r="D1" s="46"/>
      <c r="E1" s="46"/>
      <c r="F1" s="46"/>
      <c r="G1" s="46"/>
      <c r="H1" s="47"/>
    </row>
    <row r="2" spans="1:8" ht="38.25" customHeight="1" thickBot="1">
      <c r="A2" s="7" t="s">
        <v>19</v>
      </c>
      <c r="B2" s="8" t="s">
        <v>0</v>
      </c>
      <c r="C2" s="8" t="s">
        <v>1</v>
      </c>
      <c r="D2" s="8" t="s">
        <v>2</v>
      </c>
      <c r="E2" s="8" t="s">
        <v>3</v>
      </c>
      <c r="F2" s="12" t="s">
        <v>25</v>
      </c>
      <c r="G2" s="13" t="s">
        <v>21</v>
      </c>
      <c r="H2" s="9" t="s">
        <v>23</v>
      </c>
    </row>
    <row r="3" spans="1:8" s="19" customFormat="1" ht="38.25" customHeight="1">
      <c r="A3" s="14">
        <v>1</v>
      </c>
      <c r="B3" s="14" t="str">
        <f>"1100000026"</f>
        <v>1100000026</v>
      </c>
      <c r="C3" s="15" t="str">
        <f>"بست پلاستيکي 100"</f>
        <v>بست پلاستيکي 100</v>
      </c>
      <c r="D3" s="14" t="str">
        <f>"GT-100Cm--GW"</f>
        <v>GT-100Cm--GW</v>
      </c>
      <c r="E3" s="14" t="str">
        <f>"عدد"</f>
        <v>عدد</v>
      </c>
      <c r="F3" s="16">
        <v>700</v>
      </c>
      <c r="G3" s="17">
        <v>500</v>
      </c>
      <c r="H3" s="18">
        <f>F3*G3</f>
        <v>350000</v>
      </c>
    </row>
    <row r="4" spans="1:8" s="19" customFormat="1" ht="38.25" customHeight="1">
      <c r="A4" s="20">
        <v>2</v>
      </c>
      <c r="B4" s="20" t="str">
        <f>"2100000069"</f>
        <v>2100000069</v>
      </c>
      <c r="C4" s="21" t="str">
        <f>"پارچه تنظيف"</f>
        <v>پارچه تنظيف</v>
      </c>
      <c r="D4" s="20" t="str">
        <f>""</f>
        <v/>
      </c>
      <c r="E4" s="20" t="str">
        <f>"متر"</f>
        <v>متر</v>
      </c>
      <c r="F4" s="22">
        <v>2800</v>
      </c>
      <c r="G4" s="23">
        <v>10000</v>
      </c>
      <c r="H4" s="24">
        <f>F4*G4</f>
        <v>28000000</v>
      </c>
    </row>
    <row r="5" spans="1:8" s="19" customFormat="1" ht="38.25" customHeight="1">
      <c r="A5" s="20">
        <v>3</v>
      </c>
      <c r="B5" s="20" t="str">
        <f>"1100000001"</f>
        <v>1100000001</v>
      </c>
      <c r="C5" s="21" t="str">
        <f>"صفحه برش کوچک 3ميليمتر"</f>
        <v>صفحه برش کوچک 3ميليمتر</v>
      </c>
      <c r="D5" s="20" t="str">
        <f>"115*3mm-KLINGSPORE"</f>
        <v>115*3mm-KLINGSPORE</v>
      </c>
      <c r="E5" s="20" t="str">
        <f t="shared" ref="E5:E14" si="0">"عدد"</f>
        <v>عدد</v>
      </c>
      <c r="F5" s="22">
        <v>144</v>
      </c>
      <c r="G5" s="23">
        <v>25000</v>
      </c>
      <c r="H5" s="24">
        <f>F5*G5</f>
        <v>3600000</v>
      </c>
    </row>
    <row r="6" spans="1:8" s="19" customFormat="1" ht="38.25" customHeight="1">
      <c r="A6" s="20">
        <v>4</v>
      </c>
      <c r="B6" s="20" t="str">
        <f>"1100000003"</f>
        <v>1100000003</v>
      </c>
      <c r="C6" s="21" t="str">
        <f>"صفحه عمود بر پروفيل بر3ميليمتر"</f>
        <v>صفحه عمود بر پروفيل بر3ميليمتر</v>
      </c>
      <c r="D6" s="20" t="str">
        <f>""</f>
        <v/>
      </c>
      <c r="E6" s="20" t="str">
        <f t="shared" si="0"/>
        <v>عدد</v>
      </c>
      <c r="F6" s="22">
        <v>5</v>
      </c>
      <c r="G6" s="23">
        <v>130000</v>
      </c>
      <c r="H6" s="18">
        <f t="shared" ref="H6:H69" si="1">F6*G6</f>
        <v>650000</v>
      </c>
    </row>
    <row r="7" spans="1:8" s="19" customFormat="1" ht="38.25" customHeight="1">
      <c r="A7" s="20">
        <v>5</v>
      </c>
      <c r="B7" s="20" t="str">
        <f>"1100000008"</f>
        <v>1100000008</v>
      </c>
      <c r="C7" s="21" t="str">
        <f>"صفحه ساب بزرگ22.23*6*230"</f>
        <v>صفحه ساب بزرگ22.23*6*230</v>
      </c>
      <c r="D7" s="20" t="str">
        <f>"230*6*22.23--VICTORY"</f>
        <v>230*6*22.23--VICTORY</v>
      </c>
      <c r="E7" s="20" t="str">
        <f t="shared" si="0"/>
        <v>عدد</v>
      </c>
      <c r="F7" s="22">
        <v>20</v>
      </c>
      <c r="G7" s="23">
        <v>80000</v>
      </c>
      <c r="H7" s="24">
        <f t="shared" si="1"/>
        <v>1600000</v>
      </c>
    </row>
    <row r="8" spans="1:8" s="19" customFormat="1" ht="38.25" customHeight="1">
      <c r="A8" s="20">
        <v>6</v>
      </c>
      <c r="B8" s="20" t="str">
        <f>"1100000009"</f>
        <v>1100000009</v>
      </c>
      <c r="C8" s="21" t="str">
        <f>"صفحه سنگ ساب بزرگ-6ميليمتر"</f>
        <v>صفحه سنگ ساب بزرگ-6ميليمتر</v>
      </c>
      <c r="D8" s="20" t="str">
        <f>"230*6*22.23--VICTORY"</f>
        <v>230*6*22.23--VICTORY</v>
      </c>
      <c r="E8" s="20" t="str">
        <f t="shared" si="0"/>
        <v>عدد</v>
      </c>
      <c r="F8" s="22">
        <v>11</v>
      </c>
      <c r="G8" s="23">
        <v>80000</v>
      </c>
      <c r="H8" s="24">
        <f t="shared" si="1"/>
        <v>880000</v>
      </c>
    </row>
    <row r="9" spans="1:8" s="19" customFormat="1" ht="38.25" customHeight="1">
      <c r="A9" s="20">
        <v>7</v>
      </c>
      <c r="B9" s="20" t="str">
        <f>"1100000010"</f>
        <v>1100000010</v>
      </c>
      <c r="C9" s="21" t="str">
        <f>"صفحه ساب(مخصوص کربن)6ميليمتر"</f>
        <v>صفحه ساب(مخصوص کربن)6ميليمتر</v>
      </c>
      <c r="D9" s="20" t="str">
        <f>"180*6*22.23--OSWATY"</f>
        <v>180*6*22.23--OSWATY</v>
      </c>
      <c r="E9" s="20" t="str">
        <f t="shared" si="0"/>
        <v>عدد</v>
      </c>
      <c r="F9" s="22">
        <v>417</v>
      </c>
      <c r="G9" s="23">
        <v>60000</v>
      </c>
      <c r="H9" s="18">
        <f t="shared" si="1"/>
        <v>25020000</v>
      </c>
    </row>
    <row r="10" spans="1:8" s="19" customFormat="1" ht="38.25" customHeight="1">
      <c r="A10" s="20">
        <v>8</v>
      </c>
      <c r="B10" s="20" t="str">
        <f>"1100000011"</f>
        <v>1100000011</v>
      </c>
      <c r="C10" s="21" t="str">
        <f>"صفحه ساب(مخصوص استيل)6ميليمتر"</f>
        <v>صفحه ساب(مخصوص استيل)6ميليمتر</v>
      </c>
      <c r="D10" s="20" t="str">
        <f>"180*6*22.23--LESSMANN"</f>
        <v>180*6*22.23--LESSMANN</v>
      </c>
      <c r="E10" s="20" t="str">
        <f t="shared" si="0"/>
        <v>عدد</v>
      </c>
      <c r="F10" s="22">
        <v>14</v>
      </c>
      <c r="G10" s="23">
        <v>100000</v>
      </c>
      <c r="H10" s="24">
        <f t="shared" si="1"/>
        <v>1400000</v>
      </c>
    </row>
    <row r="11" spans="1:8" s="19" customFormat="1" ht="38.25" customHeight="1">
      <c r="A11" s="20">
        <v>9</v>
      </c>
      <c r="B11" s="20" t="str">
        <f>"1100000012"</f>
        <v>1100000012</v>
      </c>
      <c r="C11" s="21" t="str">
        <f>"صفحه برش پروفيل بر-عمود بر3ميليمتر"</f>
        <v>صفحه برش پروفيل بر-عمود بر3ميليمتر</v>
      </c>
      <c r="D11" s="20" t="str">
        <f>"180*3*22.23--HYUNDAY"</f>
        <v>180*3*22.23--HYUNDAY</v>
      </c>
      <c r="E11" s="20" t="str">
        <f t="shared" si="0"/>
        <v>عدد</v>
      </c>
      <c r="F11" s="22">
        <v>80</v>
      </c>
      <c r="G11" s="23">
        <v>130000</v>
      </c>
      <c r="H11" s="24">
        <f t="shared" si="1"/>
        <v>10400000</v>
      </c>
    </row>
    <row r="12" spans="1:8" s="19" customFormat="1" ht="38.25" customHeight="1">
      <c r="A12" s="20">
        <v>10</v>
      </c>
      <c r="B12" s="20" t="str">
        <f>"1100000013"</f>
        <v>1100000013</v>
      </c>
      <c r="C12" s="21" t="str">
        <f>"صفحه سنگ برش بزرگ 3ميليمتر(مخصوص کربن)"</f>
        <v>صفحه سنگ برش بزرگ 3ميليمتر(مخصوص کربن)</v>
      </c>
      <c r="D12" s="20" t="str">
        <f>"180*3*22.23--SWATY"</f>
        <v>180*3*22.23--SWATY</v>
      </c>
      <c r="E12" s="20" t="str">
        <f t="shared" si="0"/>
        <v>عدد</v>
      </c>
      <c r="F12" s="22">
        <v>232</v>
      </c>
      <c r="G12" s="23">
        <v>35000</v>
      </c>
      <c r="H12" s="18">
        <f t="shared" si="1"/>
        <v>8120000</v>
      </c>
    </row>
    <row r="13" spans="1:8" s="19" customFormat="1" ht="38.25" customHeight="1">
      <c r="A13" s="20">
        <v>11</v>
      </c>
      <c r="B13" s="20" t="str">
        <f>"1100000014"</f>
        <v>1100000014</v>
      </c>
      <c r="C13" s="21" t="str">
        <f>"برس سيمي دسته چوبي"</f>
        <v>برس سيمي دسته چوبي</v>
      </c>
      <c r="D13" s="20" t="str">
        <f>"180*3*22.23"</f>
        <v>180*3*22.23</v>
      </c>
      <c r="E13" s="20" t="str">
        <f t="shared" si="0"/>
        <v>عدد</v>
      </c>
      <c r="F13" s="22">
        <v>24</v>
      </c>
      <c r="G13" s="23">
        <v>80000</v>
      </c>
      <c r="H13" s="24">
        <f t="shared" si="1"/>
        <v>1920000</v>
      </c>
    </row>
    <row r="14" spans="1:8" s="19" customFormat="1" ht="38.25" customHeight="1">
      <c r="A14" s="20">
        <v>12</v>
      </c>
      <c r="B14" s="20" t="str">
        <f>"1100000015"</f>
        <v>1100000015</v>
      </c>
      <c r="C14" s="21" t="str">
        <f>"برس سيمي دسته پلاستيکي"</f>
        <v>برس سيمي دسته پلاستيکي</v>
      </c>
      <c r="D14" s="20" t="str">
        <f>"EHSAN"</f>
        <v>EHSAN</v>
      </c>
      <c r="E14" s="20" t="str">
        <f t="shared" si="0"/>
        <v>عدد</v>
      </c>
      <c r="F14" s="22">
        <v>28</v>
      </c>
      <c r="G14" s="23">
        <v>25000</v>
      </c>
      <c r="H14" s="24">
        <f t="shared" si="1"/>
        <v>700000</v>
      </c>
    </row>
    <row r="15" spans="1:8" s="19" customFormat="1" ht="38.25" customHeight="1">
      <c r="A15" s="20">
        <v>13</v>
      </c>
      <c r="B15" s="20" t="str">
        <f>"1100000016"</f>
        <v>1100000016</v>
      </c>
      <c r="C15" s="21" t="str">
        <f>"زنجير فلزي"</f>
        <v>زنجير فلزي</v>
      </c>
      <c r="D15" s="20" t="str">
        <f>"3mm"</f>
        <v>3mm</v>
      </c>
      <c r="E15" s="20" t="str">
        <f>"متر"</f>
        <v>متر</v>
      </c>
      <c r="F15" s="22">
        <v>2</v>
      </c>
      <c r="G15" s="23">
        <v>20000</v>
      </c>
      <c r="H15" s="18">
        <f t="shared" si="1"/>
        <v>40000</v>
      </c>
    </row>
    <row r="16" spans="1:8" s="19" customFormat="1" ht="38.25" customHeight="1">
      <c r="A16" s="20">
        <v>14</v>
      </c>
      <c r="B16" s="20" t="str">
        <f>"1100000017"</f>
        <v>1100000017</v>
      </c>
      <c r="C16" s="21" t="str">
        <f>"بست فلزي شيلنگ1/2-1"</f>
        <v>بست فلزي شيلنگ1/2-1</v>
      </c>
      <c r="D16" s="20" t="s">
        <v>26</v>
      </c>
      <c r="E16" s="20" t="str">
        <f t="shared" ref="E16:E20" si="2">"عدد"</f>
        <v>عدد</v>
      </c>
      <c r="F16" s="22">
        <v>2</v>
      </c>
      <c r="G16" s="23">
        <v>20000</v>
      </c>
      <c r="H16" s="24">
        <f t="shared" si="1"/>
        <v>40000</v>
      </c>
    </row>
    <row r="17" spans="1:8" s="19" customFormat="1" ht="38.25" customHeight="1">
      <c r="A17" s="20">
        <v>15</v>
      </c>
      <c r="B17" s="20" t="str">
        <f>"1100000018"</f>
        <v>1100000018</v>
      </c>
      <c r="C17" s="21" t="str">
        <f>"ميخ پرچ سرعدسي"</f>
        <v>ميخ پرچ سرعدسي</v>
      </c>
      <c r="D17" s="20" t="str">
        <f>"پرچ ساز"</f>
        <v>پرچ ساز</v>
      </c>
      <c r="E17" s="20" t="str">
        <f t="shared" si="2"/>
        <v>عدد</v>
      </c>
      <c r="F17" s="22">
        <v>1569</v>
      </c>
      <c r="G17" s="23">
        <v>1000</v>
      </c>
      <c r="H17" s="24">
        <f t="shared" si="1"/>
        <v>1569000</v>
      </c>
    </row>
    <row r="18" spans="1:8" s="19" customFormat="1" ht="38.25" customHeight="1">
      <c r="A18" s="20">
        <v>16</v>
      </c>
      <c r="B18" s="20" t="str">
        <f>"1100000019"</f>
        <v>1100000019</v>
      </c>
      <c r="C18" s="21" t="str">
        <f>"سنگ سمباده انگشتي مخروطي كربني"</f>
        <v>سنگ سمباده انگشتي مخروطي كربني</v>
      </c>
      <c r="D18" s="20" t="str">
        <f>"مخروطي-کربن"</f>
        <v>مخروطي-کربن</v>
      </c>
      <c r="E18" s="20" t="str">
        <f t="shared" si="2"/>
        <v>عدد</v>
      </c>
      <c r="F18" s="22">
        <v>236</v>
      </c>
      <c r="G18" s="23">
        <v>25000</v>
      </c>
      <c r="H18" s="18">
        <f t="shared" si="1"/>
        <v>5900000</v>
      </c>
    </row>
    <row r="19" spans="1:8" s="19" customFormat="1" ht="38.25" customHeight="1">
      <c r="A19" s="20">
        <v>17</v>
      </c>
      <c r="B19" s="20" t="str">
        <f>"1100000020"</f>
        <v>1100000020</v>
      </c>
      <c r="C19" s="21" t="str">
        <f>"سنگ سمباده (انگشتي)استوانه اي كربني"</f>
        <v>سنگ سمباده (انگشتي)استوانه اي كربني</v>
      </c>
      <c r="D19" s="20" t="str">
        <f>"استوانه اي-کربن"</f>
        <v>استوانه اي-کربن</v>
      </c>
      <c r="E19" s="20" t="str">
        <f t="shared" si="2"/>
        <v>عدد</v>
      </c>
      <c r="F19" s="22">
        <v>3</v>
      </c>
      <c r="G19" s="23">
        <v>25000</v>
      </c>
      <c r="H19" s="24">
        <f t="shared" si="1"/>
        <v>75000</v>
      </c>
    </row>
    <row r="20" spans="1:8" s="19" customFormat="1" ht="38.25" customHeight="1">
      <c r="A20" s="20">
        <v>18</v>
      </c>
      <c r="B20" s="20" t="str">
        <f>"1100000021"</f>
        <v>1100000021</v>
      </c>
      <c r="C20" s="21" t="str">
        <f>"جعبه ابزار فلزي"</f>
        <v>جعبه ابزار فلزي</v>
      </c>
      <c r="D20" s="20" t="str">
        <f>""</f>
        <v/>
      </c>
      <c r="E20" s="20" t="str">
        <f t="shared" si="2"/>
        <v>عدد</v>
      </c>
      <c r="F20" s="22">
        <v>21</v>
      </c>
      <c r="G20" s="23">
        <v>600000</v>
      </c>
      <c r="H20" s="24">
        <f t="shared" si="1"/>
        <v>12600000</v>
      </c>
    </row>
    <row r="21" spans="1:8" s="19" customFormat="1" ht="38.25" customHeight="1">
      <c r="A21" s="20">
        <v>19</v>
      </c>
      <c r="B21" s="20" t="str">
        <f>"2100000183"</f>
        <v>2100000183</v>
      </c>
      <c r="C21" s="21" t="str">
        <f>"پارچه تنظيف لانه زنبوري"</f>
        <v>پارچه تنظيف لانه زنبوري</v>
      </c>
      <c r="D21" s="20" t="str">
        <f>""</f>
        <v/>
      </c>
      <c r="E21" s="20" t="str">
        <f>"متر"</f>
        <v>متر</v>
      </c>
      <c r="F21" s="22">
        <v>1</v>
      </c>
      <c r="G21" s="23">
        <v>10000</v>
      </c>
      <c r="H21" s="18">
        <f t="shared" si="1"/>
        <v>10000</v>
      </c>
    </row>
    <row r="22" spans="1:8" s="19" customFormat="1" ht="38.25" customHeight="1">
      <c r="A22" s="20">
        <v>20</v>
      </c>
      <c r="B22" s="20" t="str">
        <f>"1100000033"</f>
        <v>1100000033</v>
      </c>
      <c r="C22" s="21" t="str">
        <f>"مته گرد بر"</f>
        <v>مته گرد بر</v>
      </c>
      <c r="D22" s="20" t="str">
        <f>"diamond core bit dd-b72/430+ucl"</f>
        <v>diamond core bit dd-b72/430+ucl</v>
      </c>
      <c r="E22" s="20" t="str">
        <f>"عدد"</f>
        <v>عدد</v>
      </c>
      <c r="F22" s="22">
        <v>7</v>
      </c>
      <c r="G22" s="23">
        <v>4000000</v>
      </c>
      <c r="H22" s="24">
        <f t="shared" si="1"/>
        <v>28000000</v>
      </c>
    </row>
    <row r="23" spans="1:8" s="19" customFormat="1" ht="38.25" customHeight="1">
      <c r="A23" s="20">
        <v>21</v>
      </c>
      <c r="B23" s="20" t="str">
        <f>"1100000122"</f>
        <v>1100000122</v>
      </c>
      <c r="C23" s="21" t="str">
        <f>"متر 3 متري  MAC"</f>
        <v>متر 3 متري  MAC</v>
      </c>
      <c r="D23" s="20" t="str">
        <f>"فلزي"</f>
        <v>فلزي</v>
      </c>
      <c r="E23" s="20" t="str">
        <f>"عدد"</f>
        <v>عدد</v>
      </c>
      <c r="F23" s="22">
        <v>5</v>
      </c>
      <c r="G23" s="23">
        <v>50000</v>
      </c>
      <c r="H23" s="24">
        <f t="shared" si="1"/>
        <v>250000</v>
      </c>
    </row>
    <row r="24" spans="1:8" s="19" customFormat="1" ht="38.25" customHeight="1">
      <c r="A24" s="20">
        <v>22</v>
      </c>
      <c r="B24" s="20" t="str">
        <f>"1100000035"</f>
        <v>1100000035</v>
      </c>
      <c r="C24" s="21" t="str">
        <f>"لقمه الماسه فرز انگشتي مخروطي10"</f>
        <v>لقمه الماسه فرز انگشتي مخروطي10</v>
      </c>
      <c r="D24" s="20" t="str">
        <f>""</f>
        <v/>
      </c>
      <c r="E24" s="20" t="str">
        <f>"عدد"</f>
        <v>عدد</v>
      </c>
      <c r="F24" s="22">
        <v>11</v>
      </c>
      <c r="G24" s="23">
        <v>400000</v>
      </c>
      <c r="H24" s="18">
        <f t="shared" si="1"/>
        <v>4400000</v>
      </c>
    </row>
    <row r="25" spans="1:8" s="19" customFormat="1" ht="38.25" customHeight="1">
      <c r="A25" s="20">
        <v>23</v>
      </c>
      <c r="B25" s="20" t="str">
        <f>"1100000036"</f>
        <v>1100000036</v>
      </c>
      <c r="C25" s="21" t="str">
        <f>"لقمه الماسه فرز انگشتي استوانه اي10"</f>
        <v>لقمه الماسه فرز انگشتي استوانه اي10</v>
      </c>
      <c r="D25" s="20" t="str">
        <f>""</f>
        <v/>
      </c>
      <c r="E25" s="20" t="str">
        <f>"عدد"</f>
        <v>عدد</v>
      </c>
      <c r="F25" s="22">
        <v>14</v>
      </c>
      <c r="G25" s="23">
        <v>350000</v>
      </c>
      <c r="H25" s="24">
        <f t="shared" si="1"/>
        <v>4900000</v>
      </c>
    </row>
    <row r="26" spans="1:8" s="19" customFormat="1" ht="38.25" customHeight="1">
      <c r="A26" s="20">
        <v>24</v>
      </c>
      <c r="B26" s="20" t="str">
        <f>"1100000037"</f>
        <v>1100000037</v>
      </c>
      <c r="C26" s="21" t="str">
        <f>"صفحه سنگ ساب"</f>
        <v>صفحه سنگ ساب</v>
      </c>
      <c r="D26" s="20" t="str">
        <f>"125x19x12.7"</f>
        <v>125x19x12.7</v>
      </c>
      <c r="E26" s="20" t="str">
        <f>"عدد"</f>
        <v>عدد</v>
      </c>
      <c r="F26" s="22">
        <v>2</v>
      </c>
      <c r="G26" s="23">
        <v>120000</v>
      </c>
      <c r="H26" s="24">
        <f t="shared" si="1"/>
        <v>240000</v>
      </c>
    </row>
    <row r="27" spans="1:8" s="19" customFormat="1" ht="38.25" customHeight="1">
      <c r="A27" s="20">
        <v>25</v>
      </c>
      <c r="B27" s="20" t="str">
        <f>"1100000039"</f>
        <v>1100000039</v>
      </c>
      <c r="C27" s="21" t="str">
        <f>"صحفه سنباده ساب p80"</f>
        <v>صحفه سنباده ساب p80</v>
      </c>
      <c r="D27" s="20" t="str">
        <f>"115*122*23mm"</f>
        <v>115*122*23mm</v>
      </c>
      <c r="E27" s="20" t="str">
        <f t="shared" ref="E27:E33" si="3">"عدد"</f>
        <v>عدد</v>
      </c>
      <c r="F27" s="22">
        <v>1</v>
      </c>
      <c r="G27" s="23">
        <v>120000</v>
      </c>
      <c r="H27" s="18">
        <f t="shared" si="1"/>
        <v>120000</v>
      </c>
    </row>
    <row r="28" spans="1:8" s="19" customFormat="1" ht="38.25" customHeight="1">
      <c r="A28" s="20">
        <v>26</v>
      </c>
      <c r="B28" s="20" t="str">
        <f>"1100000040"</f>
        <v>1100000040</v>
      </c>
      <c r="C28" s="21" t="str">
        <f>"قلم رنگ زني پلاستيک"</f>
        <v>قلم رنگ زني پلاستيک</v>
      </c>
      <c r="D28" s="20" t="str">
        <f>"3*12"</f>
        <v>3*12</v>
      </c>
      <c r="E28" s="20" t="str">
        <f t="shared" si="3"/>
        <v>عدد</v>
      </c>
      <c r="F28" s="22">
        <v>4</v>
      </c>
      <c r="G28" s="23">
        <v>80000</v>
      </c>
      <c r="H28" s="24">
        <f t="shared" si="1"/>
        <v>320000</v>
      </c>
    </row>
    <row r="29" spans="1:8" s="19" customFormat="1" ht="38.25" customHeight="1">
      <c r="A29" s="20">
        <v>27</v>
      </c>
      <c r="B29" s="20" t="str">
        <f>"1100000041"</f>
        <v>1100000041</v>
      </c>
      <c r="C29" s="21" t="str">
        <f>"دسته چوبي کلنگ"</f>
        <v>دسته چوبي کلنگ</v>
      </c>
      <c r="D29" s="20" t="str">
        <f>""</f>
        <v/>
      </c>
      <c r="E29" s="20" t="str">
        <f t="shared" si="3"/>
        <v>عدد</v>
      </c>
      <c r="F29" s="22">
        <v>8</v>
      </c>
      <c r="G29" s="23">
        <v>80000</v>
      </c>
      <c r="H29" s="24">
        <f t="shared" si="1"/>
        <v>640000</v>
      </c>
    </row>
    <row r="30" spans="1:8" s="19" customFormat="1" ht="38.25" customHeight="1">
      <c r="A30" s="20">
        <v>28</v>
      </c>
      <c r="B30" s="20" t="str">
        <f>"1100000043"</f>
        <v>1100000043</v>
      </c>
      <c r="C30" s="21" t="str">
        <f>"گوشي صداگير و كلاه ايمني مخصوص"</f>
        <v>گوشي صداگير و كلاه ايمني مخصوص</v>
      </c>
      <c r="D30" s="20" t="str">
        <f>""</f>
        <v/>
      </c>
      <c r="E30" s="20" t="str">
        <f t="shared" si="3"/>
        <v>عدد</v>
      </c>
      <c r="F30" s="22">
        <v>10</v>
      </c>
      <c r="G30" s="23">
        <v>400000</v>
      </c>
      <c r="H30" s="18">
        <f t="shared" si="1"/>
        <v>4000000</v>
      </c>
    </row>
    <row r="31" spans="1:8" s="19" customFormat="1" ht="38.25" customHeight="1">
      <c r="A31" s="20">
        <v>29</v>
      </c>
      <c r="B31" s="20" t="str">
        <f>"1100000044"</f>
        <v>1100000044</v>
      </c>
      <c r="C31" s="21" t="str">
        <f>"عينک برشکاري دومنظوره"</f>
        <v>عينک برشکاري دومنظوره</v>
      </c>
      <c r="D31" s="20" t="str">
        <f>""</f>
        <v/>
      </c>
      <c r="E31" s="20" t="str">
        <f t="shared" si="3"/>
        <v>عدد</v>
      </c>
      <c r="F31" s="22">
        <v>10</v>
      </c>
      <c r="G31" s="23">
        <v>60000</v>
      </c>
      <c r="H31" s="24">
        <f t="shared" si="1"/>
        <v>600000</v>
      </c>
    </row>
    <row r="32" spans="1:8" s="19" customFormat="1" ht="38.25" customHeight="1">
      <c r="A32" s="20">
        <v>30</v>
      </c>
      <c r="B32" s="20" t="str">
        <f>"1100000052"</f>
        <v>1100000052</v>
      </c>
      <c r="C32" s="21" t="str">
        <f>"گاز بوتان (سيلندر  ميني مشعل)"</f>
        <v>گاز بوتان (سيلندر  ميني مشعل)</v>
      </c>
      <c r="D32" s="20" t="str">
        <f>"227gr-pr250"</f>
        <v>227gr-pr250</v>
      </c>
      <c r="E32" s="20" t="str">
        <f t="shared" si="3"/>
        <v>عدد</v>
      </c>
      <c r="F32" s="22">
        <v>7</v>
      </c>
      <c r="G32" s="23">
        <v>250000</v>
      </c>
      <c r="H32" s="24">
        <f t="shared" si="1"/>
        <v>1750000</v>
      </c>
    </row>
    <row r="33" spans="1:8" s="19" customFormat="1" ht="38.25" customHeight="1">
      <c r="A33" s="20">
        <v>31</v>
      </c>
      <c r="B33" s="20" t="str">
        <f>"1100000054"</f>
        <v>1100000054</v>
      </c>
      <c r="C33" s="21" t="str">
        <f>"درزگير حرارتي"</f>
        <v>درزگير حرارتي</v>
      </c>
      <c r="D33" s="20" t="str">
        <f>"fire place-1250c"</f>
        <v>fire place-1250c</v>
      </c>
      <c r="E33" s="20" t="str">
        <f t="shared" si="3"/>
        <v>عدد</v>
      </c>
      <c r="F33" s="22">
        <v>1</v>
      </c>
      <c r="G33" s="23">
        <v>850000</v>
      </c>
      <c r="H33" s="18">
        <f t="shared" si="1"/>
        <v>850000</v>
      </c>
    </row>
    <row r="34" spans="1:8" s="19" customFormat="1" ht="38.25" customHeight="1">
      <c r="A34" s="20">
        <v>32</v>
      </c>
      <c r="B34" s="20" t="str">
        <f>"1100000060"</f>
        <v>1100000060</v>
      </c>
      <c r="C34" s="21" t="str">
        <f>"زنجير  b06"</f>
        <v>زنجير  b06</v>
      </c>
      <c r="D34" s="20" t="str">
        <f>"b  06"</f>
        <v>b  06</v>
      </c>
      <c r="E34" s="20" t="str">
        <f>"متر"</f>
        <v>متر</v>
      </c>
      <c r="F34" s="22">
        <v>1</v>
      </c>
      <c r="G34" s="23">
        <v>4000000</v>
      </c>
      <c r="H34" s="24">
        <f t="shared" si="1"/>
        <v>4000000</v>
      </c>
    </row>
    <row r="35" spans="1:8" s="19" customFormat="1" ht="38.25" customHeight="1">
      <c r="A35" s="20">
        <v>33</v>
      </c>
      <c r="B35" s="20" t="str">
        <f>"1100000061"</f>
        <v>1100000061</v>
      </c>
      <c r="C35" s="21" t="str">
        <f>"قفل زنجير  b06"</f>
        <v>قفل زنجير  b06</v>
      </c>
      <c r="D35" s="20" t="str">
        <f>"B  06"</f>
        <v>B  06</v>
      </c>
      <c r="E35" s="20" t="str">
        <f>"عدد"</f>
        <v>عدد</v>
      </c>
      <c r="F35" s="22">
        <v>4</v>
      </c>
      <c r="G35" s="23">
        <v>150000</v>
      </c>
      <c r="H35" s="24">
        <f t="shared" si="1"/>
        <v>600000</v>
      </c>
    </row>
    <row r="36" spans="1:8" s="19" customFormat="1" ht="38.25" customHeight="1">
      <c r="A36" s="20">
        <v>34</v>
      </c>
      <c r="B36" s="20" t="str">
        <f>"1100000062"</f>
        <v>1100000062</v>
      </c>
      <c r="C36" s="21" t="str">
        <f>"زنجير b05-1"</f>
        <v>زنجير b05-1</v>
      </c>
      <c r="D36" s="20" t="str">
        <f>"b05-1"</f>
        <v>b05-1</v>
      </c>
      <c r="E36" s="20" t="str">
        <f>"متر"</f>
        <v>متر</v>
      </c>
      <c r="F36" s="22">
        <v>1</v>
      </c>
      <c r="G36" s="23">
        <v>4000000</v>
      </c>
      <c r="H36" s="18">
        <f t="shared" si="1"/>
        <v>4000000</v>
      </c>
    </row>
    <row r="37" spans="1:8" s="19" customFormat="1" ht="38.25" customHeight="1">
      <c r="A37" s="20">
        <v>35</v>
      </c>
      <c r="B37" s="20" t="str">
        <f>"1100000063"</f>
        <v>1100000063</v>
      </c>
      <c r="C37" s="21" t="str">
        <f>"قفل زنجير B05-1"</f>
        <v>قفل زنجير B05-1</v>
      </c>
      <c r="D37" s="20" t="str">
        <f>"B 05-1"</f>
        <v>B 05-1</v>
      </c>
      <c r="E37" s="20" t="str">
        <f t="shared" ref="E37:E55" si="4">"عدد"</f>
        <v>عدد</v>
      </c>
      <c r="F37" s="22">
        <v>6</v>
      </c>
      <c r="G37" s="23">
        <v>150000</v>
      </c>
      <c r="H37" s="24">
        <f t="shared" si="1"/>
        <v>900000</v>
      </c>
    </row>
    <row r="38" spans="1:8" s="19" customFormat="1" ht="38.25" customHeight="1">
      <c r="A38" s="20">
        <v>36</v>
      </c>
      <c r="B38" s="20" t="str">
        <f>"1100000075"</f>
        <v>1100000075</v>
      </c>
      <c r="C38" s="21" t="str">
        <f>"تيغ اره 1531L"</f>
        <v>تيغ اره 1531L</v>
      </c>
      <c r="D38" s="20" t="str">
        <f>"1531 L"</f>
        <v>1531 L</v>
      </c>
      <c r="E38" s="20" t="str">
        <f t="shared" si="4"/>
        <v>عدد</v>
      </c>
      <c r="F38" s="22">
        <v>5</v>
      </c>
      <c r="G38" s="23">
        <v>120000</v>
      </c>
      <c r="H38" s="24">
        <f t="shared" si="1"/>
        <v>600000</v>
      </c>
    </row>
    <row r="39" spans="1:8" s="19" customFormat="1" ht="38.25" customHeight="1">
      <c r="A39" s="20">
        <v>37</v>
      </c>
      <c r="B39" s="20" t="str">
        <f>"1100000076"</f>
        <v>1100000076</v>
      </c>
      <c r="C39" s="21" t="str">
        <f>"تيغ اره  918"</f>
        <v>تيغ اره  918</v>
      </c>
      <c r="D39" s="20" t="str">
        <f>""</f>
        <v/>
      </c>
      <c r="E39" s="20" t="str">
        <f t="shared" si="4"/>
        <v>عدد</v>
      </c>
      <c r="F39" s="22">
        <v>5</v>
      </c>
      <c r="G39" s="23">
        <v>140000</v>
      </c>
      <c r="H39" s="18">
        <f t="shared" si="1"/>
        <v>700000</v>
      </c>
    </row>
    <row r="40" spans="1:8" s="19" customFormat="1" ht="38.25" customHeight="1">
      <c r="A40" s="20">
        <v>38</v>
      </c>
      <c r="B40" s="20" t="str">
        <f>"1100000078"</f>
        <v>1100000078</v>
      </c>
      <c r="C40" s="21" t="str">
        <f>"تيغ اره 1617K"</f>
        <v>تيغ اره 1617K</v>
      </c>
      <c r="D40" s="20" t="str">
        <f>"1617  K"</f>
        <v>1617  K</v>
      </c>
      <c r="E40" s="20" t="str">
        <f t="shared" si="4"/>
        <v>عدد</v>
      </c>
      <c r="F40" s="22">
        <v>5</v>
      </c>
      <c r="G40" s="23">
        <v>120000</v>
      </c>
      <c r="H40" s="24">
        <f t="shared" si="1"/>
        <v>600000</v>
      </c>
    </row>
    <row r="41" spans="1:8" s="19" customFormat="1" ht="38.25" customHeight="1">
      <c r="A41" s="20">
        <v>39</v>
      </c>
      <c r="B41" s="20" t="str">
        <f>"1100000079"</f>
        <v>1100000079</v>
      </c>
      <c r="C41" s="21" t="str">
        <f>"چراغ قوه تتانيوم جيبي"</f>
        <v>چراغ قوه تتانيوم جيبي</v>
      </c>
      <c r="D41" s="20" t="str">
        <f>""</f>
        <v/>
      </c>
      <c r="E41" s="20" t="str">
        <f t="shared" si="4"/>
        <v>عدد</v>
      </c>
      <c r="F41" s="22">
        <v>8</v>
      </c>
      <c r="G41" s="23">
        <v>250000</v>
      </c>
      <c r="H41" s="24">
        <f t="shared" si="1"/>
        <v>2000000</v>
      </c>
    </row>
    <row r="42" spans="1:8" s="19" customFormat="1" ht="38.25" customHeight="1">
      <c r="A42" s="20">
        <v>40</v>
      </c>
      <c r="B42" s="20" t="str">
        <f>"1100000082"</f>
        <v>1100000082</v>
      </c>
      <c r="C42" s="21" t="str">
        <f>"مته الماسه چهار شيار  6"</f>
        <v>مته الماسه چهار شيار  6</v>
      </c>
      <c r="D42" s="20" t="str">
        <f>""</f>
        <v/>
      </c>
      <c r="E42" s="20" t="str">
        <f t="shared" si="4"/>
        <v>عدد</v>
      </c>
      <c r="F42" s="22">
        <v>5</v>
      </c>
      <c r="G42" s="23">
        <v>70000</v>
      </c>
      <c r="H42" s="18">
        <f t="shared" si="1"/>
        <v>350000</v>
      </c>
    </row>
    <row r="43" spans="1:8" s="19" customFormat="1" ht="38.25" customHeight="1">
      <c r="A43" s="20">
        <v>41</v>
      </c>
      <c r="B43" s="20" t="str">
        <f>"1100000083"</f>
        <v>1100000083</v>
      </c>
      <c r="C43" s="21" t="str">
        <f>"تيغ عمود بر بوش T118Aبراي آهن"</f>
        <v>تيغ عمود بر بوش T118Aبراي آهن</v>
      </c>
      <c r="D43" s="20" t="str">
        <f>"T118D"</f>
        <v>T118D</v>
      </c>
      <c r="E43" s="20" t="str">
        <f t="shared" si="4"/>
        <v>عدد</v>
      </c>
      <c r="F43" s="22">
        <v>10</v>
      </c>
      <c r="G43" s="23">
        <v>25000</v>
      </c>
      <c r="H43" s="24">
        <f t="shared" si="1"/>
        <v>250000</v>
      </c>
    </row>
    <row r="44" spans="1:8" s="19" customFormat="1" ht="38.25" customHeight="1">
      <c r="A44" s="20">
        <v>42</v>
      </c>
      <c r="B44" s="20" t="str">
        <f>"1100000085"</f>
        <v>1100000085</v>
      </c>
      <c r="C44" s="21" t="str">
        <f>"تيغ عمود بر MDF-T101Bبوش"</f>
        <v>تيغ عمود بر MDF-T101Bبوش</v>
      </c>
      <c r="D44" s="20" t="str">
        <f>"T101BR"</f>
        <v>T101BR</v>
      </c>
      <c r="E44" s="20" t="str">
        <f t="shared" si="4"/>
        <v>عدد</v>
      </c>
      <c r="F44" s="22">
        <v>10</v>
      </c>
      <c r="G44" s="23">
        <v>35000</v>
      </c>
      <c r="H44" s="24">
        <f t="shared" si="1"/>
        <v>350000</v>
      </c>
    </row>
    <row r="45" spans="1:8" s="19" customFormat="1" ht="38.25" customHeight="1">
      <c r="A45" s="20">
        <v>43</v>
      </c>
      <c r="B45" s="20" t="str">
        <f>"1100000086"</f>
        <v>1100000086</v>
      </c>
      <c r="C45" s="21" t="str">
        <f>"المنت -سماور"</f>
        <v>المنت -سماور</v>
      </c>
      <c r="D45" s="20" t="str">
        <f>"suny  250wat   220 volt     درجه 300"</f>
        <v>suny  250wat   220 volt     درجه 300</v>
      </c>
      <c r="E45" s="20" t="str">
        <f t="shared" si="4"/>
        <v>عدد</v>
      </c>
      <c r="F45" s="22">
        <v>2</v>
      </c>
      <c r="G45" s="23">
        <v>350000</v>
      </c>
      <c r="H45" s="18">
        <f t="shared" si="1"/>
        <v>700000</v>
      </c>
    </row>
    <row r="46" spans="1:8" s="19" customFormat="1" ht="38.25" customHeight="1">
      <c r="A46" s="20">
        <v>44</v>
      </c>
      <c r="B46" s="20" t="str">
        <f>"1100000093"</f>
        <v>1100000093</v>
      </c>
      <c r="C46" s="21" t="str">
        <f>"مته الماسه چهار شيار5"</f>
        <v>مته الماسه چهار شيار5</v>
      </c>
      <c r="D46" s="20" t="str">
        <f>"100 وات"</f>
        <v>100 وات</v>
      </c>
      <c r="E46" s="20" t="str">
        <f t="shared" si="4"/>
        <v>عدد</v>
      </c>
      <c r="F46" s="22">
        <v>1</v>
      </c>
      <c r="G46" s="23">
        <v>60000</v>
      </c>
      <c r="H46" s="24">
        <f t="shared" si="1"/>
        <v>60000</v>
      </c>
    </row>
    <row r="47" spans="1:8" s="19" customFormat="1" ht="38.25" customHeight="1">
      <c r="A47" s="20">
        <v>45</v>
      </c>
      <c r="B47" s="20" t="str">
        <f>"1100000113"</f>
        <v>1100000113</v>
      </c>
      <c r="C47" s="21" t="str">
        <f>"مته الماسه چهار شيار12"</f>
        <v>مته الماسه چهار شيار12</v>
      </c>
      <c r="D47" s="20" t="str">
        <f>""</f>
        <v/>
      </c>
      <c r="E47" s="20" t="str">
        <f t="shared" si="4"/>
        <v>عدد</v>
      </c>
      <c r="F47" s="22">
        <v>7</v>
      </c>
      <c r="G47" s="23">
        <v>100000</v>
      </c>
      <c r="H47" s="24">
        <f t="shared" si="1"/>
        <v>700000</v>
      </c>
    </row>
    <row r="48" spans="1:8" s="19" customFormat="1" ht="38.25" customHeight="1">
      <c r="A48" s="20">
        <v>46</v>
      </c>
      <c r="B48" s="20" t="str">
        <f>"1100000114"</f>
        <v>1100000114</v>
      </c>
      <c r="C48" s="21" t="str">
        <f>"مته الماسه چهار شيار14"</f>
        <v>مته الماسه چهار شيار14</v>
      </c>
      <c r="D48" s="20" t="str">
        <f>""</f>
        <v/>
      </c>
      <c r="E48" s="20" t="str">
        <f t="shared" si="4"/>
        <v>عدد</v>
      </c>
      <c r="F48" s="22">
        <v>8</v>
      </c>
      <c r="G48" s="23">
        <v>100000</v>
      </c>
      <c r="H48" s="18">
        <f t="shared" si="1"/>
        <v>800000</v>
      </c>
    </row>
    <row r="49" spans="1:8" s="19" customFormat="1" ht="38.25" customHeight="1">
      <c r="A49" s="20">
        <v>47</v>
      </c>
      <c r="B49" s="20" t="str">
        <f>"1100000117"</f>
        <v>1100000117</v>
      </c>
      <c r="C49" s="21" t="str">
        <f>"متر 5 متري فلزي"</f>
        <v>متر 5 متري فلزي</v>
      </c>
      <c r="D49" s="20" t="str">
        <f>"5 M   STAREX"</f>
        <v>5 M   STAREX</v>
      </c>
      <c r="E49" s="20" t="str">
        <f t="shared" si="4"/>
        <v>عدد</v>
      </c>
      <c r="F49" s="22">
        <v>10</v>
      </c>
      <c r="G49" s="23">
        <v>60000</v>
      </c>
      <c r="H49" s="24">
        <f t="shared" si="1"/>
        <v>600000</v>
      </c>
    </row>
    <row r="50" spans="1:8" s="19" customFormat="1" ht="38.25" customHeight="1">
      <c r="A50" s="20">
        <v>48</v>
      </c>
      <c r="B50" s="20" t="str">
        <f>"1100000118"</f>
        <v>1100000118</v>
      </c>
      <c r="C50" s="21" t="str">
        <f>"متر فلزي 5.5متري"</f>
        <v>متر فلزي 5.5متري</v>
      </c>
      <c r="D50" s="20" t="str">
        <f>"MAC"</f>
        <v>MAC</v>
      </c>
      <c r="E50" s="20" t="str">
        <f t="shared" si="4"/>
        <v>عدد</v>
      </c>
      <c r="F50" s="22">
        <v>2</v>
      </c>
      <c r="G50" s="23">
        <v>70000</v>
      </c>
      <c r="H50" s="24">
        <f t="shared" si="1"/>
        <v>140000</v>
      </c>
    </row>
    <row r="51" spans="1:8" s="19" customFormat="1" ht="38.25" customHeight="1">
      <c r="A51" s="20">
        <v>49</v>
      </c>
      <c r="B51" s="20" t="str">
        <f>"1100000120"</f>
        <v>1100000120</v>
      </c>
      <c r="C51" s="21" t="str">
        <f>"ليوان يکبار مصرف"</f>
        <v>ليوان يکبار مصرف</v>
      </c>
      <c r="D51" s="20" t="str">
        <f>""</f>
        <v/>
      </c>
      <c r="E51" s="20" t="str">
        <f t="shared" si="4"/>
        <v>عدد</v>
      </c>
      <c r="F51" s="22">
        <v>2800</v>
      </c>
      <c r="G51" s="23">
        <v>1000</v>
      </c>
      <c r="H51" s="18">
        <f t="shared" si="1"/>
        <v>2800000</v>
      </c>
    </row>
    <row r="52" spans="1:8" s="19" customFormat="1" ht="38.25" customHeight="1">
      <c r="A52" s="20">
        <v>50</v>
      </c>
      <c r="B52" s="20" t="str">
        <f>"1100000121"</f>
        <v>1100000121</v>
      </c>
      <c r="C52" s="21" t="str">
        <f>"مته الماسه چهار شيار 10ميليمتر"</f>
        <v>مته الماسه چهار شيار 10ميليمتر</v>
      </c>
      <c r="D52" s="20" t="str">
        <f>""</f>
        <v/>
      </c>
      <c r="E52" s="20" t="str">
        <f t="shared" si="4"/>
        <v>عدد</v>
      </c>
      <c r="F52" s="22">
        <v>1</v>
      </c>
      <c r="G52" s="23">
        <v>100000</v>
      </c>
      <c r="H52" s="24">
        <f t="shared" si="1"/>
        <v>100000</v>
      </c>
    </row>
    <row r="53" spans="1:8" s="19" customFormat="1" ht="38.25" customHeight="1">
      <c r="A53" s="20">
        <v>51</v>
      </c>
      <c r="B53" s="20" t="str">
        <f>"1100000123"</f>
        <v>1100000123</v>
      </c>
      <c r="C53" s="21" t="str">
        <f>"منه الماسه چها شيار 18ميليمتر"</f>
        <v>منه الماسه چها شيار 18ميليمتر</v>
      </c>
      <c r="D53" s="20" t="str">
        <f>""</f>
        <v/>
      </c>
      <c r="E53" s="20" t="str">
        <f t="shared" si="4"/>
        <v>عدد</v>
      </c>
      <c r="F53" s="22">
        <v>3</v>
      </c>
      <c r="G53" s="23">
        <v>200000</v>
      </c>
      <c r="H53" s="24">
        <f t="shared" si="1"/>
        <v>600000</v>
      </c>
    </row>
    <row r="54" spans="1:8" s="19" customFormat="1" ht="38.25" customHeight="1">
      <c r="A54" s="20">
        <v>52</v>
      </c>
      <c r="B54" s="20" t="str">
        <f>"1100000124"</f>
        <v>1100000124</v>
      </c>
      <c r="C54" s="21" t="str">
        <f>"رول بولتM16"</f>
        <v>رول بولتM16</v>
      </c>
      <c r="D54" s="20" t="str">
        <f>"m16*10"</f>
        <v>m16*10</v>
      </c>
      <c r="E54" s="20" t="str">
        <f t="shared" si="4"/>
        <v>عدد</v>
      </c>
      <c r="F54" s="22">
        <v>20</v>
      </c>
      <c r="G54" s="23">
        <v>20000</v>
      </c>
      <c r="H54" s="18">
        <f t="shared" si="1"/>
        <v>400000</v>
      </c>
    </row>
    <row r="55" spans="1:8" s="19" customFormat="1" ht="38.25" customHeight="1">
      <c r="A55" s="20">
        <v>53</v>
      </c>
      <c r="B55" s="20" t="str">
        <f>"1100000125"</f>
        <v>1100000125</v>
      </c>
      <c r="C55" s="21" t="str">
        <f>"رول بولتM14"</f>
        <v>رول بولتM14</v>
      </c>
      <c r="D55" s="20" t="str">
        <f>"m14*15"</f>
        <v>m14*15</v>
      </c>
      <c r="E55" s="20" t="str">
        <f t="shared" si="4"/>
        <v>عدد</v>
      </c>
      <c r="F55" s="22">
        <v>20</v>
      </c>
      <c r="G55" s="23">
        <v>20000</v>
      </c>
      <c r="H55" s="24">
        <f t="shared" si="1"/>
        <v>400000</v>
      </c>
    </row>
    <row r="56" spans="1:8" s="19" customFormat="1" ht="38.25" customHeight="1">
      <c r="A56" s="20">
        <v>54</v>
      </c>
      <c r="B56" s="20" t="str">
        <f>"1100000126"</f>
        <v>1100000126</v>
      </c>
      <c r="C56" s="21" t="str">
        <f>"قلاويز چپ گرد ست 8عددي"</f>
        <v>قلاويز چپ گرد ست 8عددي</v>
      </c>
      <c r="D56" s="20" t="str">
        <f>"CV - GERMANY NO:1-8"</f>
        <v>CV - GERMANY NO:1-8</v>
      </c>
      <c r="E56" s="20" t="str">
        <f t="shared" ref="E56:E67" si="5">"ست"</f>
        <v>ست</v>
      </c>
      <c r="F56" s="22">
        <v>10</v>
      </c>
      <c r="G56" s="23">
        <v>400000</v>
      </c>
      <c r="H56" s="24">
        <f t="shared" si="1"/>
        <v>4000000</v>
      </c>
    </row>
    <row r="57" spans="1:8" s="19" customFormat="1" ht="38.25" customHeight="1">
      <c r="A57" s="20">
        <v>55</v>
      </c>
      <c r="B57" s="20" t="str">
        <f>"1100000127"</f>
        <v>1100000127</v>
      </c>
      <c r="C57" s="21" t="str">
        <f>"قلاويز M 16  ست 2عددي و3عددي"</f>
        <v>قلاويز M 16  ست 2عددي و3عددي</v>
      </c>
      <c r="D57" s="20" t="str">
        <f>"DIN:2181-M16- HSS"</f>
        <v>DIN:2181-M16- HSS</v>
      </c>
      <c r="E57" s="20" t="str">
        <f t="shared" si="5"/>
        <v>ست</v>
      </c>
      <c r="F57" s="22">
        <v>10</v>
      </c>
      <c r="G57" s="23">
        <v>1500000</v>
      </c>
      <c r="H57" s="18">
        <f t="shared" si="1"/>
        <v>15000000</v>
      </c>
    </row>
    <row r="58" spans="1:8" s="19" customFormat="1" ht="38.25" customHeight="1">
      <c r="A58" s="20">
        <v>56</v>
      </c>
      <c r="B58" s="20" t="str">
        <f>"1100000128"</f>
        <v>1100000128</v>
      </c>
      <c r="C58" s="21" t="str">
        <f>"قلاويز M14 ست 2عددي و3عددي"</f>
        <v>قلاويز M14 ست 2عددي و3عددي</v>
      </c>
      <c r="D58" s="20" t="str">
        <f>"DIN:2181-M14-FRA"</f>
        <v>DIN:2181-M14-FRA</v>
      </c>
      <c r="E58" s="20" t="str">
        <f t="shared" si="5"/>
        <v>ست</v>
      </c>
      <c r="F58" s="22">
        <v>9</v>
      </c>
      <c r="G58" s="23">
        <v>1300000</v>
      </c>
      <c r="H58" s="24">
        <f t="shared" si="1"/>
        <v>11700000</v>
      </c>
    </row>
    <row r="59" spans="1:8" s="19" customFormat="1" ht="38.25" customHeight="1">
      <c r="A59" s="20">
        <v>57</v>
      </c>
      <c r="B59" s="20" t="str">
        <f>"1100000129"</f>
        <v>1100000129</v>
      </c>
      <c r="C59" s="21" t="str">
        <f>"قلاويز M12 ست 2 و3 عددي"</f>
        <v>قلاويز M12 ست 2 و3 عددي</v>
      </c>
      <c r="D59" s="20" t="s">
        <v>27</v>
      </c>
      <c r="E59" s="20" t="str">
        <f t="shared" si="5"/>
        <v>ست</v>
      </c>
      <c r="F59" s="22">
        <v>29</v>
      </c>
      <c r="G59" s="23">
        <v>1500000</v>
      </c>
      <c r="H59" s="24">
        <f t="shared" si="1"/>
        <v>43500000</v>
      </c>
    </row>
    <row r="60" spans="1:8" s="19" customFormat="1" ht="38.25" customHeight="1">
      <c r="A60" s="20">
        <v>58</v>
      </c>
      <c r="B60" s="20" t="str">
        <f>"1100000130"</f>
        <v>1100000130</v>
      </c>
      <c r="C60" s="21" t="str">
        <f>"قلاويز M10 ست 2 و3 عددي"</f>
        <v>قلاويز M10 ست 2 و3 عددي</v>
      </c>
      <c r="D60" s="20" t="str">
        <f>"DIN:2181  - M10  - FRA  - DIN :352"</f>
        <v>DIN:2181  - M10  - FRA  - DIN :352</v>
      </c>
      <c r="E60" s="20" t="str">
        <f t="shared" si="5"/>
        <v>ست</v>
      </c>
      <c r="F60" s="22">
        <v>23</v>
      </c>
      <c r="G60" s="23">
        <v>500000</v>
      </c>
      <c r="H60" s="18">
        <f t="shared" si="1"/>
        <v>11500000</v>
      </c>
    </row>
    <row r="61" spans="1:8" s="19" customFormat="1" ht="38.25" customHeight="1">
      <c r="A61" s="20">
        <v>59</v>
      </c>
      <c r="B61" s="20" t="str">
        <f>"1100000131"</f>
        <v>1100000131</v>
      </c>
      <c r="C61" s="21" t="str">
        <f>"قلاويز M6  ست 2 و3 عددي"</f>
        <v>قلاويز M6  ست 2 و3 عددي</v>
      </c>
      <c r="D61" s="20" t="str">
        <f>"DIN :2181  -M 6 - FRA   DIN :352"</f>
        <v>DIN :2181  -M 6 - FRA   DIN :352</v>
      </c>
      <c r="E61" s="20" t="str">
        <f t="shared" si="5"/>
        <v>ست</v>
      </c>
      <c r="F61" s="22">
        <v>21</v>
      </c>
      <c r="G61" s="23">
        <v>300000</v>
      </c>
      <c r="H61" s="24">
        <f t="shared" si="1"/>
        <v>6300000</v>
      </c>
    </row>
    <row r="62" spans="1:8" s="19" customFormat="1" ht="38.25" customHeight="1">
      <c r="A62" s="20">
        <v>60</v>
      </c>
      <c r="B62" s="20" t="str">
        <f>"1100000132"</f>
        <v>1100000132</v>
      </c>
      <c r="C62" s="21" t="str">
        <f>"قلاويز M5  ست 2 و3 عددي"</f>
        <v>قلاويز M5  ست 2 و3 عددي</v>
      </c>
      <c r="D62" s="20" t="str">
        <f>"DIN:352   M5   -  FRA"</f>
        <v>DIN:352   M5   -  FRA</v>
      </c>
      <c r="E62" s="20" t="str">
        <f t="shared" si="5"/>
        <v>ست</v>
      </c>
      <c r="F62" s="22">
        <v>21</v>
      </c>
      <c r="G62" s="23">
        <v>300000</v>
      </c>
      <c r="H62" s="24">
        <f t="shared" si="1"/>
        <v>6300000</v>
      </c>
    </row>
    <row r="63" spans="1:8" s="19" customFormat="1" ht="38.25" customHeight="1">
      <c r="A63" s="20">
        <v>61</v>
      </c>
      <c r="B63" s="20" t="str">
        <f>"1100000133"</f>
        <v>1100000133</v>
      </c>
      <c r="C63" s="21" t="str">
        <f>"قلاويز M4 ست 2  عددي"</f>
        <v>قلاويز M4 ست 2  عددي</v>
      </c>
      <c r="D63" s="20" t="str">
        <f>"DIN : 352  M4 - FRA  GUHRING"</f>
        <v>DIN : 352  M4 - FRA  GUHRING</v>
      </c>
      <c r="E63" s="20" t="str">
        <f t="shared" si="5"/>
        <v>ست</v>
      </c>
      <c r="F63" s="22">
        <v>13</v>
      </c>
      <c r="G63" s="23">
        <v>250000</v>
      </c>
      <c r="H63" s="18">
        <f t="shared" si="1"/>
        <v>3250000</v>
      </c>
    </row>
    <row r="64" spans="1:8" s="19" customFormat="1" ht="38.25" customHeight="1">
      <c r="A64" s="20">
        <v>62</v>
      </c>
      <c r="B64" s="20" t="str">
        <f>"1100000134"</f>
        <v>1100000134</v>
      </c>
      <c r="C64" s="21" t="str">
        <f>"قلاويز M24 ست 2 و3 عددي"</f>
        <v>قلاويز M24 ست 2 و3 عددي</v>
      </c>
      <c r="D64" s="20" t="str">
        <f>"M 24"</f>
        <v>M 24</v>
      </c>
      <c r="E64" s="20" t="str">
        <f t="shared" si="5"/>
        <v>ست</v>
      </c>
      <c r="F64" s="22">
        <v>17</v>
      </c>
      <c r="G64" s="23">
        <v>2500000</v>
      </c>
      <c r="H64" s="24">
        <f t="shared" si="1"/>
        <v>42500000</v>
      </c>
    </row>
    <row r="65" spans="1:8" s="19" customFormat="1" ht="38.25" customHeight="1">
      <c r="A65" s="20">
        <v>63</v>
      </c>
      <c r="B65" s="20" t="str">
        <f>"1100000135"</f>
        <v>1100000135</v>
      </c>
      <c r="C65" s="21" t="str">
        <f>"قلاويز M18  ست 3 عددي"</f>
        <v>قلاويز M18  ست 3 عددي</v>
      </c>
      <c r="D65" s="20" t="str">
        <f>"GARALT"</f>
        <v>GARALT</v>
      </c>
      <c r="E65" s="20" t="str">
        <f t="shared" si="5"/>
        <v>ست</v>
      </c>
      <c r="F65" s="22">
        <v>1</v>
      </c>
      <c r="G65" s="23">
        <v>1500000</v>
      </c>
      <c r="H65" s="24">
        <f t="shared" si="1"/>
        <v>1500000</v>
      </c>
    </row>
    <row r="66" spans="1:8" s="19" customFormat="1" ht="38.25" customHeight="1">
      <c r="A66" s="20">
        <v>64</v>
      </c>
      <c r="B66" s="20" t="str">
        <f>"1100000136"</f>
        <v>1100000136</v>
      </c>
      <c r="C66" s="21" t="str">
        <f>"قلاويز M20"</f>
        <v>قلاويز M20</v>
      </c>
      <c r="D66" s="20" t="str">
        <f>"GARNT-301"</f>
        <v>GARNT-301</v>
      </c>
      <c r="E66" s="20" t="str">
        <f t="shared" si="5"/>
        <v>ست</v>
      </c>
      <c r="F66" s="22">
        <v>6</v>
      </c>
      <c r="G66" s="23">
        <v>1600000</v>
      </c>
      <c r="H66" s="18">
        <f t="shared" si="1"/>
        <v>9600000</v>
      </c>
    </row>
    <row r="67" spans="1:8" s="19" customFormat="1" ht="38.25" customHeight="1">
      <c r="A67" s="20">
        <v>65</v>
      </c>
      <c r="B67" s="20" t="str">
        <f>"1100000139"</f>
        <v>1100000139</v>
      </c>
      <c r="C67" s="21" t="str">
        <f>"قلاويز M30-ست3عددي"</f>
        <v>قلاويز M30-ست3عددي</v>
      </c>
      <c r="D67" s="20" t="str">
        <f>"M 30   -MCDRIOL--HSS"</f>
        <v>M 30   -MCDRIOL--HSS</v>
      </c>
      <c r="E67" s="20" t="str">
        <f t="shared" si="5"/>
        <v>ست</v>
      </c>
      <c r="F67" s="22">
        <v>1</v>
      </c>
      <c r="G67" s="23">
        <v>5500000</v>
      </c>
      <c r="H67" s="24">
        <f t="shared" si="1"/>
        <v>5500000</v>
      </c>
    </row>
    <row r="68" spans="1:8" s="19" customFormat="1" ht="38.25" customHeight="1">
      <c r="A68" s="20">
        <v>66</v>
      </c>
      <c r="B68" s="20" t="str">
        <f>"1100000140"</f>
        <v>1100000140</v>
      </c>
      <c r="C68" s="21" t="str">
        <f>"حديده M 18"</f>
        <v>حديده M 18</v>
      </c>
      <c r="D68" s="20" t="str">
        <f>"M18 - FRA -M18*1/5"</f>
        <v>M18 - FRA -M18*1/5</v>
      </c>
      <c r="E68" s="20" t="str">
        <f t="shared" ref="E68:E80" si="6">"عدد"</f>
        <v>عدد</v>
      </c>
      <c r="F68" s="22">
        <v>9</v>
      </c>
      <c r="G68" s="23">
        <v>320000</v>
      </c>
      <c r="H68" s="24">
        <f t="shared" si="1"/>
        <v>2880000</v>
      </c>
    </row>
    <row r="69" spans="1:8" s="19" customFormat="1" ht="38.25" customHeight="1">
      <c r="A69" s="20">
        <v>67</v>
      </c>
      <c r="B69" s="20" t="str">
        <f>"1100000141"</f>
        <v>1100000141</v>
      </c>
      <c r="C69" s="21" t="str">
        <f>"حديده M 22"</f>
        <v>حديده M 22</v>
      </c>
      <c r="D69" s="20" t="str">
        <f>"M22 - FRA -GUHRIMG-HSS"</f>
        <v>M22 - FRA -GUHRIMG-HSS</v>
      </c>
      <c r="E69" s="20" t="str">
        <f t="shared" si="6"/>
        <v>عدد</v>
      </c>
      <c r="F69" s="22">
        <v>7</v>
      </c>
      <c r="G69" s="23">
        <v>370000</v>
      </c>
      <c r="H69" s="18">
        <f t="shared" si="1"/>
        <v>2590000</v>
      </c>
    </row>
    <row r="70" spans="1:8" s="19" customFormat="1" ht="38.25" customHeight="1">
      <c r="A70" s="20">
        <v>68</v>
      </c>
      <c r="B70" s="20" t="str">
        <f>"1100000142"</f>
        <v>1100000142</v>
      </c>
      <c r="C70" s="21" t="str">
        <f>"حديده M 20"</f>
        <v>حديده M 20</v>
      </c>
      <c r="D70" s="20" t="str">
        <f>"M 20 - GUHIRNG - ART -161HSS"</f>
        <v>M 20 - GUHIRNG - ART -161HSS</v>
      </c>
      <c r="E70" s="20" t="str">
        <f t="shared" si="6"/>
        <v>عدد</v>
      </c>
      <c r="F70" s="22">
        <v>6</v>
      </c>
      <c r="G70" s="23">
        <v>350000</v>
      </c>
      <c r="H70" s="24">
        <f t="shared" ref="H70:H133" si="7">F70*G70</f>
        <v>2100000</v>
      </c>
    </row>
    <row r="71" spans="1:8" s="19" customFormat="1" ht="38.25" customHeight="1">
      <c r="A71" s="20">
        <v>69</v>
      </c>
      <c r="B71" s="20" t="str">
        <f>"1100000143"</f>
        <v>1100000143</v>
      </c>
      <c r="C71" s="21" t="str">
        <f>"حديده M 24"</f>
        <v>حديده M 24</v>
      </c>
      <c r="D71" s="20" t="str">
        <f>"M 24 - FRA - 24*1/25"</f>
        <v>M 24 - FRA - 24*1/25</v>
      </c>
      <c r="E71" s="20" t="str">
        <f t="shared" si="6"/>
        <v>عدد</v>
      </c>
      <c r="F71" s="22">
        <v>7</v>
      </c>
      <c r="G71" s="23">
        <v>400000</v>
      </c>
      <c r="H71" s="24">
        <f t="shared" si="7"/>
        <v>2800000</v>
      </c>
    </row>
    <row r="72" spans="1:8" s="19" customFormat="1" ht="38.25" customHeight="1">
      <c r="A72" s="20">
        <v>70</v>
      </c>
      <c r="B72" s="20" t="str">
        <f>"1100000144"</f>
        <v>1100000144</v>
      </c>
      <c r="C72" s="21" t="str">
        <f>"حديده M 16"</f>
        <v>حديده M 16</v>
      </c>
      <c r="D72" s="20" t="str">
        <f>"M 16 -FRA - 16*1"</f>
        <v>M 16 -FRA - 16*1</v>
      </c>
      <c r="E72" s="20" t="str">
        <f t="shared" si="6"/>
        <v>عدد</v>
      </c>
      <c r="F72" s="22">
        <v>14</v>
      </c>
      <c r="G72" s="23">
        <v>300000</v>
      </c>
      <c r="H72" s="18">
        <f t="shared" si="7"/>
        <v>4200000</v>
      </c>
    </row>
    <row r="73" spans="1:8" s="19" customFormat="1" ht="38.25" customHeight="1">
      <c r="A73" s="20">
        <v>71</v>
      </c>
      <c r="B73" s="20" t="str">
        <f>"1100000145"</f>
        <v>1100000145</v>
      </c>
      <c r="C73" s="21" t="str">
        <f>"حديده M 14"</f>
        <v>حديده M 14</v>
      </c>
      <c r="D73" s="20" t="str">
        <f>"M 14 - FRA -"</f>
        <v>M 14 - FRA -</v>
      </c>
      <c r="E73" s="20" t="str">
        <f t="shared" si="6"/>
        <v>عدد</v>
      </c>
      <c r="F73" s="22">
        <v>14</v>
      </c>
      <c r="G73" s="23">
        <v>270000</v>
      </c>
      <c r="H73" s="24">
        <f t="shared" si="7"/>
        <v>3780000</v>
      </c>
    </row>
    <row r="74" spans="1:8" s="19" customFormat="1" ht="38.25" customHeight="1">
      <c r="A74" s="20">
        <v>72</v>
      </c>
      <c r="B74" s="20" t="str">
        <f>"1100000146"</f>
        <v>1100000146</v>
      </c>
      <c r="C74" s="21" t="str">
        <f>"حديده M 12"</f>
        <v>حديده M 12</v>
      </c>
      <c r="D74" s="20" t="str">
        <f>"M12-FRA  -HSS"</f>
        <v>M12-FRA  -HSS</v>
      </c>
      <c r="E74" s="20" t="str">
        <f t="shared" si="6"/>
        <v>عدد</v>
      </c>
      <c r="F74" s="22">
        <v>20</v>
      </c>
      <c r="G74" s="23">
        <v>220000</v>
      </c>
      <c r="H74" s="24">
        <f t="shared" si="7"/>
        <v>4400000</v>
      </c>
    </row>
    <row r="75" spans="1:8" s="19" customFormat="1" ht="38.25" customHeight="1">
      <c r="A75" s="20">
        <v>73</v>
      </c>
      <c r="B75" s="20" t="str">
        <f>"1100000147"</f>
        <v>1100000147</v>
      </c>
      <c r="C75" s="21" t="str">
        <f>"حديده M 10"</f>
        <v>حديده M 10</v>
      </c>
      <c r="D75" s="20" t="str">
        <f>"M 10 - FRA 10*1"</f>
        <v>M 10 - FRA 10*1</v>
      </c>
      <c r="E75" s="20" t="str">
        <f t="shared" si="6"/>
        <v>عدد</v>
      </c>
      <c r="F75" s="22">
        <v>10</v>
      </c>
      <c r="G75" s="23">
        <v>200000</v>
      </c>
      <c r="H75" s="18">
        <f t="shared" si="7"/>
        <v>2000000</v>
      </c>
    </row>
    <row r="76" spans="1:8" s="19" customFormat="1" ht="38.25" customHeight="1">
      <c r="A76" s="20">
        <v>74</v>
      </c>
      <c r="B76" s="20" t="str">
        <f>"1100000148"</f>
        <v>1100000148</v>
      </c>
      <c r="C76" s="21" t="str">
        <f>"حديده M 8-"</f>
        <v>حديده M 8-</v>
      </c>
      <c r="D76" s="20" t="str">
        <f>"M 8 - FRA  - 8*0/75"</f>
        <v>M 8 - FRA  - 8*0/75</v>
      </c>
      <c r="E76" s="20" t="str">
        <f t="shared" si="6"/>
        <v>عدد</v>
      </c>
      <c r="F76" s="22">
        <v>13</v>
      </c>
      <c r="G76" s="23">
        <v>180000</v>
      </c>
      <c r="H76" s="24">
        <f t="shared" si="7"/>
        <v>2340000</v>
      </c>
    </row>
    <row r="77" spans="1:8" s="19" customFormat="1" ht="38.25" customHeight="1">
      <c r="A77" s="20">
        <v>75</v>
      </c>
      <c r="B77" s="20" t="str">
        <f>"1100000149"</f>
        <v>1100000149</v>
      </c>
      <c r="C77" s="21" t="str">
        <f>"حديده M 6"</f>
        <v>حديده M 6</v>
      </c>
      <c r="D77" s="20" t="str">
        <f>"M6 -FRA -"</f>
        <v>M6 -FRA -</v>
      </c>
      <c r="E77" s="20" t="str">
        <f t="shared" si="6"/>
        <v>عدد</v>
      </c>
      <c r="F77" s="22">
        <v>14</v>
      </c>
      <c r="G77" s="23">
        <v>120000</v>
      </c>
      <c r="H77" s="24">
        <f t="shared" si="7"/>
        <v>1680000</v>
      </c>
    </row>
    <row r="78" spans="1:8" s="19" customFormat="1" ht="38.25" customHeight="1">
      <c r="A78" s="20">
        <v>76</v>
      </c>
      <c r="B78" s="20" t="str">
        <f>"1100000150"</f>
        <v>1100000150</v>
      </c>
      <c r="C78" s="21" t="str">
        <f>"حديده M 5"</f>
        <v>حديده M 5</v>
      </c>
      <c r="D78" s="20" t="str">
        <f>"M 5  -FRA"</f>
        <v>M 5  -FRA</v>
      </c>
      <c r="E78" s="20" t="str">
        <f t="shared" si="6"/>
        <v>عدد</v>
      </c>
      <c r="F78" s="22">
        <v>7</v>
      </c>
      <c r="G78" s="23">
        <v>120000</v>
      </c>
      <c r="H78" s="18">
        <f t="shared" si="7"/>
        <v>840000</v>
      </c>
    </row>
    <row r="79" spans="1:8" s="19" customFormat="1" ht="38.25" customHeight="1">
      <c r="A79" s="20">
        <v>77</v>
      </c>
      <c r="B79" s="20" t="str">
        <f>"1100000151"</f>
        <v>1100000151</v>
      </c>
      <c r="C79" s="21" t="str">
        <f>"حديده M 4"</f>
        <v>حديده M 4</v>
      </c>
      <c r="D79" s="20" t="str">
        <f>"M4 - FRA -M4 -SKF"</f>
        <v>M4 - FRA -M4 -SKF</v>
      </c>
      <c r="E79" s="20" t="str">
        <f t="shared" si="6"/>
        <v>عدد</v>
      </c>
      <c r="F79" s="22">
        <v>14</v>
      </c>
      <c r="G79" s="23">
        <v>100000</v>
      </c>
      <c r="H79" s="24">
        <f t="shared" si="7"/>
        <v>1400000</v>
      </c>
    </row>
    <row r="80" spans="1:8" s="19" customFormat="1" ht="38.25" customHeight="1">
      <c r="A80" s="20">
        <v>78</v>
      </c>
      <c r="B80" s="20" t="str">
        <f>"1100000152"</f>
        <v>1100000152</v>
      </c>
      <c r="C80" s="21" t="str">
        <f>"حديده M 3"</f>
        <v>حديده M 3</v>
      </c>
      <c r="D80" s="20" t="str">
        <f>"M3 -FRA  - M3 معمولي"</f>
        <v>M3 -FRA  - M3 معمولي</v>
      </c>
      <c r="E80" s="20" t="str">
        <f t="shared" si="6"/>
        <v>عدد</v>
      </c>
      <c r="F80" s="22">
        <v>6</v>
      </c>
      <c r="G80" s="23">
        <v>100000</v>
      </c>
      <c r="H80" s="24">
        <f t="shared" si="7"/>
        <v>600000</v>
      </c>
    </row>
    <row r="81" spans="1:8" s="19" customFormat="1" ht="38.25" customHeight="1">
      <c r="A81" s="20">
        <v>79</v>
      </c>
      <c r="B81" s="20" t="str">
        <f>"1100000153"</f>
        <v>1100000153</v>
      </c>
      <c r="C81" s="21" t="str">
        <f>"مته آهن ست 19 عددي"</f>
        <v>مته آهن ست 19 عددي</v>
      </c>
      <c r="D81" s="20" t="str">
        <f>"ALPINOX"</f>
        <v>ALPINOX</v>
      </c>
      <c r="E81" s="20" t="str">
        <f>"ست"</f>
        <v>ست</v>
      </c>
      <c r="F81" s="22">
        <v>57</v>
      </c>
      <c r="G81" s="23">
        <v>6000000</v>
      </c>
      <c r="H81" s="18">
        <f t="shared" si="7"/>
        <v>342000000</v>
      </c>
    </row>
    <row r="82" spans="1:8" s="19" customFormat="1" ht="38.25" customHeight="1">
      <c r="A82" s="20">
        <v>80</v>
      </c>
      <c r="B82" s="20" t="str">
        <f>"1100000154"</f>
        <v>1100000154</v>
      </c>
      <c r="C82" s="21" t="str">
        <f>"مته آهن شماره 1"</f>
        <v>مته آهن شماره 1</v>
      </c>
      <c r="D82" s="20" t="str">
        <f t="shared" ref="D82:D88" si="8">"FEIDA"</f>
        <v>FEIDA</v>
      </c>
      <c r="E82" s="20" t="str">
        <f t="shared" ref="E82:E128" si="9">"عدد"</f>
        <v>عدد</v>
      </c>
      <c r="F82" s="22">
        <v>100</v>
      </c>
      <c r="G82" s="23">
        <v>10000</v>
      </c>
      <c r="H82" s="24">
        <f t="shared" si="7"/>
        <v>1000000</v>
      </c>
    </row>
    <row r="83" spans="1:8" s="19" customFormat="1" ht="38.25" customHeight="1">
      <c r="A83" s="20">
        <v>81</v>
      </c>
      <c r="B83" s="20" t="str">
        <f>"1100000155"</f>
        <v>1100000155</v>
      </c>
      <c r="C83" s="21" t="str">
        <f>"مته آهن شماره  1/5"</f>
        <v>مته آهن شماره  1/5</v>
      </c>
      <c r="D83" s="20" t="str">
        <f t="shared" si="8"/>
        <v>FEIDA</v>
      </c>
      <c r="E83" s="20" t="str">
        <f t="shared" si="9"/>
        <v>عدد</v>
      </c>
      <c r="F83" s="22">
        <v>110</v>
      </c>
      <c r="G83" s="23">
        <v>10000</v>
      </c>
      <c r="H83" s="24">
        <f t="shared" si="7"/>
        <v>1100000</v>
      </c>
    </row>
    <row r="84" spans="1:8" s="19" customFormat="1" ht="38.25" customHeight="1">
      <c r="A84" s="20">
        <v>82</v>
      </c>
      <c r="B84" s="20" t="str">
        <f>"1100000156"</f>
        <v>1100000156</v>
      </c>
      <c r="C84" s="21" t="str">
        <f>"مته اهن  2"</f>
        <v>مته اهن  2</v>
      </c>
      <c r="D84" s="20" t="str">
        <f t="shared" si="8"/>
        <v>FEIDA</v>
      </c>
      <c r="E84" s="20" t="str">
        <f t="shared" si="9"/>
        <v>عدد</v>
      </c>
      <c r="F84" s="22">
        <v>93</v>
      </c>
      <c r="G84" s="23">
        <v>20000</v>
      </c>
      <c r="H84" s="18">
        <f t="shared" si="7"/>
        <v>1860000</v>
      </c>
    </row>
    <row r="85" spans="1:8" s="19" customFormat="1" ht="38.25" customHeight="1">
      <c r="A85" s="20">
        <v>83</v>
      </c>
      <c r="B85" s="20" t="str">
        <f>"1100000157"</f>
        <v>1100000157</v>
      </c>
      <c r="C85" s="21" t="str">
        <f>"مته اهن 2/5"</f>
        <v>مته اهن 2/5</v>
      </c>
      <c r="D85" s="20" t="str">
        <f t="shared" si="8"/>
        <v>FEIDA</v>
      </c>
      <c r="E85" s="20" t="str">
        <f t="shared" si="9"/>
        <v>عدد</v>
      </c>
      <c r="F85" s="22">
        <v>109</v>
      </c>
      <c r="G85" s="23">
        <v>20000</v>
      </c>
      <c r="H85" s="24">
        <f t="shared" si="7"/>
        <v>2180000</v>
      </c>
    </row>
    <row r="86" spans="1:8" s="19" customFormat="1" ht="38.25" customHeight="1">
      <c r="A86" s="20">
        <v>84</v>
      </c>
      <c r="B86" s="20" t="str">
        <f>"1100000158"</f>
        <v>1100000158</v>
      </c>
      <c r="C86" s="21" t="str">
        <f>"مته اهن  3"</f>
        <v>مته اهن  3</v>
      </c>
      <c r="D86" s="20" t="str">
        <f t="shared" si="8"/>
        <v>FEIDA</v>
      </c>
      <c r="E86" s="20" t="str">
        <f t="shared" si="9"/>
        <v>عدد</v>
      </c>
      <c r="F86" s="22">
        <v>66</v>
      </c>
      <c r="G86" s="23">
        <v>250000</v>
      </c>
      <c r="H86" s="24">
        <f t="shared" si="7"/>
        <v>16500000</v>
      </c>
    </row>
    <row r="87" spans="1:8" s="19" customFormat="1" ht="38.25" customHeight="1">
      <c r="A87" s="20">
        <v>85</v>
      </c>
      <c r="B87" s="20" t="str">
        <f>"1100000159"</f>
        <v>1100000159</v>
      </c>
      <c r="C87" s="21" t="str">
        <f>"مته اهن  3/5"</f>
        <v>مته اهن  3/5</v>
      </c>
      <c r="D87" s="20" t="str">
        <f t="shared" si="8"/>
        <v>FEIDA</v>
      </c>
      <c r="E87" s="20" t="str">
        <f t="shared" si="9"/>
        <v>عدد</v>
      </c>
      <c r="F87" s="22">
        <v>82</v>
      </c>
      <c r="G87" s="23">
        <v>250000</v>
      </c>
      <c r="H87" s="18">
        <f t="shared" si="7"/>
        <v>20500000</v>
      </c>
    </row>
    <row r="88" spans="1:8" s="19" customFormat="1" ht="38.25" customHeight="1">
      <c r="A88" s="20">
        <v>86</v>
      </c>
      <c r="B88" s="20" t="str">
        <f>"1100000160"</f>
        <v>1100000160</v>
      </c>
      <c r="C88" s="21" t="str">
        <f>"مته اهن  4"</f>
        <v>مته اهن  4</v>
      </c>
      <c r="D88" s="20" t="str">
        <f t="shared" si="8"/>
        <v>FEIDA</v>
      </c>
      <c r="E88" s="20" t="str">
        <f t="shared" si="9"/>
        <v>عدد</v>
      </c>
      <c r="F88" s="22">
        <v>31</v>
      </c>
      <c r="G88" s="23">
        <v>30000</v>
      </c>
      <c r="H88" s="24">
        <f t="shared" si="7"/>
        <v>930000</v>
      </c>
    </row>
    <row r="89" spans="1:8" s="19" customFormat="1" ht="38.25" customHeight="1">
      <c r="A89" s="20">
        <v>87</v>
      </c>
      <c r="B89" s="20" t="str">
        <f>"1100000162"</f>
        <v>1100000162</v>
      </c>
      <c r="C89" s="21" t="str">
        <f>"مته اهن 6"</f>
        <v>مته اهن 6</v>
      </c>
      <c r="D89" s="20" t="str">
        <f>""</f>
        <v/>
      </c>
      <c r="E89" s="20" t="str">
        <f t="shared" si="9"/>
        <v>عدد</v>
      </c>
      <c r="F89" s="22">
        <v>15</v>
      </c>
      <c r="G89" s="23">
        <v>60000</v>
      </c>
      <c r="H89" s="24">
        <f t="shared" si="7"/>
        <v>900000</v>
      </c>
    </row>
    <row r="90" spans="1:8" s="19" customFormat="1" ht="38.25" customHeight="1">
      <c r="A90" s="20">
        <v>88</v>
      </c>
      <c r="B90" s="20" t="str">
        <f>"1100000164"</f>
        <v>1100000164</v>
      </c>
      <c r="C90" s="21" t="str">
        <f>"مته اهن  7"</f>
        <v>مته اهن  7</v>
      </c>
      <c r="D90" s="20" t="str">
        <f>""</f>
        <v/>
      </c>
      <c r="E90" s="20" t="str">
        <f t="shared" si="9"/>
        <v>عدد</v>
      </c>
      <c r="F90" s="22">
        <v>2</v>
      </c>
      <c r="G90" s="23">
        <v>80000</v>
      </c>
      <c r="H90" s="18">
        <f t="shared" si="7"/>
        <v>160000</v>
      </c>
    </row>
    <row r="91" spans="1:8" s="19" customFormat="1" ht="38.25" customHeight="1">
      <c r="A91" s="20">
        <v>89</v>
      </c>
      <c r="B91" s="20" t="str">
        <f>"1100000165"</f>
        <v>1100000165</v>
      </c>
      <c r="C91" s="21" t="str">
        <f>"مته اهن  7/5"</f>
        <v>مته اهن  7/5</v>
      </c>
      <c r="D91" s="20" t="str">
        <f>""</f>
        <v/>
      </c>
      <c r="E91" s="20" t="str">
        <f t="shared" si="9"/>
        <v>عدد</v>
      </c>
      <c r="F91" s="22">
        <v>5</v>
      </c>
      <c r="G91" s="23">
        <v>90000</v>
      </c>
      <c r="H91" s="24">
        <f t="shared" si="7"/>
        <v>450000</v>
      </c>
    </row>
    <row r="92" spans="1:8" s="19" customFormat="1" ht="38.25" customHeight="1">
      <c r="A92" s="20">
        <v>90</v>
      </c>
      <c r="B92" s="20" t="str">
        <f>"1100000491"</f>
        <v>1100000491</v>
      </c>
      <c r="C92" s="21" t="str">
        <f>"حديده M36"</f>
        <v>حديده M36</v>
      </c>
      <c r="D92" s="20" t="str">
        <f>"نرمال"</f>
        <v>نرمال</v>
      </c>
      <c r="E92" s="20" t="str">
        <f t="shared" si="9"/>
        <v>عدد</v>
      </c>
      <c r="F92" s="22">
        <v>2</v>
      </c>
      <c r="G92" s="23">
        <v>4000000</v>
      </c>
      <c r="H92" s="24">
        <f t="shared" si="7"/>
        <v>8000000</v>
      </c>
    </row>
    <row r="93" spans="1:8" s="19" customFormat="1" ht="38.25" customHeight="1">
      <c r="A93" s="20">
        <v>91</v>
      </c>
      <c r="B93" s="20" t="str">
        <f>"1100000167"</f>
        <v>1100000167</v>
      </c>
      <c r="C93" s="21" t="str">
        <f>"مته اهن  8/5"</f>
        <v>مته اهن  8/5</v>
      </c>
      <c r="D93" s="20" t="str">
        <f>"FEIDA"</f>
        <v>FEIDA</v>
      </c>
      <c r="E93" s="20" t="str">
        <f t="shared" si="9"/>
        <v>عدد</v>
      </c>
      <c r="F93" s="22">
        <v>86</v>
      </c>
      <c r="G93" s="23">
        <v>120000</v>
      </c>
      <c r="H93" s="18">
        <f t="shared" si="7"/>
        <v>10320000</v>
      </c>
    </row>
    <row r="94" spans="1:8" s="19" customFormat="1" ht="38.25" customHeight="1">
      <c r="A94" s="20">
        <v>92</v>
      </c>
      <c r="B94" s="20" t="str">
        <f>"1100000168"</f>
        <v>1100000168</v>
      </c>
      <c r="C94" s="21" t="str">
        <f>"مته اهن   9"</f>
        <v>مته اهن   9</v>
      </c>
      <c r="D94" s="20" t="str">
        <f>""</f>
        <v/>
      </c>
      <c r="E94" s="20" t="str">
        <f t="shared" si="9"/>
        <v>عدد</v>
      </c>
      <c r="F94" s="22">
        <v>3</v>
      </c>
      <c r="G94" s="23">
        <v>130000</v>
      </c>
      <c r="H94" s="24">
        <f t="shared" si="7"/>
        <v>390000</v>
      </c>
    </row>
    <row r="95" spans="1:8" s="19" customFormat="1" ht="38.25" customHeight="1">
      <c r="A95" s="20">
        <v>93</v>
      </c>
      <c r="B95" s="20" t="str">
        <f>"1100000169"</f>
        <v>1100000169</v>
      </c>
      <c r="C95" s="21" t="str">
        <f>"مته اهن   9/5"</f>
        <v>مته اهن   9/5</v>
      </c>
      <c r="D95" s="20" t="str">
        <f>""</f>
        <v/>
      </c>
      <c r="E95" s="20" t="str">
        <f t="shared" si="9"/>
        <v>عدد</v>
      </c>
      <c r="F95" s="22">
        <v>5</v>
      </c>
      <c r="G95" s="23">
        <v>140000</v>
      </c>
      <c r="H95" s="24">
        <f t="shared" si="7"/>
        <v>700000</v>
      </c>
    </row>
    <row r="96" spans="1:8" s="19" customFormat="1" ht="38.25" customHeight="1">
      <c r="A96" s="20">
        <v>94</v>
      </c>
      <c r="B96" s="20" t="str">
        <f>"1100000170"</f>
        <v>1100000170</v>
      </c>
      <c r="C96" s="21" t="str">
        <f>"مته اهن  10"</f>
        <v>مته اهن  10</v>
      </c>
      <c r="D96" s="20" t="str">
        <f>""</f>
        <v/>
      </c>
      <c r="E96" s="20" t="str">
        <f t="shared" si="9"/>
        <v>عدد</v>
      </c>
      <c r="F96" s="22">
        <v>7</v>
      </c>
      <c r="G96" s="23">
        <v>150000</v>
      </c>
      <c r="H96" s="18">
        <f t="shared" si="7"/>
        <v>1050000</v>
      </c>
    </row>
    <row r="97" spans="1:8" s="19" customFormat="1" ht="38.25" customHeight="1">
      <c r="A97" s="20">
        <v>95</v>
      </c>
      <c r="B97" s="20" t="str">
        <f>"1100000171"</f>
        <v>1100000171</v>
      </c>
      <c r="C97" s="21" t="str">
        <f>"مته اهن   10/5"</f>
        <v>مته اهن   10/5</v>
      </c>
      <c r="D97" s="20" t="str">
        <f>""</f>
        <v/>
      </c>
      <c r="E97" s="20" t="str">
        <f t="shared" si="9"/>
        <v>عدد</v>
      </c>
      <c r="F97" s="22">
        <v>2</v>
      </c>
      <c r="G97" s="23">
        <v>180000</v>
      </c>
      <c r="H97" s="24">
        <f t="shared" si="7"/>
        <v>360000</v>
      </c>
    </row>
    <row r="98" spans="1:8" s="19" customFormat="1" ht="38.25" customHeight="1">
      <c r="A98" s="20">
        <v>96</v>
      </c>
      <c r="B98" s="20" t="str">
        <f>"1100000172"</f>
        <v>1100000172</v>
      </c>
      <c r="C98" s="21" t="str">
        <f>"مته اهن  11"</f>
        <v>مته اهن  11</v>
      </c>
      <c r="D98" s="20" t="str">
        <f>"WOLF--APPANOX"</f>
        <v>WOLF--APPANOX</v>
      </c>
      <c r="E98" s="20" t="str">
        <f t="shared" si="9"/>
        <v>عدد</v>
      </c>
      <c r="F98" s="22">
        <v>73</v>
      </c>
      <c r="G98" s="23">
        <v>220000</v>
      </c>
      <c r="H98" s="24">
        <f t="shared" si="7"/>
        <v>16060000</v>
      </c>
    </row>
    <row r="99" spans="1:8" s="19" customFormat="1" ht="38.25" customHeight="1">
      <c r="A99" s="20">
        <v>97</v>
      </c>
      <c r="B99" s="20" t="str">
        <f>"1100000173"</f>
        <v>1100000173</v>
      </c>
      <c r="C99" s="21" t="str">
        <f>"مته اهن 11/5"</f>
        <v>مته اهن 11/5</v>
      </c>
      <c r="D99" s="20" t="str">
        <f>"APPANOX"</f>
        <v>APPANOX</v>
      </c>
      <c r="E99" s="20" t="str">
        <f t="shared" si="9"/>
        <v>عدد</v>
      </c>
      <c r="F99" s="22">
        <v>2</v>
      </c>
      <c r="G99" s="23">
        <v>230000</v>
      </c>
      <c r="H99" s="18">
        <f t="shared" si="7"/>
        <v>460000</v>
      </c>
    </row>
    <row r="100" spans="1:8" s="19" customFormat="1" ht="38.25" customHeight="1">
      <c r="A100" s="20">
        <v>98</v>
      </c>
      <c r="B100" s="20" t="str">
        <f>"1100000174"</f>
        <v>1100000174</v>
      </c>
      <c r="C100" s="21" t="str">
        <f>"مته اهن   12"</f>
        <v>مته اهن   12</v>
      </c>
      <c r="D100" s="20" t="str">
        <f>"APPANOX"</f>
        <v>APPANOX</v>
      </c>
      <c r="E100" s="20" t="str">
        <f t="shared" si="9"/>
        <v>عدد</v>
      </c>
      <c r="F100" s="22">
        <v>58</v>
      </c>
      <c r="G100" s="23">
        <v>250000</v>
      </c>
      <c r="H100" s="24">
        <f t="shared" si="7"/>
        <v>14500000</v>
      </c>
    </row>
    <row r="101" spans="1:8" s="19" customFormat="1" ht="38.25" customHeight="1">
      <c r="A101" s="20">
        <v>99</v>
      </c>
      <c r="B101" s="20" t="str">
        <f>"1100000175"</f>
        <v>1100000175</v>
      </c>
      <c r="C101" s="21" t="str">
        <f>"مته اهن   12/5"</f>
        <v>مته اهن   12/5</v>
      </c>
      <c r="D101" s="20" t="str">
        <f>"APPANOX"</f>
        <v>APPANOX</v>
      </c>
      <c r="E101" s="20" t="str">
        <f t="shared" si="9"/>
        <v>عدد</v>
      </c>
      <c r="F101" s="22">
        <v>2</v>
      </c>
      <c r="G101" s="23">
        <v>250000</v>
      </c>
      <c r="H101" s="24">
        <f t="shared" si="7"/>
        <v>500000</v>
      </c>
    </row>
    <row r="102" spans="1:8" s="19" customFormat="1" ht="38.25" customHeight="1">
      <c r="A102" s="20">
        <v>100</v>
      </c>
      <c r="B102" s="20" t="str">
        <f>"1100000176"</f>
        <v>1100000176</v>
      </c>
      <c r="C102" s="21" t="str">
        <f>"مته اهن  13"</f>
        <v>مته اهن  13</v>
      </c>
      <c r="D102" s="20" t="str">
        <f>"WOLF-APPANOX"</f>
        <v>WOLF-APPANOX</v>
      </c>
      <c r="E102" s="20" t="str">
        <f t="shared" si="9"/>
        <v>عدد</v>
      </c>
      <c r="F102" s="22">
        <v>76</v>
      </c>
      <c r="G102" s="23">
        <v>300000</v>
      </c>
      <c r="H102" s="18">
        <f t="shared" si="7"/>
        <v>22800000</v>
      </c>
    </row>
    <row r="103" spans="1:8" s="19" customFormat="1" ht="38.25" customHeight="1">
      <c r="A103" s="20">
        <v>101</v>
      </c>
      <c r="B103" s="20" t="str">
        <f>"1100000177"</f>
        <v>1100000177</v>
      </c>
      <c r="C103" s="21" t="str">
        <f>"مته اهن  14"</f>
        <v>مته اهن  14</v>
      </c>
      <c r="D103" s="20" t="str">
        <f>"MST-APPANOX"</f>
        <v>MST-APPANOX</v>
      </c>
      <c r="E103" s="20" t="str">
        <f t="shared" si="9"/>
        <v>عدد</v>
      </c>
      <c r="F103" s="22">
        <v>36</v>
      </c>
      <c r="G103" s="23">
        <v>400000</v>
      </c>
      <c r="H103" s="24">
        <f t="shared" si="7"/>
        <v>14400000</v>
      </c>
    </row>
    <row r="104" spans="1:8" s="19" customFormat="1" ht="38.25" customHeight="1">
      <c r="A104" s="20">
        <v>102</v>
      </c>
      <c r="B104" s="20" t="str">
        <f>"1100000178"</f>
        <v>1100000178</v>
      </c>
      <c r="C104" s="21" t="str">
        <f>"مته اهن  15"</f>
        <v>مته اهن  15</v>
      </c>
      <c r="D104" s="20" t="str">
        <f>"ALPANOX"</f>
        <v>ALPANOX</v>
      </c>
      <c r="E104" s="20" t="str">
        <f t="shared" si="9"/>
        <v>عدد</v>
      </c>
      <c r="F104" s="22">
        <v>62</v>
      </c>
      <c r="G104" s="23">
        <v>450000</v>
      </c>
      <c r="H104" s="24">
        <f t="shared" si="7"/>
        <v>27900000</v>
      </c>
    </row>
    <row r="105" spans="1:8" s="19" customFormat="1" ht="38.25" customHeight="1">
      <c r="A105" s="20">
        <v>103</v>
      </c>
      <c r="B105" s="20" t="str">
        <f>"1100000179"</f>
        <v>1100000179</v>
      </c>
      <c r="C105" s="21" t="str">
        <f>"مته اهن  16"</f>
        <v>مته اهن  16</v>
      </c>
      <c r="D105" s="20" t="str">
        <f>"APPANOX"</f>
        <v>APPANOX</v>
      </c>
      <c r="E105" s="20" t="str">
        <f t="shared" si="9"/>
        <v>عدد</v>
      </c>
      <c r="F105" s="22">
        <v>60</v>
      </c>
      <c r="G105" s="23">
        <v>500000</v>
      </c>
      <c r="H105" s="18">
        <f t="shared" si="7"/>
        <v>30000000</v>
      </c>
    </row>
    <row r="106" spans="1:8" s="19" customFormat="1" ht="38.25" customHeight="1">
      <c r="A106" s="20">
        <v>104</v>
      </c>
      <c r="B106" s="20" t="str">
        <f>"1100000180"</f>
        <v>1100000180</v>
      </c>
      <c r="C106" s="21" t="str">
        <f>"مته آهن شماره  18"</f>
        <v>مته آهن شماره  18</v>
      </c>
      <c r="D106" s="20" t="str">
        <f>"APPANOX"</f>
        <v>APPANOX</v>
      </c>
      <c r="E106" s="20" t="str">
        <f t="shared" si="9"/>
        <v>عدد</v>
      </c>
      <c r="F106" s="22">
        <v>63</v>
      </c>
      <c r="G106" s="23">
        <v>600000</v>
      </c>
      <c r="H106" s="24">
        <f t="shared" si="7"/>
        <v>37800000</v>
      </c>
    </row>
    <row r="107" spans="1:8" s="19" customFormat="1" ht="38.25" customHeight="1">
      <c r="A107" s="20">
        <v>105</v>
      </c>
      <c r="B107" s="20" t="str">
        <f>"1100000181"</f>
        <v>1100000181</v>
      </c>
      <c r="C107" s="21" t="str">
        <f>"مته آهن شماره 20"</f>
        <v>مته آهن شماره 20</v>
      </c>
      <c r="D107" s="20" t="str">
        <f>"APPANOX"</f>
        <v>APPANOX</v>
      </c>
      <c r="E107" s="20" t="str">
        <f t="shared" si="9"/>
        <v>عدد</v>
      </c>
      <c r="F107" s="22">
        <v>61</v>
      </c>
      <c r="G107" s="23">
        <v>700000</v>
      </c>
      <c r="H107" s="24">
        <f t="shared" si="7"/>
        <v>42700000</v>
      </c>
    </row>
    <row r="108" spans="1:8" s="19" customFormat="1" ht="38.25" customHeight="1">
      <c r="A108" s="20">
        <v>106</v>
      </c>
      <c r="B108" s="20" t="str">
        <f>"1100000182"</f>
        <v>1100000182</v>
      </c>
      <c r="C108" s="21" t="str">
        <f>"مته الماسه شماره 6"</f>
        <v>مته الماسه شماره 6</v>
      </c>
      <c r="D108" s="20" t="str">
        <f>"ALPINOX"</f>
        <v>ALPINOX</v>
      </c>
      <c r="E108" s="20" t="str">
        <f t="shared" si="9"/>
        <v>عدد</v>
      </c>
      <c r="F108" s="22">
        <v>2</v>
      </c>
      <c r="G108" s="23">
        <v>35000</v>
      </c>
      <c r="H108" s="18">
        <f t="shared" si="7"/>
        <v>70000</v>
      </c>
    </row>
    <row r="109" spans="1:8" s="19" customFormat="1" ht="38.25" customHeight="1">
      <c r="A109" s="20">
        <v>107</v>
      </c>
      <c r="B109" s="20" t="str">
        <f>"1100000184"</f>
        <v>1100000184</v>
      </c>
      <c r="C109" s="21" t="str">
        <f>"مته الماسه شماره 5"</f>
        <v>مته الماسه شماره 5</v>
      </c>
      <c r="D109" s="20" t="str">
        <f>"APLINOX"</f>
        <v>APLINOX</v>
      </c>
      <c r="E109" s="20" t="str">
        <f t="shared" si="9"/>
        <v>عدد</v>
      </c>
      <c r="F109" s="22">
        <v>4</v>
      </c>
      <c r="G109" s="23">
        <v>35000</v>
      </c>
      <c r="H109" s="24">
        <f t="shared" si="7"/>
        <v>140000</v>
      </c>
    </row>
    <row r="110" spans="1:8" s="19" customFormat="1" ht="38.25" customHeight="1">
      <c r="A110" s="20">
        <v>108</v>
      </c>
      <c r="B110" s="20" t="str">
        <f>"1100000185"</f>
        <v>1100000185</v>
      </c>
      <c r="C110" s="21" t="str">
        <f>"مته الماسه شماره 8"</f>
        <v>مته الماسه شماره 8</v>
      </c>
      <c r="D110" s="20" t="str">
        <f>"ALPINOX"</f>
        <v>ALPINOX</v>
      </c>
      <c r="E110" s="20" t="str">
        <f t="shared" si="9"/>
        <v>عدد</v>
      </c>
      <c r="F110" s="22">
        <v>2</v>
      </c>
      <c r="G110" s="23">
        <v>50000</v>
      </c>
      <c r="H110" s="24">
        <f t="shared" si="7"/>
        <v>100000</v>
      </c>
    </row>
    <row r="111" spans="1:8" s="19" customFormat="1" ht="38.25" customHeight="1">
      <c r="A111" s="20">
        <v>109</v>
      </c>
      <c r="B111" s="20" t="str">
        <f>"1100000186"</f>
        <v>1100000186</v>
      </c>
      <c r="C111" s="21" t="str">
        <f>"مته الماسه شماره 10"</f>
        <v>مته الماسه شماره 10</v>
      </c>
      <c r="D111" s="20" t="str">
        <f>"ALPINOX"</f>
        <v>ALPINOX</v>
      </c>
      <c r="E111" s="20" t="str">
        <f t="shared" si="9"/>
        <v>عدد</v>
      </c>
      <c r="F111" s="22">
        <v>4</v>
      </c>
      <c r="G111" s="23">
        <v>70000</v>
      </c>
      <c r="H111" s="18">
        <f t="shared" si="7"/>
        <v>280000</v>
      </c>
    </row>
    <row r="112" spans="1:8" s="19" customFormat="1" ht="38.25" customHeight="1">
      <c r="A112" s="20">
        <v>110</v>
      </c>
      <c r="B112" s="20" t="str">
        <f>"1100000187"</f>
        <v>1100000187</v>
      </c>
      <c r="C112" s="21" t="str">
        <f>"مته مخصوص دريل مگنتي شماره 28"</f>
        <v>مته مخصوص دريل مگنتي شماره 28</v>
      </c>
      <c r="D112" s="20" t="str">
        <f t="shared" ref="D112:D122" si="10">"FEIDA"</f>
        <v>FEIDA</v>
      </c>
      <c r="E112" s="20" t="str">
        <f t="shared" si="9"/>
        <v>عدد</v>
      </c>
      <c r="F112" s="22">
        <v>1</v>
      </c>
      <c r="G112" s="23">
        <v>2500000</v>
      </c>
      <c r="H112" s="24">
        <f t="shared" si="7"/>
        <v>2500000</v>
      </c>
    </row>
    <row r="113" spans="1:8" s="19" customFormat="1" ht="38.25" customHeight="1">
      <c r="A113" s="20">
        <v>111</v>
      </c>
      <c r="B113" s="20" t="str">
        <f>"1100000188"</f>
        <v>1100000188</v>
      </c>
      <c r="C113" s="21" t="str">
        <f>"مته مخصوص دريل مگنتي شماره 20"</f>
        <v>مته مخصوص دريل مگنتي شماره 20</v>
      </c>
      <c r="D113" s="20" t="str">
        <f t="shared" si="10"/>
        <v>FEIDA</v>
      </c>
      <c r="E113" s="20" t="str">
        <f t="shared" si="9"/>
        <v>عدد</v>
      </c>
      <c r="F113" s="22">
        <v>1</v>
      </c>
      <c r="G113" s="23">
        <v>2400000</v>
      </c>
      <c r="H113" s="24">
        <f t="shared" si="7"/>
        <v>2400000</v>
      </c>
    </row>
    <row r="114" spans="1:8" s="19" customFormat="1" ht="38.25" customHeight="1">
      <c r="A114" s="20">
        <v>112</v>
      </c>
      <c r="B114" s="20" t="str">
        <f>"1100000189"</f>
        <v>1100000189</v>
      </c>
      <c r="C114" s="21" t="str">
        <f>"مته مخصوص دريل مگنتي شماره 18/5"</f>
        <v>مته مخصوص دريل مگنتي شماره 18/5</v>
      </c>
      <c r="D114" s="20" t="str">
        <f t="shared" si="10"/>
        <v>FEIDA</v>
      </c>
      <c r="E114" s="20" t="str">
        <f t="shared" si="9"/>
        <v>عدد</v>
      </c>
      <c r="F114" s="22">
        <v>1</v>
      </c>
      <c r="G114" s="23">
        <v>2400000</v>
      </c>
      <c r="H114" s="18">
        <f t="shared" si="7"/>
        <v>2400000</v>
      </c>
    </row>
    <row r="115" spans="1:8" s="19" customFormat="1" ht="38.25" customHeight="1">
      <c r="A115" s="20">
        <v>113</v>
      </c>
      <c r="B115" s="20" t="str">
        <f>"1100000190"</f>
        <v>1100000190</v>
      </c>
      <c r="C115" s="21" t="str">
        <f>"مته مخصوص دريل مگنتي شماره 18"</f>
        <v>مته مخصوص دريل مگنتي شماره 18</v>
      </c>
      <c r="D115" s="20" t="str">
        <f t="shared" si="10"/>
        <v>FEIDA</v>
      </c>
      <c r="E115" s="20" t="str">
        <f t="shared" si="9"/>
        <v>عدد</v>
      </c>
      <c r="F115" s="22">
        <v>1</v>
      </c>
      <c r="G115" s="23">
        <v>2300000</v>
      </c>
      <c r="H115" s="24">
        <f t="shared" si="7"/>
        <v>2300000</v>
      </c>
    </row>
    <row r="116" spans="1:8" s="19" customFormat="1" ht="38.25" customHeight="1">
      <c r="A116" s="20">
        <v>114</v>
      </c>
      <c r="B116" s="20" t="str">
        <f>"1100000191"</f>
        <v>1100000191</v>
      </c>
      <c r="C116" s="21" t="str">
        <f>"مته مخصوص دريل مگنتي شماره 11"</f>
        <v>مته مخصوص دريل مگنتي شماره 11</v>
      </c>
      <c r="D116" s="20" t="str">
        <f t="shared" si="10"/>
        <v>FEIDA</v>
      </c>
      <c r="E116" s="20" t="str">
        <f t="shared" si="9"/>
        <v>عدد</v>
      </c>
      <c r="F116" s="22">
        <v>1</v>
      </c>
      <c r="G116" s="23">
        <v>2000000</v>
      </c>
      <c r="H116" s="24">
        <f t="shared" si="7"/>
        <v>2000000</v>
      </c>
    </row>
    <row r="117" spans="1:8" s="19" customFormat="1" ht="38.25" customHeight="1">
      <c r="A117" s="20">
        <v>115</v>
      </c>
      <c r="B117" s="20" t="str">
        <f>"1100000192"</f>
        <v>1100000192</v>
      </c>
      <c r="C117" s="21" t="str">
        <f>"مته مخصوص دريل مگنتي شماره 14"</f>
        <v>مته مخصوص دريل مگنتي شماره 14</v>
      </c>
      <c r="D117" s="20" t="str">
        <f t="shared" si="10"/>
        <v>FEIDA</v>
      </c>
      <c r="E117" s="20" t="str">
        <f t="shared" si="9"/>
        <v>عدد</v>
      </c>
      <c r="F117" s="22">
        <v>35</v>
      </c>
      <c r="G117" s="23">
        <v>2200000</v>
      </c>
      <c r="H117" s="18">
        <f t="shared" si="7"/>
        <v>77000000</v>
      </c>
    </row>
    <row r="118" spans="1:8" s="19" customFormat="1" ht="38.25" customHeight="1">
      <c r="A118" s="20">
        <v>116</v>
      </c>
      <c r="B118" s="20" t="str">
        <f>"1100000193"</f>
        <v>1100000193</v>
      </c>
      <c r="C118" s="21" t="str">
        <f>"مته مخصوص دريل مگنتي شماره 21"</f>
        <v>مته مخصوص دريل مگنتي شماره 21</v>
      </c>
      <c r="D118" s="20" t="str">
        <f t="shared" si="10"/>
        <v>FEIDA</v>
      </c>
      <c r="E118" s="20" t="str">
        <f t="shared" si="9"/>
        <v>عدد</v>
      </c>
      <c r="F118" s="22">
        <v>14</v>
      </c>
      <c r="G118" s="23">
        <v>2500000</v>
      </c>
      <c r="H118" s="24">
        <f t="shared" si="7"/>
        <v>35000000</v>
      </c>
    </row>
    <row r="119" spans="1:8" s="19" customFormat="1" ht="38.25" customHeight="1">
      <c r="A119" s="20">
        <v>117</v>
      </c>
      <c r="B119" s="20" t="str">
        <f>"1100000194"</f>
        <v>1100000194</v>
      </c>
      <c r="C119" s="21" t="str">
        <f>"مته مخصوص دريل مگنتي شماره 22"</f>
        <v>مته مخصوص دريل مگنتي شماره 22</v>
      </c>
      <c r="D119" s="20" t="str">
        <f t="shared" si="10"/>
        <v>FEIDA</v>
      </c>
      <c r="E119" s="20" t="str">
        <f t="shared" si="9"/>
        <v>عدد</v>
      </c>
      <c r="F119" s="22">
        <v>14</v>
      </c>
      <c r="G119" s="23">
        <v>2700000</v>
      </c>
      <c r="H119" s="24">
        <f t="shared" si="7"/>
        <v>37800000</v>
      </c>
    </row>
    <row r="120" spans="1:8" s="19" customFormat="1" ht="38.25" customHeight="1">
      <c r="A120" s="20">
        <v>118</v>
      </c>
      <c r="B120" s="20" t="str">
        <f>"1100000195"</f>
        <v>1100000195</v>
      </c>
      <c r="C120" s="21" t="str">
        <f>"مته مخصوص دريل مگنتي شماره 23"</f>
        <v>مته مخصوص دريل مگنتي شماره 23</v>
      </c>
      <c r="D120" s="20" t="str">
        <f t="shared" si="10"/>
        <v>FEIDA</v>
      </c>
      <c r="E120" s="20" t="str">
        <f t="shared" si="9"/>
        <v>عدد</v>
      </c>
      <c r="F120" s="22">
        <v>14</v>
      </c>
      <c r="G120" s="23">
        <v>2700000</v>
      </c>
      <c r="H120" s="18">
        <f t="shared" si="7"/>
        <v>37800000</v>
      </c>
    </row>
    <row r="121" spans="1:8" s="19" customFormat="1" ht="38.25" customHeight="1">
      <c r="A121" s="20">
        <v>119</v>
      </c>
      <c r="B121" s="20" t="str">
        <f>"1100000196"</f>
        <v>1100000196</v>
      </c>
      <c r="C121" s="21" t="str">
        <f>"مته مخصوص دريل مگنتي شماره 24"</f>
        <v>مته مخصوص دريل مگنتي شماره 24</v>
      </c>
      <c r="D121" s="20" t="str">
        <f t="shared" si="10"/>
        <v>FEIDA</v>
      </c>
      <c r="E121" s="20" t="str">
        <f t="shared" si="9"/>
        <v>عدد</v>
      </c>
      <c r="F121" s="22">
        <v>14</v>
      </c>
      <c r="G121" s="23">
        <v>3000000</v>
      </c>
      <c r="H121" s="24">
        <f t="shared" si="7"/>
        <v>42000000</v>
      </c>
    </row>
    <row r="122" spans="1:8" s="19" customFormat="1" ht="38.25" customHeight="1">
      <c r="A122" s="20">
        <v>120</v>
      </c>
      <c r="B122" s="20" t="str">
        <f>"1100000197"</f>
        <v>1100000197</v>
      </c>
      <c r="C122" s="21" t="str">
        <f>"مته مخصوص دريل مگنتي شماره 25"</f>
        <v>مته مخصوص دريل مگنتي شماره 25</v>
      </c>
      <c r="D122" s="20" t="str">
        <f t="shared" si="10"/>
        <v>FEIDA</v>
      </c>
      <c r="E122" s="20" t="str">
        <f t="shared" si="9"/>
        <v>عدد</v>
      </c>
      <c r="F122" s="22">
        <v>14</v>
      </c>
      <c r="G122" s="23">
        <v>3000000</v>
      </c>
      <c r="H122" s="24">
        <f t="shared" si="7"/>
        <v>42000000</v>
      </c>
    </row>
    <row r="123" spans="1:8" s="19" customFormat="1" ht="38.25" customHeight="1">
      <c r="A123" s="20">
        <v>121</v>
      </c>
      <c r="B123" s="20" t="str">
        <f>"1100000198"</f>
        <v>1100000198</v>
      </c>
      <c r="C123" s="21" t="str">
        <f>"مته آهن10/2ميليمتر"</f>
        <v>مته آهن10/2ميليمتر</v>
      </c>
      <c r="D123" s="20" t="str">
        <f>""</f>
        <v/>
      </c>
      <c r="E123" s="20" t="str">
        <f t="shared" si="9"/>
        <v>عدد</v>
      </c>
      <c r="F123" s="22">
        <v>95</v>
      </c>
      <c r="G123" s="23">
        <v>250000</v>
      </c>
      <c r="H123" s="18">
        <f t="shared" si="7"/>
        <v>23750000</v>
      </c>
    </row>
    <row r="124" spans="1:8" s="19" customFormat="1" ht="38.25" customHeight="1">
      <c r="A124" s="20">
        <v>122</v>
      </c>
      <c r="B124" s="20" t="str">
        <f>"1200000880"</f>
        <v>1200000880</v>
      </c>
      <c r="C124" s="21" t="str">
        <f>"آچار بكس 6 پر24ميليمتري درايو3/4"</f>
        <v>آچار بكس 6 پر24ميليمتري درايو3/4</v>
      </c>
      <c r="D124" s="20" t="str">
        <f>"درايو 3/4"</f>
        <v>درايو 3/4</v>
      </c>
      <c r="E124" s="20" t="str">
        <f t="shared" si="9"/>
        <v>عدد</v>
      </c>
      <c r="F124" s="22">
        <v>6</v>
      </c>
      <c r="G124" s="23">
        <v>300000</v>
      </c>
      <c r="H124" s="24">
        <f t="shared" si="7"/>
        <v>1800000</v>
      </c>
    </row>
    <row r="125" spans="1:8" s="19" customFormat="1" ht="38.25" customHeight="1">
      <c r="A125" s="20">
        <v>123</v>
      </c>
      <c r="B125" s="20" t="str">
        <f>"1100000200"</f>
        <v>1100000200</v>
      </c>
      <c r="C125" s="21" t="str">
        <f>"سنباده كف ساب-P80"</f>
        <v>سنباده كف ساب-P80</v>
      </c>
      <c r="D125" s="20" t="str">
        <f>"P-80"</f>
        <v>P-80</v>
      </c>
      <c r="E125" s="20" t="str">
        <f t="shared" si="9"/>
        <v>عدد</v>
      </c>
      <c r="F125" s="22">
        <v>44</v>
      </c>
      <c r="G125" s="23">
        <v>45000</v>
      </c>
      <c r="H125" s="24">
        <f t="shared" si="7"/>
        <v>1980000</v>
      </c>
    </row>
    <row r="126" spans="1:8" s="19" customFormat="1" ht="38.25" customHeight="1">
      <c r="A126" s="20">
        <v>124</v>
      </c>
      <c r="B126" s="20" t="str">
        <f>"1100000205"</f>
        <v>1100000205</v>
      </c>
      <c r="C126" s="21" t="str">
        <f>"شير صنعتي آّبسرد کن"</f>
        <v>شير صنعتي آّبسرد کن</v>
      </c>
      <c r="D126" s="20" t="str">
        <f>""</f>
        <v/>
      </c>
      <c r="E126" s="20" t="str">
        <f t="shared" si="9"/>
        <v>عدد</v>
      </c>
      <c r="F126" s="22">
        <v>93</v>
      </c>
      <c r="G126" s="23">
        <v>35000</v>
      </c>
      <c r="H126" s="18">
        <f t="shared" si="7"/>
        <v>3255000</v>
      </c>
    </row>
    <row r="127" spans="1:8" s="19" customFormat="1" ht="38.25" customHeight="1">
      <c r="A127" s="20">
        <v>125</v>
      </c>
      <c r="B127" s="20" t="str">
        <f>"1100000206"</f>
        <v>1100000206</v>
      </c>
      <c r="C127" s="21" t="str">
        <f>"سمباده کف ساب -P220"</f>
        <v>سمباده کف ساب -P220</v>
      </c>
      <c r="D127" s="20" t="str">
        <f>"P-220"</f>
        <v>P-220</v>
      </c>
      <c r="E127" s="20" t="str">
        <f t="shared" si="9"/>
        <v>عدد</v>
      </c>
      <c r="F127" s="22">
        <v>34</v>
      </c>
      <c r="G127" s="23">
        <v>45000</v>
      </c>
      <c r="H127" s="24">
        <f t="shared" si="7"/>
        <v>1530000</v>
      </c>
    </row>
    <row r="128" spans="1:8" s="19" customFormat="1" ht="38.25" customHeight="1">
      <c r="A128" s="20">
        <v>126</v>
      </c>
      <c r="B128" s="20" t="str">
        <f>"1100000207"</f>
        <v>1100000207</v>
      </c>
      <c r="C128" s="21" t="str">
        <f>"سمباده کف ساب -P400"</f>
        <v>سمباده کف ساب -P400</v>
      </c>
      <c r="D128" s="20" t="str">
        <f>""</f>
        <v/>
      </c>
      <c r="E128" s="20" t="str">
        <f t="shared" si="9"/>
        <v>عدد</v>
      </c>
      <c r="F128" s="22">
        <v>45</v>
      </c>
      <c r="G128" s="23">
        <v>45000</v>
      </c>
      <c r="H128" s="24">
        <f t="shared" si="7"/>
        <v>2025000</v>
      </c>
    </row>
    <row r="129" spans="1:8" s="19" customFormat="1" ht="38.25" customHeight="1">
      <c r="A129" s="20">
        <v>127</v>
      </c>
      <c r="B129" s="20" t="str">
        <f>"1100000209"</f>
        <v>1100000209</v>
      </c>
      <c r="C129" s="21" t="str">
        <f>"زغال كربن ماكيتا"</f>
        <v>زغال كربن ماكيتا</v>
      </c>
      <c r="D129" s="20" t="str">
        <f>"CB-204"</f>
        <v>CB-204</v>
      </c>
      <c r="E129" s="20" t="str">
        <f>"جفت"</f>
        <v>جفت</v>
      </c>
      <c r="F129" s="22">
        <v>5</v>
      </c>
      <c r="G129" s="23">
        <v>60000</v>
      </c>
      <c r="H129" s="18">
        <f t="shared" si="7"/>
        <v>300000</v>
      </c>
    </row>
    <row r="130" spans="1:8" s="19" customFormat="1" ht="38.25" customHeight="1">
      <c r="A130" s="20">
        <v>128</v>
      </c>
      <c r="B130" s="20" t="str">
        <f>"1100000025"</f>
        <v>1100000025</v>
      </c>
      <c r="C130" s="21" t="str">
        <f>"مته الماسه دو شياره6"</f>
        <v>مته الماسه دو شياره6</v>
      </c>
      <c r="D130" s="20" t="str">
        <f>""</f>
        <v/>
      </c>
      <c r="E130" s="20" t="str">
        <f t="shared" ref="E130:E152" si="11">"عدد"</f>
        <v>عدد</v>
      </c>
      <c r="F130" s="22">
        <v>330</v>
      </c>
      <c r="G130" s="23">
        <v>70000</v>
      </c>
      <c r="H130" s="24">
        <f t="shared" si="7"/>
        <v>23100000</v>
      </c>
    </row>
    <row r="131" spans="1:8" s="19" customFormat="1" ht="38.25" customHeight="1">
      <c r="A131" s="20">
        <v>129</v>
      </c>
      <c r="B131" s="20" t="str">
        <f>"1100000028"</f>
        <v>1100000028</v>
      </c>
      <c r="C131" s="21" t="str">
        <f>"مته الماسه دو شيار8"</f>
        <v>مته الماسه دو شيار8</v>
      </c>
      <c r="D131" s="20" t="str">
        <f>""</f>
        <v/>
      </c>
      <c r="E131" s="20" t="str">
        <f t="shared" si="11"/>
        <v>عدد</v>
      </c>
      <c r="F131" s="22">
        <v>14</v>
      </c>
      <c r="G131" s="23">
        <v>80000</v>
      </c>
      <c r="H131" s="24">
        <f t="shared" si="7"/>
        <v>1120000</v>
      </c>
    </row>
    <row r="132" spans="1:8" s="19" customFormat="1" ht="38.25" customHeight="1">
      <c r="A132" s="20">
        <v>130</v>
      </c>
      <c r="B132" s="20" t="str">
        <f>"1100000029"</f>
        <v>1100000029</v>
      </c>
      <c r="C132" s="21" t="str">
        <f>"مته الماسه دو شيار10"</f>
        <v>مته الماسه دو شيار10</v>
      </c>
      <c r="D132" s="20" t="str">
        <f>""</f>
        <v/>
      </c>
      <c r="E132" s="20" t="str">
        <f t="shared" si="11"/>
        <v>عدد</v>
      </c>
      <c r="F132" s="22">
        <v>43</v>
      </c>
      <c r="G132" s="23">
        <v>100000</v>
      </c>
      <c r="H132" s="18">
        <f t="shared" si="7"/>
        <v>4300000</v>
      </c>
    </row>
    <row r="133" spans="1:8" s="19" customFormat="1" ht="38.25" customHeight="1">
      <c r="A133" s="20">
        <v>131</v>
      </c>
      <c r="B133" s="20" t="str">
        <f>"1100000030"</f>
        <v>1100000030</v>
      </c>
      <c r="C133" s="21" t="str">
        <f>"مته الماسه دو شيار12"</f>
        <v>مته الماسه دو شيار12</v>
      </c>
      <c r="D133" s="20" t="str">
        <f>""</f>
        <v/>
      </c>
      <c r="E133" s="20" t="str">
        <f t="shared" si="11"/>
        <v>عدد</v>
      </c>
      <c r="F133" s="22">
        <v>8</v>
      </c>
      <c r="G133" s="23">
        <v>120000</v>
      </c>
      <c r="H133" s="24">
        <f t="shared" si="7"/>
        <v>960000</v>
      </c>
    </row>
    <row r="134" spans="1:8" s="19" customFormat="1" ht="38.25" customHeight="1">
      <c r="A134" s="20">
        <v>132</v>
      </c>
      <c r="B134" s="20" t="str">
        <f>"1100000031"</f>
        <v>1100000031</v>
      </c>
      <c r="C134" s="21" t="str">
        <f>"مته الماسه دو شيار 15"</f>
        <v>مته الماسه دو شيار 15</v>
      </c>
      <c r="D134" s="20" t="str">
        <f>""</f>
        <v/>
      </c>
      <c r="E134" s="20" t="str">
        <f t="shared" si="11"/>
        <v>عدد</v>
      </c>
      <c r="F134" s="22">
        <v>66</v>
      </c>
      <c r="G134" s="23">
        <v>130000</v>
      </c>
      <c r="H134" s="24">
        <f t="shared" ref="H134:H197" si="12">F134*G134</f>
        <v>8580000</v>
      </c>
    </row>
    <row r="135" spans="1:8" s="19" customFormat="1" ht="38.25" customHeight="1">
      <c r="A135" s="20">
        <v>133</v>
      </c>
      <c r="B135" s="20" t="str">
        <f>"1100000032"</f>
        <v>1100000032</v>
      </c>
      <c r="C135" s="21" t="str">
        <f>"مته الماسه شماره12"</f>
        <v>مته الماسه شماره12</v>
      </c>
      <c r="D135" s="20" t="str">
        <f>""</f>
        <v/>
      </c>
      <c r="E135" s="20" t="str">
        <f t="shared" si="11"/>
        <v>عدد</v>
      </c>
      <c r="F135" s="22">
        <v>18</v>
      </c>
      <c r="G135" s="23">
        <v>120000</v>
      </c>
      <c r="H135" s="18">
        <f t="shared" si="12"/>
        <v>2160000</v>
      </c>
    </row>
    <row r="136" spans="1:8" s="19" customFormat="1" ht="38.25" customHeight="1">
      <c r="A136" s="20">
        <v>134</v>
      </c>
      <c r="B136" s="20" t="str">
        <f>"1100000034"</f>
        <v>1100000034</v>
      </c>
      <c r="C136" s="21" t="str">
        <f>"مته الماسه 4شيار 16"</f>
        <v>مته الماسه 4شيار 16</v>
      </c>
      <c r="D136" s="20" t="str">
        <f>""</f>
        <v/>
      </c>
      <c r="E136" s="20" t="str">
        <f t="shared" si="11"/>
        <v>عدد</v>
      </c>
      <c r="F136" s="22">
        <v>2</v>
      </c>
      <c r="G136" s="23">
        <v>150000</v>
      </c>
      <c r="H136" s="24">
        <f t="shared" si="12"/>
        <v>300000</v>
      </c>
    </row>
    <row r="137" spans="1:8" s="19" customFormat="1" ht="38.25" customHeight="1">
      <c r="A137" s="20">
        <v>135</v>
      </c>
      <c r="B137" s="20" t="str">
        <f>"1100000038"</f>
        <v>1100000038</v>
      </c>
      <c r="C137" s="21" t="str">
        <f>"مته الماسه 13"</f>
        <v>مته الماسه 13</v>
      </c>
      <c r="D137" s="20" t="str">
        <f>""</f>
        <v/>
      </c>
      <c r="E137" s="20" t="str">
        <f t="shared" si="11"/>
        <v>عدد</v>
      </c>
      <c r="F137" s="22">
        <v>20</v>
      </c>
      <c r="G137" s="23">
        <v>100000</v>
      </c>
      <c r="H137" s="24">
        <f t="shared" si="12"/>
        <v>2000000</v>
      </c>
    </row>
    <row r="138" spans="1:8" s="19" customFormat="1" ht="38.25" customHeight="1">
      <c r="A138" s="20">
        <v>136</v>
      </c>
      <c r="B138" s="20" t="str">
        <f>"1100000042"</f>
        <v>1100000042</v>
      </c>
      <c r="C138" s="21" t="str">
        <f>"مته الماسه شماره14"</f>
        <v>مته الماسه شماره14</v>
      </c>
      <c r="D138" s="20" t="str">
        <f>""</f>
        <v/>
      </c>
      <c r="E138" s="20" t="str">
        <f t="shared" si="11"/>
        <v>عدد</v>
      </c>
      <c r="F138" s="22">
        <v>5</v>
      </c>
      <c r="G138" s="23">
        <v>120000</v>
      </c>
      <c r="H138" s="18">
        <f t="shared" si="12"/>
        <v>600000</v>
      </c>
    </row>
    <row r="139" spans="1:8" s="19" customFormat="1" ht="38.25" customHeight="1">
      <c r="A139" s="20">
        <v>137</v>
      </c>
      <c r="B139" s="20" t="str">
        <f>"1100000045"</f>
        <v>1100000045</v>
      </c>
      <c r="C139" s="21" t="str">
        <f>"مته الماسه شماره15"</f>
        <v>مته الماسه شماره15</v>
      </c>
      <c r="D139" s="20" t="str">
        <f>""</f>
        <v/>
      </c>
      <c r="E139" s="20" t="str">
        <f t="shared" si="11"/>
        <v>عدد</v>
      </c>
      <c r="F139" s="22">
        <v>5</v>
      </c>
      <c r="G139" s="23">
        <v>130000</v>
      </c>
      <c r="H139" s="24">
        <f t="shared" si="12"/>
        <v>650000</v>
      </c>
    </row>
    <row r="140" spans="1:8" s="19" customFormat="1" ht="38.25" customHeight="1">
      <c r="A140" s="20">
        <v>138</v>
      </c>
      <c r="B140" s="20" t="str">
        <f>"1100000046"</f>
        <v>1100000046</v>
      </c>
      <c r="C140" s="21" t="str">
        <f>"مته الماسه شماره16"</f>
        <v>مته الماسه شماره16</v>
      </c>
      <c r="D140" s="20" t="str">
        <f>""</f>
        <v/>
      </c>
      <c r="E140" s="20" t="str">
        <f t="shared" si="11"/>
        <v>عدد</v>
      </c>
      <c r="F140" s="22">
        <v>2</v>
      </c>
      <c r="G140" s="23">
        <v>150000</v>
      </c>
      <c r="H140" s="24">
        <f t="shared" si="12"/>
        <v>300000</v>
      </c>
    </row>
    <row r="141" spans="1:8" s="19" customFormat="1" ht="38.25" customHeight="1">
      <c r="A141" s="20">
        <v>139</v>
      </c>
      <c r="B141" s="20" t="str">
        <f>"1100000049"</f>
        <v>1100000049</v>
      </c>
      <c r="C141" s="21" t="str">
        <f>"مته الماسه شماره18"</f>
        <v>مته الماسه شماره18</v>
      </c>
      <c r="D141" s="20" t="str">
        <f>""</f>
        <v/>
      </c>
      <c r="E141" s="20" t="str">
        <f t="shared" si="11"/>
        <v>عدد</v>
      </c>
      <c r="F141" s="22">
        <v>2</v>
      </c>
      <c r="G141" s="23">
        <v>200000</v>
      </c>
      <c r="H141" s="18">
        <f t="shared" si="12"/>
        <v>400000</v>
      </c>
    </row>
    <row r="142" spans="1:8" s="19" customFormat="1" ht="38.25" customHeight="1">
      <c r="A142" s="20">
        <v>140</v>
      </c>
      <c r="B142" s="20" t="str">
        <f>"1100000050"</f>
        <v>1100000050</v>
      </c>
      <c r="C142" s="21" t="str">
        <f>"مته گرد بر الماسه"</f>
        <v>مته گرد بر الماسه</v>
      </c>
      <c r="D142" s="20" t="str">
        <f>""</f>
        <v/>
      </c>
      <c r="E142" s="20" t="str">
        <f t="shared" si="11"/>
        <v>عدد</v>
      </c>
      <c r="F142" s="22">
        <v>1</v>
      </c>
      <c r="G142" s="23">
        <v>70000</v>
      </c>
      <c r="H142" s="24">
        <f t="shared" si="12"/>
        <v>70000</v>
      </c>
    </row>
    <row r="143" spans="1:8" s="19" customFormat="1" ht="38.25" customHeight="1">
      <c r="A143" s="20">
        <v>141</v>
      </c>
      <c r="B143" s="20" t="str">
        <f>"1100000056"</f>
        <v>1100000056</v>
      </c>
      <c r="C143" s="21" t="str">
        <f>"تيغ موکت بر"</f>
        <v>تيغ موکت بر</v>
      </c>
      <c r="D143" s="20" t="str">
        <f>""</f>
        <v/>
      </c>
      <c r="E143" s="20" t="str">
        <f t="shared" si="11"/>
        <v>عدد</v>
      </c>
      <c r="F143" s="22">
        <v>770</v>
      </c>
      <c r="G143" s="23">
        <v>2500</v>
      </c>
      <c r="H143" s="24">
        <f t="shared" si="12"/>
        <v>1925000</v>
      </c>
    </row>
    <row r="144" spans="1:8" s="19" customFormat="1" ht="38.25" customHeight="1">
      <c r="A144" s="20">
        <v>142</v>
      </c>
      <c r="B144" s="20" t="str">
        <f>"1100000067"</f>
        <v>1100000067</v>
      </c>
      <c r="C144" s="21" t="str">
        <f>"مته آهن m29/8"</f>
        <v>مته آهن m29/8</v>
      </c>
      <c r="D144" s="20" t="str">
        <f>""</f>
        <v/>
      </c>
      <c r="E144" s="20" t="str">
        <f t="shared" si="11"/>
        <v>عدد</v>
      </c>
      <c r="F144" s="22">
        <v>4</v>
      </c>
      <c r="G144" s="23">
        <v>2250000</v>
      </c>
      <c r="H144" s="18">
        <f t="shared" si="12"/>
        <v>9000000</v>
      </c>
    </row>
    <row r="145" spans="1:8" s="19" customFormat="1" ht="38.25" customHeight="1">
      <c r="A145" s="20">
        <v>143</v>
      </c>
      <c r="B145" s="20" t="str">
        <f>"1100000096"</f>
        <v>1100000096</v>
      </c>
      <c r="C145" s="21" t="str">
        <f>"قفل کمد"</f>
        <v>قفل کمد</v>
      </c>
      <c r="D145" s="20" t="str">
        <f>""</f>
        <v/>
      </c>
      <c r="E145" s="20" t="str">
        <f t="shared" si="11"/>
        <v>عدد</v>
      </c>
      <c r="F145" s="22">
        <v>20</v>
      </c>
      <c r="G145" s="23">
        <v>25000</v>
      </c>
      <c r="H145" s="24">
        <f t="shared" si="12"/>
        <v>500000</v>
      </c>
    </row>
    <row r="146" spans="1:8" s="19" customFormat="1" ht="38.25" customHeight="1">
      <c r="A146" s="20">
        <v>144</v>
      </c>
      <c r="B146" s="20" t="str">
        <f>"1100000102"</f>
        <v>1100000102</v>
      </c>
      <c r="C146" s="21" t="str">
        <f>"چپقي 3/4اينچ"</f>
        <v>چپقي 3/4اينچ</v>
      </c>
      <c r="D146" s="20" t="str">
        <f>""</f>
        <v/>
      </c>
      <c r="E146" s="20" t="str">
        <f t="shared" si="11"/>
        <v>عدد</v>
      </c>
      <c r="F146" s="22">
        <v>2</v>
      </c>
      <c r="G146" s="23">
        <v>25000</v>
      </c>
      <c r="H146" s="24">
        <f t="shared" si="12"/>
        <v>50000</v>
      </c>
    </row>
    <row r="147" spans="1:8" s="19" customFormat="1" ht="38.25" customHeight="1">
      <c r="A147" s="20">
        <v>145</v>
      </c>
      <c r="B147" s="20" t="str">
        <f>"1100000103"</f>
        <v>1100000103</v>
      </c>
      <c r="C147" s="21" t="str">
        <f>"تبديل (مغزي)3/4به1اينچ"</f>
        <v>تبديل (مغزي)3/4به1اينچ</v>
      </c>
      <c r="D147" s="20" t="str">
        <f>""</f>
        <v/>
      </c>
      <c r="E147" s="20" t="str">
        <f t="shared" si="11"/>
        <v>عدد</v>
      </c>
      <c r="F147" s="22">
        <v>7</v>
      </c>
      <c r="G147" s="23">
        <v>20000</v>
      </c>
      <c r="H147" s="18">
        <f t="shared" si="12"/>
        <v>140000</v>
      </c>
    </row>
    <row r="148" spans="1:8" s="19" customFormat="1" ht="38.25" customHeight="1">
      <c r="A148" s="20">
        <v>146</v>
      </c>
      <c r="B148" s="20" t="str">
        <f>"1100000104"</f>
        <v>1100000104</v>
      </c>
      <c r="C148" s="21" t="str">
        <f>"مغزي3/4اينچ"</f>
        <v>مغزي3/4اينچ</v>
      </c>
      <c r="D148" s="20" t="str">
        <f>""</f>
        <v/>
      </c>
      <c r="E148" s="20" t="str">
        <f t="shared" si="11"/>
        <v>عدد</v>
      </c>
      <c r="F148" s="22">
        <v>9</v>
      </c>
      <c r="G148" s="23">
        <v>20000</v>
      </c>
      <c r="H148" s="24">
        <f t="shared" si="12"/>
        <v>180000</v>
      </c>
    </row>
    <row r="149" spans="1:8" s="19" customFormat="1" ht="38.25" customHeight="1">
      <c r="A149" s="20">
        <v>147</v>
      </c>
      <c r="B149" s="20" t="str">
        <f>"1100000105"</f>
        <v>1100000105</v>
      </c>
      <c r="C149" s="21" t="str">
        <f>"چپقي گالوانيزه1/2اينچ"</f>
        <v>چپقي گالوانيزه1/2اينچ</v>
      </c>
      <c r="D149" s="20" t="str">
        <f>""</f>
        <v/>
      </c>
      <c r="E149" s="20" t="str">
        <f t="shared" si="11"/>
        <v>عدد</v>
      </c>
      <c r="F149" s="22">
        <v>1</v>
      </c>
      <c r="G149" s="23">
        <v>15000</v>
      </c>
      <c r="H149" s="24">
        <f t="shared" si="12"/>
        <v>15000</v>
      </c>
    </row>
    <row r="150" spans="1:8" s="19" customFormat="1" ht="38.25" customHeight="1">
      <c r="A150" s="20">
        <v>148</v>
      </c>
      <c r="B150" s="20" t="str">
        <f>"1100000107"</f>
        <v>1100000107</v>
      </c>
      <c r="C150" s="21" t="str">
        <f>"بوشن گالوانيزه 3/4اينچ"</f>
        <v>بوشن گالوانيزه 3/4اينچ</v>
      </c>
      <c r="D150" s="20" t="str">
        <f>"گالوانيزه"</f>
        <v>گالوانيزه</v>
      </c>
      <c r="E150" s="20" t="str">
        <f t="shared" si="11"/>
        <v>عدد</v>
      </c>
      <c r="F150" s="22">
        <v>1</v>
      </c>
      <c r="G150" s="23">
        <v>20000</v>
      </c>
      <c r="H150" s="18">
        <f t="shared" si="12"/>
        <v>20000</v>
      </c>
    </row>
    <row r="151" spans="1:8" s="19" customFormat="1" ht="38.25" customHeight="1">
      <c r="A151" s="20">
        <v>149</v>
      </c>
      <c r="B151" s="20" t="str">
        <f>"1100000112"</f>
        <v>1100000112</v>
      </c>
      <c r="C151" s="21" t="str">
        <f>"تبديل 1/2به 3/4-بوشن"</f>
        <v>تبديل 1/2به 3/4-بوشن</v>
      </c>
      <c r="D151" s="20" t="str">
        <f>""</f>
        <v/>
      </c>
      <c r="E151" s="20" t="str">
        <f t="shared" si="11"/>
        <v>عدد</v>
      </c>
      <c r="F151" s="22">
        <v>1</v>
      </c>
      <c r="G151" s="23">
        <v>20000</v>
      </c>
      <c r="H151" s="24">
        <f t="shared" si="12"/>
        <v>20000</v>
      </c>
    </row>
    <row r="152" spans="1:8" s="19" customFormat="1" ht="38.25" customHeight="1">
      <c r="A152" s="20">
        <v>150</v>
      </c>
      <c r="B152" s="20" t="str">
        <f>"1100000222"</f>
        <v>1100000222</v>
      </c>
      <c r="C152" s="21" t="str">
        <f>"مته گردبر الماسه"</f>
        <v>مته گردبر الماسه</v>
      </c>
      <c r="D152" s="20" t="s">
        <v>28</v>
      </c>
      <c r="E152" s="20" t="str">
        <f t="shared" si="11"/>
        <v>عدد</v>
      </c>
      <c r="F152" s="22">
        <v>1</v>
      </c>
      <c r="G152" s="23">
        <v>1200000</v>
      </c>
      <c r="H152" s="24">
        <f t="shared" si="12"/>
        <v>1200000</v>
      </c>
    </row>
    <row r="153" spans="1:8" s="19" customFormat="1" ht="38.25" customHeight="1">
      <c r="A153" s="20">
        <v>151</v>
      </c>
      <c r="B153" s="20" t="str">
        <f>"1100000224"</f>
        <v>1100000224</v>
      </c>
      <c r="C153" s="21" t="str">
        <f>"ست برشكاري-برنال+دستكش-شيلنگ-نازل"</f>
        <v>ست برشكاري-برنال+دستكش-شيلنگ-نازل</v>
      </c>
      <c r="D153" s="20" t="str">
        <f>"05-1mm-1-2mm-2-4mm"</f>
        <v>05-1mm-1-2mm-2-4mm</v>
      </c>
      <c r="E153" s="20" t="str">
        <f>"ست"</f>
        <v>ست</v>
      </c>
      <c r="F153" s="22">
        <v>1</v>
      </c>
      <c r="G153" s="23">
        <v>3500000</v>
      </c>
      <c r="H153" s="18">
        <f t="shared" si="12"/>
        <v>3500000</v>
      </c>
    </row>
    <row r="154" spans="1:8" s="19" customFormat="1" ht="38.25" customHeight="1">
      <c r="A154" s="20">
        <v>152</v>
      </c>
      <c r="B154" s="20" t="str">
        <f>"1100000226"</f>
        <v>1100000226</v>
      </c>
      <c r="C154" s="21" t="str">
        <f>"تيغه كمان اره"</f>
        <v>تيغه كمان اره</v>
      </c>
      <c r="D154" s="20" t="str">
        <f>""</f>
        <v/>
      </c>
      <c r="E154" s="20" t="str">
        <f>"عدد"</f>
        <v>عدد</v>
      </c>
      <c r="F154" s="22">
        <v>108</v>
      </c>
      <c r="G154" s="23">
        <v>400000</v>
      </c>
      <c r="H154" s="24">
        <f t="shared" si="12"/>
        <v>43200000</v>
      </c>
    </row>
    <row r="155" spans="1:8" s="19" customFormat="1" ht="38.25" customHeight="1">
      <c r="A155" s="20">
        <v>153</v>
      </c>
      <c r="B155" s="20" t="str">
        <f>"1100000228"</f>
        <v>1100000228</v>
      </c>
      <c r="C155" s="21" t="str">
        <f>"اسپري حشره کش-تار ومار"</f>
        <v>اسپري حشره کش-تار ومار</v>
      </c>
      <c r="D155" s="20" t="str">
        <f>"بي بو"</f>
        <v>بي بو</v>
      </c>
      <c r="E155" s="20" t="str">
        <f>"عدد"</f>
        <v>عدد</v>
      </c>
      <c r="F155" s="22">
        <v>1</v>
      </c>
      <c r="G155" s="23">
        <v>75000</v>
      </c>
      <c r="H155" s="24">
        <f t="shared" si="12"/>
        <v>75000</v>
      </c>
    </row>
    <row r="156" spans="1:8" s="19" customFormat="1" ht="38.25" customHeight="1">
      <c r="A156" s="20">
        <v>154</v>
      </c>
      <c r="B156" s="20" t="str">
        <f>"1100000232"</f>
        <v>1100000232</v>
      </c>
      <c r="C156" s="21" t="str">
        <f>"شيلنگ معمولي آب سايز1/2اينچ"</f>
        <v>شيلنگ معمولي آب سايز1/2اينچ</v>
      </c>
      <c r="D156" s="20" t="str">
        <f>"1/2اينچ"</f>
        <v>1/2اينچ</v>
      </c>
      <c r="E156" s="20" t="str">
        <f>"متر"</f>
        <v>متر</v>
      </c>
      <c r="F156" s="22">
        <v>50</v>
      </c>
      <c r="G156" s="23">
        <v>15000</v>
      </c>
      <c r="H156" s="18">
        <f t="shared" si="12"/>
        <v>750000</v>
      </c>
    </row>
    <row r="157" spans="1:8" s="19" customFormat="1" ht="38.25" customHeight="1">
      <c r="A157" s="20">
        <v>155</v>
      </c>
      <c r="B157" s="20" t="str">
        <f>"1100000234"</f>
        <v>1100000234</v>
      </c>
      <c r="C157" s="21" t="str">
        <f>"شيلنگ معمولي آب سايز 1اينچ"</f>
        <v>شيلنگ معمولي آب سايز 1اينچ</v>
      </c>
      <c r="D157" s="20" t="str">
        <f>"1 اينچ"</f>
        <v>1 اينچ</v>
      </c>
      <c r="E157" s="20" t="str">
        <f>"متر"</f>
        <v>متر</v>
      </c>
      <c r="F157" s="22">
        <v>30</v>
      </c>
      <c r="G157" s="23">
        <v>35000</v>
      </c>
      <c r="H157" s="24">
        <f t="shared" si="12"/>
        <v>1050000</v>
      </c>
    </row>
    <row r="158" spans="1:8" s="19" customFormat="1" ht="38.25" customHeight="1">
      <c r="A158" s="20">
        <v>156</v>
      </c>
      <c r="B158" s="20" t="str">
        <f>"1100000236"</f>
        <v>1100000236</v>
      </c>
      <c r="C158" s="21" t="str">
        <f>"شيلنگ آتش نشاني -سايز 2اينچ"</f>
        <v>شيلنگ آتش نشاني -سايز 2اينچ</v>
      </c>
      <c r="D158" s="20" t="str">
        <f>"2اينچ"</f>
        <v>2اينچ</v>
      </c>
      <c r="E158" s="20" t="str">
        <f>"متر"</f>
        <v>متر</v>
      </c>
      <c r="F158" s="22">
        <v>97</v>
      </c>
      <c r="G158" s="23">
        <v>70000</v>
      </c>
      <c r="H158" s="24">
        <f t="shared" si="12"/>
        <v>6790000</v>
      </c>
    </row>
    <row r="159" spans="1:8" s="19" customFormat="1" ht="38.25" customHeight="1">
      <c r="A159" s="20">
        <v>157</v>
      </c>
      <c r="B159" s="20" t="str">
        <f>"1100000243"</f>
        <v>1100000243</v>
      </c>
      <c r="C159" s="21" t="str">
        <f>"بست فشار قوي شيلنگ پيچ ومهره دار-سايز4/5اينچ"</f>
        <v>بست فشار قوي شيلنگ پيچ ومهره دار-سايز4/5اينچ</v>
      </c>
      <c r="D159" s="20" t="str">
        <f>"فشار قوي"</f>
        <v>فشار قوي</v>
      </c>
      <c r="E159" s="20" t="str">
        <f t="shared" ref="E159:E160" si="13">"عدد"</f>
        <v>عدد</v>
      </c>
      <c r="F159" s="22">
        <v>25</v>
      </c>
      <c r="G159" s="23">
        <v>120000</v>
      </c>
      <c r="H159" s="18">
        <f t="shared" si="12"/>
        <v>3000000</v>
      </c>
    </row>
    <row r="160" spans="1:8" s="19" customFormat="1" ht="38.25" customHeight="1">
      <c r="A160" s="20">
        <v>158</v>
      </c>
      <c r="B160" s="20" t="str">
        <f>"1100000244"</f>
        <v>1100000244</v>
      </c>
      <c r="C160" s="21" t="str">
        <f>"بست فشار قوي شيلنگ پيچ ومهره دار-سايز5اينچ"</f>
        <v>بست فشار قوي شيلنگ پيچ ومهره دار-سايز5اينچ</v>
      </c>
      <c r="D160" s="20" t="str">
        <f>"فشار قوي"</f>
        <v>فشار قوي</v>
      </c>
      <c r="E160" s="20" t="str">
        <f t="shared" si="13"/>
        <v>عدد</v>
      </c>
      <c r="F160" s="22">
        <v>25</v>
      </c>
      <c r="G160" s="23">
        <v>150000</v>
      </c>
      <c r="H160" s="24">
        <f t="shared" si="12"/>
        <v>3750000</v>
      </c>
    </row>
    <row r="161" spans="1:8" s="19" customFormat="1" ht="38.25" customHeight="1">
      <c r="A161" s="20">
        <v>159</v>
      </c>
      <c r="B161" s="20" t="str">
        <f>"1100000246"</f>
        <v>1100000246</v>
      </c>
      <c r="C161" s="21" t="str">
        <f>"در پوش آب1/2-اينچ-گالوانيزه"</f>
        <v>در پوش آب1/2-اينچ-گالوانيزه</v>
      </c>
      <c r="D161" s="20" t="str">
        <f>""</f>
        <v/>
      </c>
      <c r="E161" s="20" t="str">
        <f>"عدد"</f>
        <v>عدد</v>
      </c>
      <c r="F161" s="22">
        <v>10</v>
      </c>
      <c r="G161" s="23">
        <v>10000</v>
      </c>
      <c r="H161" s="24">
        <f t="shared" si="12"/>
        <v>100000</v>
      </c>
    </row>
    <row r="162" spans="1:8" s="19" customFormat="1" ht="38.25" customHeight="1">
      <c r="A162" s="20">
        <v>160</v>
      </c>
      <c r="B162" s="20" t="str">
        <f>"1100000247"</f>
        <v>1100000247</v>
      </c>
      <c r="C162" s="21" t="str">
        <f>"درپوش آب3/4اينچ-گالوانيزه"</f>
        <v>درپوش آب3/4اينچ-گالوانيزه</v>
      </c>
      <c r="D162" s="20" t="str">
        <f>""</f>
        <v/>
      </c>
      <c r="E162" s="20" t="str">
        <f>"عدد"</f>
        <v>عدد</v>
      </c>
      <c r="F162" s="22">
        <v>10</v>
      </c>
      <c r="G162" s="23">
        <v>15000</v>
      </c>
      <c r="H162" s="18">
        <f t="shared" si="12"/>
        <v>150000</v>
      </c>
    </row>
    <row r="163" spans="1:8" s="19" customFormat="1" ht="38.25" customHeight="1">
      <c r="A163" s="20">
        <v>161</v>
      </c>
      <c r="B163" s="20" t="str">
        <f>"1100000248"</f>
        <v>1100000248</v>
      </c>
      <c r="C163" s="21" t="str">
        <f>"درپوش آب 1اينچ-گالوانيزه"</f>
        <v>درپوش آب 1اينچ-گالوانيزه</v>
      </c>
      <c r="D163" s="20" t="str">
        <f>""</f>
        <v/>
      </c>
      <c r="E163" s="20" t="str">
        <f>"عدد"</f>
        <v>عدد</v>
      </c>
      <c r="F163" s="22">
        <v>10</v>
      </c>
      <c r="G163" s="23">
        <v>25000</v>
      </c>
      <c r="H163" s="24">
        <f t="shared" si="12"/>
        <v>250000</v>
      </c>
    </row>
    <row r="164" spans="1:8" s="19" customFormat="1" ht="38.25" customHeight="1">
      <c r="A164" s="20">
        <v>162</v>
      </c>
      <c r="B164" s="20" t="str">
        <f>"1100000252"</f>
        <v>1100000252</v>
      </c>
      <c r="C164" s="21" t="str">
        <f>"بست شيلنگ (سيمي)1/2اينچ"</f>
        <v>بست شيلنگ (سيمي)1/2اينچ</v>
      </c>
      <c r="D164" s="20" t="str">
        <f>"1/2اينچ"</f>
        <v>1/2اينچ</v>
      </c>
      <c r="E164" s="20" t="str">
        <f t="shared" ref="E164:E168" si="14">"عدد"</f>
        <v>عدد</v>
      </c>
      <c r="F164" s="22">
        <v>30</v>
      </c>
      <c r="G164" s="23">
        <v>10000</v>
      </c>
      <c r="H164" s="24">
        <f t="shared" si="12"/>
        <v>300000</v>
      </c>
    </row>
    <row r="165" spans="1:8" s="19" customFormat="1" ht="38.25" customHeight="1">
      <c r="A165" s="20">
        <v>163</v>
      </c>
      <c r="B165" s="20" t="str">
        <f>"1100000253"</f>
        <v>1100000253</v>
      </c>
      <c r="C165" s="21" t="str">
        <f>"بست شيلنگ 3/4اينچ-سيمي"</f>
        <v>بست شيلنگ 3/4اينچ-سيمي</v>
      </c>
      <c r="D165" s="20" t="str">
        <f>"3/4اينچ"</f>
        <v>3/4اينچ</v>
      </c>
      <c r="E165" s="20" t="str">
        <f t="shared" si="14"/>
        <v>عدد</v>
      </c>
      <c r="F165" s="22">
        <v>28</v>
      </c>
      <c r="G165" s="23">
        <v>150000</v>
      </c>
      <c r="H165" s="18">
        <f t="shared" si="12"/>
        <v>4200000</v>
      </c>
    </row>
    <row r="166" spans="1:8" s="19" customFormat="1" ht="38.25" customHeight="1">
      <c r="A166" s="20">
        <v>164</v>
      </c>
      <c r="B166" s="20" t="str">
        <f>"1100000254"</f>
        <v>1100000254</v>
      </c>
      <c r="C166" s="21" t="str">
        <f>"بست شيلنگ 1اينچ-سيمي"</f>
        <v>بست شيلنگ 1اينچ-سيمي</v>
      </c>
      <c r="D166" s="20" t="str">
        <f>"1اينچ"</f>
        <v>1اينچ</v>
      </c>
      <c r="E166" s="20" t="str">
        <f t="shared" si="14"/>
        <v>عدد</v>
      </c>
      <c r="F166" s="22">
        <v>36</v>
      </c>
      <c r="G166" s="23">
        <v>20000</v>
      </c>
      <c r="H166" s="24">
        <f t="shared" si="12"/>
        <v>720000</v>
      </c>
    </row>
    <row r="167" spans="1:8" s="19" customFormat="1" ht="38.25" customHeight="1">
      <c r="A167" s="20">
        <v>165</v>
      </c>
      <c r="B167" s="20" t="str">
        <f>"1100000264"</f>
        <v>1100000264</v>
      </c>
      <c r="C167" s="21" t="str">
        <f>"تيغ فرز انگشتي شماره 8(تراشكاري)"</f>
        <v>تيغ فرز انگشتي شماره 8(تراشكاري)</v>
      </c>
      <c r="D167" s="20" t="str">
        <f>"شماره 8"</f>
        <v>شماره 8</v>
      </c>
      <c r="E167" s="20" t="str">
        <f t="shared" si="14"/>
        <v>عدد</v>
      </c>
      <c r="F167" s="22">
        <v>2</v>
      </c>
      <c r="G167" s="23">
        <v>350000</v>
      </c>
      <c r="H167" s="24">
        <f t="shared" si="12"/>
        <v>700000</v>
      </c>
    </row>
    <row r="168" spans="1:8" s="19" customFormat="1" ht="38.25" customHeight="1">
      <c r="A168" s="20">
        <v>166</v>
      </c>
      <c r="B168" s="20" t="str">
        <f>"1100000267"</f>
        <v>1100000267</v>
      </c>
      <c r="C168" s="21" t="str">
        <f>"تيغ فرز انگشتي شماره 50"</f>
        <v>تيغ فرز انگشتي شماره 50</v>
      </c>
      <c r="D168" s="20" t="str">
        <f>""</f>
        <v/>
      </c>
      <c r="E168" s="20" t="str">
        <f t="shared" si="14"/>
        <v>عدد</v>
      </c>
      <c r="F168" s="22">
        <v>1</v>
      </c>
      <c r="G168" s="23">
        <v>6000000</v>
      </c>
      <c r="H168" s="18">
        <f t="shared" si="12"/>
        <v>6000000</v>
      </c>
    </row>
    <row r="169" spans="1:8" s="19" customFormat="1" ht="38.25" customHeight="1">
      <c r="A169" s="20">
        <v>167</v>
      </c>
      <c r="B169" s="20" t="str">
        <f>"1100000269"</f>
        <v>1100000269</v>
      </c>
      <c r="C169" s="21" t="str">
        <f>"قلاويز M6*0.5"</f>
        <v>قلاويز M6*0.5</v>
      </c>
      <c r="D169" s="20" t="str">
        <f>""</f>
        <v/>
      </c>
      <c r="E169" s="20" t="str">
        <f>"دست"</f>
        <v>دست</v>
      </c>
      <c r="F169" s="22">
        <v>2</v>
      </c>
      <c r="G169" s="23">
        <v>450000</v>
      </c>
      <c r="H169" s="24">
        <f t="shared" si="12"/>
        <v>900000</v>
      </c>
    </row>
    <row r="170" spans="1:8" s="19" customFormat="1" ht="38.25" customHeight="1">
      <c r="A170" s="20">
        <v>168</v>
      </c>
      <c r="B170" s="20" t="str">
        <f>"1100000270"</f>
        <v>1100000270</v>
      </c>
      <c r="C170" s="21" t="str">
        <f>"قلاويز M15*1"</f>
        <v>قلاويز M15*1</v>
      </c>
      <c r="D170" s="20" t="str">
        <f>"M15*1"</f>
        <v>M15*1</v>
      </c>
      <c r="E170" s="20" t="str">
        <f>"دست"</f>
        <v>دست</v>
      </c>
      <c r="F170" s="22">
        <v>1</v>
      </c>
      <c r="G170" s="23">
        <v>900000</v>
      </c>
      <c r="H170" s="24">
        <f t="shared" si="12"/>
        <v>900000</v>
      </c>
    </row>
    <row r="171" spans="1:8" s="19" customFormat="1" ht="38.25" customHeight="1">
      <c r="A171" s="20">
        <v>169</v>
      </c>
      <c r="B171" s="20" t="str">
        <f>"1100000271"</f>
        <v>1100000271</v>
      </c>
      <c r="C171" s="21" t="str">
        <f>"قلاويز M11*1"</f>
        <v>قلاويز M11*1</v>
      </c>
      <c r="D171" s="20" t="str">
        <f>"M11*1"</f>
        <v>M11*1</v>
      </c>
      <c r="E171" s="20" t="str">
        <f>"دست"</f>
        <v>دست</v>
      </c>
      <c r="F171" s="22">
        <v>1</v>
      </c>
      <c r="G171" s="23">
        <v>600000</v>
      </c>
      <c r="H171" s="18">
        <f t="shared" si="12"/>
        <v>600000</v>
      </c>
    </row>
    <row r="172" spans="1:8" s="19" customFormat="1" ht="38.25" customHeight="1">
      <c r="A172" s="20">
        <v>170</v>
      </c>
      <c r="B172" s="20" t="str">
        <f>"1100000278"</f>
        <v>1100000278</v>
      </c>
      <c r="C172" s="21" t="str">
        <f>"قلاويز M30*1.5"</f>
        <v>قلاويز M30*1.5</v>
      </c>
      <c r="D172" s="20" t="str">
        <f>""</f>
        <v/>
      </c>
      <c r="E172" s="20" t="str">
        <f t="shared" ref="E172:E186" si="15">"عدد"</f>
        <v>عدد</v>
      </c>
      <c r="F172" s="22">
        <v>1</v>
      </c>
      <c r="G172" s="23">
        <v>4000000</v>
      </c>
      <c r="H172" s="24">
        <f t="shared" si="12"/>
        <v>4000000</v>
      </c>
    </row>
    <row r="173" spans="1:8" s="19" customFormat="1" ht="38.25" customHeight="1">
      <c r="A173" s="20">
        <v>171</v>
      </c>
      <c r="B173" s="20" t="str">
        <f>"1100000281"</f>
        <v>1100000281</v>
      </c>
      <c r="C173" s="21" t="str">
        <f>"برس لوله اي75"</f>
        <v>برس لوله اي75</v>
      </c>
      <c r="D173" s="20" t="str">
        <f>""</f>
        <v/>
      </c>
      <c r="E173" s="20" t="str">
        <f t="shared" si="15"/>
        <v>عدد</v>
      </c>
      <c r="F173" s="22">
        <v>20</v>
      </c>
      <c r="G173" s="23">
        <v>100000</v>
      </c>
      <c r="H173" s="24">
        <f t="shared" si="12"/>
        <v>2000000</v>
      </c>
    </row>
    <row r="174" spans="1:8" s="19" customFormat="1" ht="38.25" customHeight="1">
      <c r="A174" s="20">
        <v>172</v>
      </c>
      <c r="B174" s="20" t="str">
        <f>"1100000282"</f>
        <v>1100000282</v>
      </c>
      <c r="C174" s="21" t="str">
        <f>"برس لوله اي 65"</f>
        <v>برس لوله اي 65</v>
      </c>
      <c r="D174" s="20" t="str">
        <f>""</f>
        <v/>
      </c>
      <c r="E174" s="20" t="str">
        <f t="shared" si="15"/>
        <v>عدد</v>
      </c>
      <c r="F174" s="22">
        <v>4</v>
      </c>
      <c r="G174" s="23">
        <v>100000</v>
      </c>
      <c r="H174" s="18">
        <f t="shared" si="12"/>
        <v>400000</v>
      </c>
    </row>
    <row r="175" spans="1:8" s="19" customFormat="1" ht="38.25" customHeight="1">
      <c r="A175" s="20">
        <v>173</v>
      </c>
      <c r="B175" s="20" t="str">
        <f>"1100000283"</f>
        <v>1100000283</v>
      </c>
      <c r="C175" s="21" t="str">
        <f>"برس لوله اي 60"</f>
        <v>برس لوله اي 60</v>
      </c>
      <c r="D175" s="20" t="str">
        <f>""</f>
        <v/>
      </c>
      <c r="E175" s="20" t="str">
        <f t="shared" si="15"/>
        <v>عدد</v>
      </c>
      <c r="F175" s="22">
        <v>26</v>
      </c>
      <c r="G175" s="23">
        <v>100000</v>
      </c>
      <c r="H175" s="24">
        <f t="shared" si="12"/>
        <v>2600000</v>
      </c>
    </row>
    <row r="176" spans="1:8" s="19" customFormat="1" ht="38.25" customHeight="1">
      <c r="A176" s="20">
        <v>174</v>
      </c>
      <c r="B176" s="20" t="str">
        <f>"1100000285"</f>
        <v>1100000285</v>
      </c>
      <c r="C176" s="21" t="str">
        <f>"سه نظام گازي 1-13"</f>
        <v>سه نظام گازي 1-13</v>
      </c>
      <c r="D176" s="20" t="str">
        <f>""</f>
        <v/>
      </c>
      <c r="E176" s="20" t="str">
        <f t="shared" si="15"/>
        <v>عدد</v>
      </c>
      <c r="F176" s="22">
        <v>3</v>
      </c>
      <c r="G176" s="23">
        <v>2500000</v>
      </c>
      <c r="H176" s="24">
        <f t="shared" si="12"/>
        <v>7500000</v>
      </c>
    </row>
    <row r="177" spans="1:8" s="19" customFormat="1" ht="38.25" customHeight="1">
      <c r="A177" s="20">
        <v>175</v>
      </c>
      <c r="B177" s="20" t="str">
        <f>"1100000287"</f>
        <v>1100000287</v>
      </c>
      <c r="C177" s="21" t="str">
        <f>"بست شيلنگ سيمي 1/4-1اينچ"</f>
        <v>بست شيلنگ سيمي 1/4-1اينچ</v>
      </c>
      <c r="D177" s="20" t="str">
        <f>""</f>
        <v/>
      </c>
      <c r="E177" s="20" t="str">
        <f t="shared" si="15"/>
        <v>عدد</v>
      </c>
      <c r="F177" s="22">
        <v>36</v>
      </c>
      <c r="G177" s="23">
        <v>25000</v>
      </c>
      <c r="H177" s="18">
        <f t="shared" si="12"/>
        <v>900000</v>
      </c>
    </row>
    <row r="178" spans="1:8" s="19" customFormat="1" ht="38.25" customHeight="1">
      <c r="A178" s="20">
        <v>176</v>
      </c>
      <c r="B178" s="20" t="str">
        <f>"1100000288"</f>
        <v>1100000288</v>
      </c>
      <c r="C178" s="21" t="str">
        <f>"بست شيلنگ سيمي3/4-1اينچ"</f>
        <v>بست شيلنگ سيمي3/4-1اينچ</v>
      </c>
      <c r="D178" s="20" t="str">
        <f>""</f>
        <v/>
      </c>
      <c r="E178" s="20" t="str">
        <f t="shared" si="15"/>
        <v>عدد</v>
      </c>
      <c r="F178" s="22">
        <v>11</v>
      </c>
      <c r="G178" s="23">
        <v>25000</v>
      </c>
      <c r="H178" s="24">
        <f t="shared" si="12"/>
        <v>275000</v>
      </c>
    </row>
    <row r="179" spans="1:8" s="19" customFormat="1" ht="38.25" customHeight="1">
      <c r="A179" s="20">
        <v>177</v>
      </c>
      <c r="B179" s="20" t="str">
        <f>"1100000289"</f>
        <v>1100000289</v>
      </c>
      <c r="C179" s="21" t="str">
        <f>"بست شيلنگ(فنري-سيمي)2اينچ"</f>
        <v>بست شيلنگ(فنري-سيمي)2اينچ</v>
      </c>
      <c r="D179" s="20" t="str">
        <f>""</f>
        <v/>
      </c>
      <c r="E179" s="20" t="str">
        <f t="shared" si="15"/>
        <v>عدد</v>
      </c>
      <c r="F179" s="22">
        <v>60</v>
      </c>
      <c r="G179" s="23">
        <v>25000</v>
      </c>
      <c r="H179" s="24">
        <f t="shared" si="12"/>
        <v>1500000</v>
      </c>
    </row>
    <row r="180" spans="1:8" s="19" customFormat="1" ht="38.25" customHeight="1">
      <c r="A180" s="20">
        <v>178</v>
      </c>
      <c r="B180" s="20" t="str">
        <f>"1100000290"</f>
        <v>1100000290</v>
      </c>
      <c r="C180" s="21" t="str">
        <f>"بست شيلنگ(فنري -سيمي)2/5اينچ"</f>
        <v>بست شيلنگ(فنري -سيمي)2/5اينچ</v>
      </c>
      <c r="D180" s="20" t="str">
        <f>""</f>
        <v/>
      </c>
      <c r="E180" s="20" t="str">
        <f t="shared" si="15"/>
        <v>عدد</v>
      </c>
      <c r="F180" s="22">
        <v>100</v>
      </c>
      <c r="G180" s="23">
        <v>25000</v>
      </c>
      <c r="H180" s="18">
        <f t="shared" si="12"/>
        <v>2500000</v>
      </c>
    </row>
    <row r="181" spans="1:8" s="19" customFormat="1" ht="38.25" customHeight="1">
      <c r="A181" s="20">
        <v>179</v>
      </c>
      <c r="B181" s="20" t="str">
        <f>"1100000291"</f>
        <v>1100000291</v>
      </c>
      <c r="C181" s="21" t="str">
        <f>"بست شيلنگ(فنري-سيمي)4/5اينچ"</f>
        <v>بست شيلنگ(فنري-سيمي)4/5اينچ</v>
      </c>
      <c r="D181" s="20" t="str">
        <f>""</f>
        <v/>
      </c>
      <c r="E181" s="20" t="str">
        <f t="shared" si="15"/>
        <v>عدد</v>
      </c>
      <c r="F181" s="22">
        <v>100</v>
      </c>
      <c r="G181" s="23">
        <v>40000</v>
      </c>
      <c r="H181" s="24">
        <f t="shared" si="12"/>
        <v>4000000</v>
      </c>
    </row>
    <row r="182" spans="1:8" s="19" customFormat="1" ht="38.25" customHeight="1">
      <c r="A182" s="20">
        <v>180</v>
      </c>
      <c r="B182" s="20" t="str">
        <f>"1100000292"</f>
        <v>1100000292</v>
      </c>
      <c r="C182" s="21" t="str">
        <f>"بست شيلنگ (تسمه اي)2اينچ"</f>
        <v>بست شيلنگ (تسمه اي)2اينچ</v>
      </c>
      <c r="D182" s="20" t="str">
        <f>""</f>
        <v/>
      </c>
      <c r="E182" s="20" t="str">
        <f t="shared" si="15"/>
        <v>عدد</v>
      </c>
      <c r="F182" s="22">
        <v>80</v>
      </c>
      <c r="G182" s="23">
        <v>30000</v>
      </c>
      <c r="H182" s="24">
        <f t="shared" si="12"/>
        <v>2400000</v>
      </c>
    </row>
    <row r="183" spans="1:8" s="19" customFormat="1" ht="38.25" customHeight="1">
      <c r="A183" s="20">
        <v>181</v>
      </c>
      <c r="B183" s="20" t="str">
        <f>"1100000293"</f>
        <v>1100000293</v>
      </c>
      <c r="C183" s="21" t="str">
        <f>"بست شيلنگ (تسمه اي)3اينچ"</f>
        <v>بست شيلنگ (تسمه اي)3اينچ</v>
      </c>
      <c r="D183" s="20" t="str">
        <f>""</f>
        <v/>
      </c>
      <c r="E183" s="20" t="str">
        <f t="shared" si="15"/>
        <v>عدد</v>
      </c>
      <c r="F183" s="22">
        <v>94</v>
      </c>
      <c r="G183" s="23">
        <v>40000</v>
      </c>
      <c r="H183" s="18">
        <f t="shared" si="12"/>
        <v>3760000</v>
      </c>
    </row>
    <row r="184" spans="1:8" s="19" customFormat="1" ht="38.25" customHeight="1">
      <c r="A184" s="20">
        <v>182</v>
      </c>
      <c r="B184" s="20" t="str">
        <f>"1100000294"</f>
        <v>1100000294</v>
      </c>
      <c r="C184" s="21" t="str">
        <f>"پالت(مخصوص نگهداري ابزارالات)-سايز کوچک2"</f>
        <v>پالت(مخصوص نگهداري ابزارالات)-سايز کوچک2</v>
      </c>
      <c r="D184" s="20" t="str">
        <f>"سايز کوچک- ايران"</f>
        <v>سايز کوچک- ايران</v>
      </c>
      <c r="E184" s="20" t="str">
        <f t="shared" si="15"/>
        <v>عدد</v>
      </c>
      <c r="F184" s="22">
        <v>18</v>
      </c>
      <c r="G184" s="23">
        <v>80000</v>
      </c>
      <c r="H184" s="24">
        <f t="shared" si="12"/>
        <v>1440000</v>
      </c>
    </row>
    <row r="185" spans="1:8" s="19" customFormat="1" ht="38.25" customHeight="1">
      <c r="A185" s="20">
        <v>183</v>
      </c>
      <c r="B185" s="20" t="str">
        <f>"1100000295"</f>
        <v>1100000295</v>
      </c>
      <c r="C185" s="21" t="str">
        <f>"پالت(مخصوص نگهداري ابزار آلات)-سايز متوسط"</f>
        <v>پالت(مخصوص نگهداري ابزار آلات)-سايز متوسط</v>
      </c>
      <c r="D185" s="20" t="str">
        <f>"سايز متوسط-ايران"</f>
        <v>سايز متوسط-ايران</v>
      </c>
      <c r="E185" s="20" t="str">
        <f t="shared" si="15"/>
        <v>عدد</v>
      </c>
      <c r="F185" s="22">
        <v>16</v>
      </c>
      <c r="G185" s="23">
        <v>100000</v>
      </c>
      <c r="H185" s="24">
        <f t="shared" si="12"/>
        <v>1600000</v>
      </c>
    </row>
    <row r="186" spans="1:8" s="19" customFormat="1" ht="38.25" customHeight="1">
      <c r="A186" s="20">
        <v>184</v>
      </c>
      <c r="B186" s="20" t="str">
        <f>"1100000296"</f>
        <v>1100000296</v>
      </c>
      <c r="C186" s="21" t="str">
        <f>"پالت(مخصوص نگهداري ابزار آلات)-سايز بزرگ"</f>
        <v>پالت(مخصوص نگهداري ابزار آلات)-سايز بزرگ</v>
      </c>
      <c r="D186" s="20" t="str">
        <f>"سايز بزرگ-ايران"</f>
        <v>سايز بزرگ-ايران</v>
      </c>
      <c r="E186" s="20" t="str">
        <f t="shared" si="15"/>
        <v>عدد</v>
      </c>
      <c r="F186" s="22">
        <v>16</v>
      </c>
      <c r="G186" s="23">
        <v>120000</v>
      </c>
      <c r="H186" s="18">
        <f t="shared" si="12"/>
        <v>1920000</v>
      </c>
    </row>
    <row r="187" spans="1:8" s="19" customFormat="1" ht="38.25" customHeight="1">
      <c r="A187" s="20">
        <v>185</v>
      </c>
      <c r="B187" s="20" t="str">
        <f>"1100000299"</f>
        <v>1100000299</v>
      </c>
      <c r="C187" s="21" t="str">
        <f>"پارچه تنضيف کرباسي"</f>
        <v>پارچه تنضيف کرباسي</v>
      </c>
      <c r="D187" s="20" t="str">
        <f>""</f>
        <v/>
      </c>
      <c r="E187" s="20" t="str">
        <f>"متر"</f>
        <v>متر</v>
      </c>
      <c r="F187" s="22">
        <v>1124</v>
      </c>
      <c r="G187" s="23">
        <v>10000</v>
      </c>
      <c r="H187" s="24">
        <f t="shared" si="12"/>
        <v>11240000</v>
      </c>
    </row>
    <row r="188" spans="1:8" s="19" customFormat="1" ht="38.25" customHeight="1">
      <c r="A188" s="20">
        <v>186</v>
      </c>
      <c r="B188" s="20" t="str">
        <f>"1100000301"</f>
        <v>1100000301</v>
      </c>
      <c r="C188" s="21" t="str">
        <f>"تيز بر -کاتر 5تيغه"</f>
        <v>تيز بر -کاتر 5تيغه</v>
      </c>
      <c r="D188" s="20" t="str">
        <f>"5تيغه-کشويي"</f>
        <v>5تيغه-کشويي</v>
      </c>
      <c r="E188" s="20" t="str">
        <f>"عدد"</f>
        <v>عدد</v>
      </c>
      <c r="F188" s="22">
        <v>17</v>
      </c>
      <c r="G188" s="23">
        <v>75000</v>
      </c>
      <c r="H188" s="24">
        <f t="shared" si="12"/>
        <v>1275000</v>
      </c>
    </row>
    <row r="189" spans="1:8" s="19" customFormat="1" ht="38.25" customHeight="1">
      <c r="A189" s="20">
        <v>187</v>
      </c>
      <c r="B189" s="20" t="str">
        <f>"1100000306"</f>
        <v>1100000306</v>
      </c>
      <c r="C189" s="21" t="str">
        <f>"گاز يوزل (ميني مشعل)-قابل شارژ"</f>
        <v>گاز يوزل (ميني مشعل)-قابل شارژ</v>
      </c>
      <c r="D189" s="20" t="str">
        <f>"3600F-160Z/453.6g"</f>
        <v>3600F-160Z/453.6g</v>
      </c>
      <c r="E189" s="20" t="str">
        <f>"سيلندر"</f>
        <v>سيلندر</v>
      </c>
      <c r="F189" s="22">
        <v>1</v>
      </c>
      <c r="G189" s="23">
        <v>250000</v>
      </c>
      <c r="H189" s="18">
        <f t="shared" si="12"/>
        <v>250000</v>
      </c>
    </row>
    <row r="190" spans="1:8" s="19" customFormat="1" ht="38.25" customHeight="1">
      <c r="A190" s="20">
        <v>188</v>
      </c>
      <c r="B190" s="20" t="str">
        <f>"1100000309"</f>
        <v>1100000309</v>
      </c>
      <c r="C190" s="21" t="str">
        <f>"گلند PG16-پلاستكي"</f>
        <v>گلند PG16-پلاستكي</v>
      </c>
      <c r="D190" s="20" t="str">
        <f>""</f>
        <v/>
      </c>
      <c r="E190" s="20" t="str">
        <f>"عدد"</f>
        <v>عدد</v>
      </c>
      <c r="F190" s="22">
        <v>85</v>
      </c>
      <c r="G190" s="23">
        <v>5000</v>
      </c>
      <c r="H190" s="24">
        <f t="shared" si="12"/>
        <v>425000</v>
      </c>
    </row>
    <row r="191" spans="1:8" s="19" customFormat="1" ht="38.25" customHeight="1">
      <c r="A191" s="20">
        <v>189</v>
      </c>
      <c r="B191" s="20" t="str">
        <f>"1100000310"</f>
        <v>1100000310</v>
      </c>
      <c r="C191" s="21" t="str">
        <f>"گلند PG21-پلاستيكي"</f>
        <v>گلند PG21-پلاستيكي</v>
      </c>
      <c r="D191" s="20" t="str">
        <f>""</f>
        <v/>
      </c>
      <c r="E191" s="20" t="str">
        <f>"عدد"</f>
        <v>عدد</v>
      </c>
      <c r="F191" s="22">
        <v>25</v>
      </c>
      <c r="G191" s="23">
        <v>8800</v>
      </c>
      <c r="H191" s="24">
        <f t="shared" si="12"/>
        <v>220000</v>
      </c>
    </row>
    <row r="192" spans="1:8" s="19" customFormat="1" ht="38.25" customHeight="1">
      <c r="A192" s="20">
        <v>190</v>
      </c>
      <c r="B192" s="20" t="str">
        <f>"1100000312"</f>
        <v>1100000312</v>
      </c>
      <c r="C192" s="21" t="str">
        <f>"پيچ سر مته واشر دار1سانتيمتر"</f>
        <v>پيچ سر مته واشر دار1سانتيمتر</v>
      </c>
      <c r="D192" s="20" t="str">
        <f>""</f>
        <v/>
      </c>
      <c r="E192" s="20" t="str">
        <f>"عدد"</f>
        <v>عدد</v>
      </c>
      <c r="F192" s="22">
        <v>200</v>
      </c>
      <c r="G192" s="23">
        <v>1000</v>
      </c>
      <c r="H192" s="18">
        <f t="shared" si="12"/>
        <v>200000</v>
      </c>
    </row>
    <row r="193" spans="1:8" s="19" customFormat="1" ht="38.25" customHeight="1">
      <c r="A193" s="20">
        <v>191</v>
      </c>
      <c r="B193" s="20" t="str">
        <f>"1100000324"</f>
        <v>1100000324</v>
      </c>
      <c r="C193" s="21" t="str">
        <f>"وزنه هاي سربي بالانس (مخصوص رينگ اسپورت  چرخ ماشين هاي)"</f>
        <v>وزنه هاي سربي بالانس (مخصوص رينگ اسپورت  چرخ ماشين هاي)</v>
      </c>
      <c r="D193" s="20" t="str">
        <f>"وزنه هاي بالانس ---چسب دار"</f>
        <v>وزنه هاي بالانس ---چسب دار</v>
      </c>
      <c r="E193" s="20" t="str">
        <f>"گرم"</f>
        <v>گرم</v>
      </c>
      <c r="F193" s="22">
        <v>27000</v>
      </c>
      <c r="G193" s="23">
        <v>3800</v>
      </c>
      <c r="H193" s="24">
        <f t="shared" si="12"/>
        <v>102600000</v>
      </c>
    </row>
    <row r="194" spans="1:8" s="19" customFormat="1" ht="38.25" customHeight="1">
      <c r="A194" s="20">
        <v>192</v>
      </c>
      <c r="B194" s="20" t="str">
        <f>"1100000325"</f>
        <v>1100000325</v>
      </c>
      <c r="C194" s="21" t="str">
        <f>"فيوزمينياتوري سه فاز"</f>
        <v>فيوزمينياتوري سه فاز</v>
      </c>
      <c r="D194" s="20" t="str">
        <f>"c25A"</f>
        <v>c25A</v>
      </c>
      <c r="E194" s="20" t="str">
        <f t="shared" ref="E194:E207" si="16">"عدد"</f>
        <v>عدد</v>
      </c>
      <c r="F194" s="22">
        <v>10</v>
      </c>
      <c r="G194" s="23">
        <v>190000</v>
      </c>
      <c r="H194" s="24">
        <f t="shared" si="12"/>
        <v>1900000</v>
      </c>
    </row>
    <row r="195" spans="1:8" s="19" customFormat="1" ht="38.25" customHeight="1">
      <c r="A195" s="20">
        <v>193</v>
      </c>
      <c r="B195" s="20" t="str">
        <f>"1100000326"</f>
        <v>1100000326</v>
      </c>
      <c r="C195" s="21" t="str">
        <f>"شيلنگ فشار قوي هوا"</f>
        <v>شيلنگ فشار قوي هوا</v>
      </c>
      <c r="D195" s="20" t="str">
        <f>"15M..10M"</f>
        <v>15M..10M</v>
      </c>
      <c r="E195" s="20" t="str">
        <f t="shared" si="16"/>
        <v>عدد</v>
      </c>
      <c r="F195" s="22">
        <v>10</v>
      </c>
      <c r="G195" s="23">
        <v>370000</v>
      </c>
      <c r="H195" s="18">
        <f t="shared" si="12"/>
        <v>3700000</v>
      </c>
    </row>
    <row r="196" spans="1:8" s="19" customFormat="1" ht="38.25" customHeight="1">
      <c r="A196" s="20">
        <v>194</v>
      </c>
      <c r="B196" s="20" t="str">
        <f>"1100000329"</f>
        <v>1100000329</v>
      </c>
      <c r="C196" s="21" t="str">
        <f>"قلاويز M60"</f>
        <v>قلاويز M60</v>
      </c>
      <c r="D196" s="20" t="str">
        <f>""</f>
        <v/>
      </c>
      <c r="E196" s="20" t="str">
        <f t="shared" si="16"/>
        <v>عدد</v>
      </c>
      <c r="F196" s="22">
        <v>2</v>
      </c>
      <c r="G196" s="23">
        <v>23000000</v>
      </c>
      <c r="H196" s="24">
        <f t="shared" si="12"/>
        <v>46000000</v>
      </c>
    </row>
    <row r="197" spans="1:8" s="19" customFormat="1" ht="38.25" customHeight="1">
      <c r="A197" s="20">
        <v>195</v>
      </c>
      <c r="B197" s="20" t="str">
        <f>"1100000330"</f>
        <v>1100000330</v>
      </c>
      <c r="C197" s="21" t="str">
        <f>"کانكشن تابلويي"</f>
        <v>کانكشن تابلويي</v>
      </c>
      <c r="D197" s="20" t="str">
        <f>""</f>
        <v/>
      </c>
      <c r="E197" s="20" t="str">
        <f t="shared" si="16"/>
        <v>عدد</v>
      </c>
      <c r="F197" s="22">
        <v>19</v>
      </c>
      <c r="G197" s="23">
        <v>25000</v>
      </c>
      <c r="H197" s="24">
        <f t="shared" si="12"/>
        <v>475000</v>
      </c>
    </row>
    <row r="198" spans="1:8" s="19" customFormat="1" ht="38.25" customHeight="1">
      <c r="A198" s="20">
        <v>196</v>
      </c>
      <c r="B198" s="20" t="str">
        <f>"1100000339"</f>
        <v>1100000339</v>
      </c>
      <c r="C198" s="21" t="str">
        <f>"مته اهن 29/5"</f>
        <v>مته اهن 29/5</v>
      </c>
      <c r="D198" s="20" t="str">
        <f>""</f>
        <v/>
      </c>
      <c r="E198" s="20" t="str">
        <f t="shared" si="16"/>
        <v>عدد</v>
      </c>
      <c r="F198" s="22">
        <v>4</v>
      </c>
      <c r="G198" s="23">
        <v>2100000</v>
      </c>
      <c r="H198" s="18">
        <f t="shared" ref="H198:H219" si="17">F198*G198</f>
        <v>8400000</v>
      </c>
    </row>
    <row r="199" spans="1:8" s="19" customFormat="1" ht="38.25" customHeight="1">
      <c r="A199" s="20">
        <v>197</v>
      </c>
      <c r="B199" s="20" t="str">
        <f>"1100000480"</f>
        <v>1100000480</v>
      </c>
      <c r="C199" s="21" t="str">
        <f>"هلدر الماس ناخني کوتاه"</f>
        <v>هلدر الماس ناخني کوتاه</v>
      </c>
      <c r="D199" s="20" t="str">
        <f>""</f>
        <v/>
      </c>
      <c r="E199" s="20" t="str">
        <f t="shared" si="16"/>
        <v>عدد</v>
      </c>
      <c r="F199" s="22">
        <v>1</v>
      </c>
      <c r="G199" s="23">
        <v>800000</v>
      </c>
      <c r="H199" s="24">
        <f t="shared" si="17"/>
        <v>800000</v>
      </c>
    </row>
    <row r="200" spans="1:8" s="19" customFormat="1" ht="38.25" customHeight="1">
      <c r="A200" s="20">
        <v>198</v>
      </c>
      <c r="B200" s="20" t="str">
        <f>"1100000481"</f>
        <v>1100000481</v>
      </c>
      <c r="C200" s="21" t="str">
        <f>"لقمه الماسه فرز انگشتي -کروي10"</f>
        <v>لقمه الماسه فرز انگشتي -کروي10</v>
      </c>
      <c r="D200" s="20" t="str">
        <f>"کروي"</f>
        <v>کروي</v>
      </c>
      <c r="E200" s="20" t="str">
        <f t="shared" si="16"/>
        <v>عدد</v>
      </c>
      <c r="F200" s="22">
        <v>12</v>
      </c>
      <c r="G200" s="23">
        <v>450000</v>
      </c>
      <c r="H200" s="24">
        <f t="shared" si="17"/>
        <v>5400000</v>
      </c>
    </row>
    <row r="201" spans="1:8" s="19" customFormat="1" ht="38.25" customHeight="1">
      <c r="A201" s="20">
        <v>199</v>
      </c>
      <c r="B201" s="20" t="str">
        <f>"1100000482"</f>
        <v>1100000482</v>
      </c>
      <c r="C201" s="21" t="str">
        <f>"لقمه الماسه فرز انگشتي -کروي12"</f>
        <v>لقمه الماسه فرز انگشتي -کروي12</v>
      </c>
      <c r="D201" s="20" t="str">
        <f>""</f>
        <v/>
      </c>
      <c r="E201" s="20" t="str">
        <f t="shared" si="16"/>
        <v>عدد</v>
      </c>
      <c r="F201" s="22">
        <v>12</v>
      </c>
      <c r="G201" s="23">
        <v>500000</v>
      </c>
      <c r="H201" s="18">
        <f t="shared" si="17"/>
        <v>6000000</v>
      </c>
    </row>
    <row r="202" spans="1:8" s="19" customFormat="1" ht="38.25" customHeight="1">
      <c r="A202" s="20">
        <v>200</v>
      </c>
      <c r="B202" s="20" t="str">
        <f>"1100000483"</f>
        <v>1100000483</v>
      </c>
      <c r="C202" s="21" t="str">
        <f>"لقمه الماسه فرز انگشتي -استوانه اي8"</f>
        <v>لقمه الماسه فرز انگشتي -استوانه اي8</v>
      </c>
      <c r="D202" s="20" t="str">
        <f>""</f>
        <v/>
      </c>
      <c r="E202" s="20" t="str">
        <f t="shared" si="16"/>
        <v>عدد</v>
      </c>
      <c r="F202" s="22">
        <v>14</v>
      </c>
      <c r="G202" s="23">
        <v>300000</v>
      </c>
      <c r="H202" s="24">
        <f t="shared" si="17"/>
        <v>4200000</v>
      </c>
    </row>
    <row r="203" spans="1:8" s="19" customFormat="1" ht="38.25" customHeight="1">
      <c r="A203" s="20">
        <v>201</v>
      </c>
      <c r="B203" s="20" t="str">
        <f>"1100000484"</f>
        <v>1100000484</v>
      </c>
      <c r="C203" s="21" t="str">
        <f>"لقمه الماسه فرز انگشتي مخروط 8"</f>
        <v>لقمه الماسه فرز انگشتي مخروط 8</v>
      </c>
      <c r="D203" s="20" t="str">
        <f>""</f>
        <v/>
      </c>
      <c r="E203" s="20" t="str">
        <f t="shared" si="16"/>
        <v>عدد</v>
      </c>
      <c r="F203" s="22">
        <v>10</v>
      </c>
      <c r="G203" s="23">
        <v>350000</v>
      </c>
      <c r="H203" s="24">
        <f t="shared" si="17"/>
        <v>3500000</v>
      </c>
    </row>
    <row r="204" spans="1:8" s="19" customFormat="1" ht="38.25" customHeight="1">
      <c r="A204" s="20">
        <v>202</v>
      </c>
      <c r="B204" s="20" t="str">
        <f>"1100000485"</f>
        <v>1100000485</v>
      </c>
      <c r="C204" s="21" t="str">
        <f>"لقمه الماسه فرز انگشتي -مخروطي 12"</f>
        <v>لقمه الماسه فرز انگشتي -مخروطي 12</v>
      </c>
      <c r="D204" s="20" t="str">
        <f>""</f>
        <v/>
      </c>
      <c r="E204" s="20" t="str">
        <f t="shared" si="16"/>
        <v>عدد</v>
      </c>
      <c r="F204" s="22">
        <v>11</v>
      </c>
      <c r="G204" s="23">
        <v>450000</v>
      </c>
      <c r="H204" s="18">
        <f t="shared" si="17"/>
        <v>4950000</v>
      </c>
    </row>
    <row r="205" spans="1:8" s="19" customFormat="1" ht="38.25" customHeight="1">
      <c r="A205" s="20">
        <v>203</v>
      </c>
      <c r="B205" s="20" t="str">
        <f>"1100000486"</f>
        <v>1100000486</v>
      </c>
      <c r="C205" s="21" t="str">
        <f>"نازل هوا"</f>
        <v>نازل هوا</v>
      </c>
      <c r="D205" s="20" t="str">
        <f>""</f>
        <v/>
      </c>
      <c r="E205" s="20" t="str">
        <f t="shared" si="16"/>
        <v>عدد</v>
      </c>
      <c r="F205" s="22">
        <v>1</v>
      </c>
      <c r="G205" s="23">
        <v>150000</v>
      </c>
      <c r="H205" s="24">
        <f t="shared" si="17"/>
        <v>150000</v>
      </c>
    </row>
    <row r="206" spans="1:8" s="19" customFormat="1" ht="38.25" customHeight="1">
      <c r="A206" s="20">
        <v>204</v>
      </c>
      <c r="B206" s="20" t="str">
        <f>"1100000487"</f>
        <v>1100000487</v>
      </c>
      <c r="C206" s="21" t="str">
        <f>"علم سردوش حمام"</f>
        <v>علم سردوش حمام</v>
      </c>
      <c r="D206" s="20" t="str">
        <f>""</f>
        <v/>
      </c>
      <c r="E206" s="20" t="str">
        <f t="shared" si="16"/>
        <v>عدد</v>
      </c>
      <c r="F206" s="22">
        <v>100</v>
      </c>
      <c r="G206" s="23">
        <v>50000</v>
      </c>
      <c r="H206" s="24">
        <f t="shared" si="17"/>
        <v>5000000</v>
      </c>
    </row>
    <row r="207" spans="1:8" s="19" customFormat="1" ht="38.25" customHeight="1">
      <c r="A207" s="20">
        <v>205</v>
      </c>
      <c r="B207" s="20" t="str">
        <f>"1100000488"</f>
        <v>1100000488</v>
      </c>
      <c r="C207" s="21" t="str">
        <f>"تيغ لوله بر"</f>
        <v>تيغ لوله بر</v>
      </c>
      <c r="D207" s="20" t="str">
        <f>""</f>
        <v/>
      </c>
      <c r="E207" s="20" t="str">
        <f t="shared" si="16"/>
        <v>عدد</v>
      </c>
      <c r="F207" s="22">
        <v>2</v>
      </c>
      <c r="G207" s="23">
        <v>500000</v>
      </c>
      <c r="H207" s="18">
        <f t="shared" si="17"/>
        <v>1000000</v>
      </c>
    </row>
    <row r="208" spans="1:8" s="19" customFormat="1" ht="38.25" customHeight="1">
      <c r="A208" s="20">
        <v>206</v>
      </c>
      <c r="B208" s="20" t="str">
        <f>"1100000489"</f>
        <v>1100000489</v>
      </c>
      <c r="C208" s="21" t="str">
        <f>"قلاويز 3*27"</f>
        <v>قلاويز 3*27</v>
      </c>
      <c r="D208" s="20" t="str">
        <f>""</f>
        <v/>
      </c>
      <c r="E208" s="20" t="str">
        <f>"سري"</f>
        <v>سري</v>
      </c>
      <c r="F208" s="22">
        <v>1</v>
      </c>
      <c r="G208" s="23">
        <v>3000000</v>
      </c>
      <c r="H208" s="24">
        <f t="shared" si="17"/>
        <v>3000000</v>
      </c>
    </row>
    <row r="209" spans="1:8" s="19" customFormat="1" ht="38.25" customHeight="1">
      <c r="A209" s="20">
        <v>207</v>
      </c>
      <c r="B209" s="20" t="str">
        <f>"1100000357"</f>
        <v>1100000357</v>
      </c>
      <c r="C209" s="21" t="str">
        <f>"حديده M60*4"</f>
        <v>حديده M60*4</v>
      </c>
      <c r="D209" s="20" t="str">
        <f>"M60*4"</f>
        <v>M60*4</v>
      </c>
      <c r="E209" s="20" t="str">
        <f t="shared" ref="E209:E213" si="18">"عدد"</f>
        <v>عدد</v>
      </c>
      <c r="F209" s="22">
        <v>1</v>
      </c>
      <c r="G209" s="23">
        <v>13500000</v>
      </c>
      <c r="H209" s="24">
        <f t="shared" si="17"/>
        <v>13500000</v>
      </c>
    </row>
    <row r="210" spans="1:8" s="19" customFormat="1" ht="38.25" customHeight="1">
      <c r="A210" s="20">
        <v>208</v>
      </c>
      <c r="B210" s="20" t="str">
        <f>"1100000363"</f>
        <v>1100000363</v>
      </c>
      <c r="C210" s="21" t="str">
        <f>"مته 21"</f>
        <v>مته 21</v>
      </c>
      <c r="D210" s="20" t="str">
        <f>""</f>
        <v/>
      </c>
      <c r="E210" s="20" t="str">
        <f t="shared" si="18"/>
        <v>عدد</v>
      </c>
      <c r="F210" s="22">
        <v>4</v>
      </c>
      <c r="G210" s="23">
        <v>9000000</v>
      </c>
      <c r="H210" s="18">
        <f t="shared" si="17"/>
        <v>36000000</v>
      </c>
    </row>
    <row r="211" spans="1:8" s="19" customFormat="1" ht="38.25" customHeight="1">
      <c r="A211" s="20">
        <v>209</v>
      </c>
      <c r="B211" s="20" t="str">
        <f>"1100000364"</f>
        <v>1100000364</v>
      </c>
      <c r="C211" s="21" t="str">
        <f>"حديده56*4"</f>
        <v>حديده56*4</v>
      </c>
      <c r="D211" s="20" t="str">
        <f>""</f>
        <v/>
      </c>
      <c r="E211" s="20" t="str">
        <f t="shared" si="18"/>
        <v>عدد</v>
      </c>
      <c r="F211" s="22">
        <v>1</v>
      </c>
      <c r="G211" s="23">
        <v>11500000</v>
      </c>
      <c r="H211" s="24">
        <f t="shared" si="17"/>
        <v>11500000</v>
      </c>
    </row>
    <row r="212" spans="1:8" s="19" customFormat="1" ht="38.25" customHeight="1">
      <c r="A212" s="20">
        <v>210</v>
      </c>
      <c r="B212" s="20" t="str">
        <f>"1100000366"</f>
        <v>1100000366</v>
      </c>
      <c r="C212" s="21" t="str">
        <f>"مته آهن 29"</f>
        <v>مته آهن 29</v>
      </c>
      <c r="D212" s="20" t="str">
        <f>""</f>
        <v/>
      </c>
      <c r="E212" s="20" t="str">
        <f t="shared" si="18"/>
        <v>عدد</v>
      </c>
      <c r="F212" s="22">
        <v>4</v>
      </c>
      <c r="G212" s="23">
        <v>1950000</v>
      </c>
      <c r="H212" s="24">
        <f t="shared" si="17"/>
        <v>7800000</v>
      </c>
    </row>
    <row r="213" spans="1:8" s="19" customFormat="1" ht="38.25" customHeight="1">
      <c r="A213" s="20">
        <v>211</v>
      </c>
      <c r="B213" s="20" t="str">
        <f>"1100000493"</f>
        <v>1100000493</v>
      </c>
      <c r="C213" s="21" t="str">
        <f>"باطري يدکي ميني سنگ شارژي"</f>
        <v>باطري يدکي ميني سنگ شارژي</v>
      </c>
      <c r="D213" s="20" t="str">
        <f>""</f>
        <v/>
      </c>
      <c r="E213" s="20" t="str">
        <f t="shared" si="18"/>
        <v>عدد</v>
      </c>
      <c r="F213" s="22">
        <v>2</v>
      </c>
      <c r="G213" s="23">
        <v>3500000</v>
      </c>
      <c r="H213" s="18">
        <f t="shared" si="17"/>
        <v>7000000</v>
      </c>
    </row>
    <row r="214" spans="1:8" s="19" customFormat="1" ht="38.25" customHeight="1">
      <c r="A214" s="20">
        <v>212</v>
      </c>
      <c r="B214" s="20" t="str">
        <f>"1100000367"</f>
        <v>1100000367</v>
      </c>
      <c r="C214" s="21" t="str">
        <f>"قلاويز M36"</f>
        <v>قلاويز M36</v>
      </c>
      <c r="D214" s="20" t="str">
        <f>""</f>
        <v/>
      </c>
      <c r="E214" s="20" t="str">
        <f>"سري"</f>
        <v>سري</v>
      </c>
      <c r="F214" s="22">
        <v>2</v>
      </c>
      <c r="G214" s="23">
        <v>800000</v>
      </c>
      <c r="H214" s="24">
        <f t="shared" si="17"/>
        <v>1600000</v>
      </c>
    </row>
    <row r="215" spans="1:8" s="19" customFormat="1" ht="38.25" customHeight="1">
      <c r="A215" s="20">
        <v>213</v>
      </c>
      <c r="B215" s="20" t="str">
        <f>"1100000368"</f>
        <v>1100000368</v>
      </c>
      <c r="C215" s="21" t="str">
        <f>"قلاويز M52"</f>
        <v>قلاويز M52</v>
      </c>
      <c r="D215" s="20" t="str">
        <f>""</f>
        <v/>
      </c>
      <c r="E215" s="20" t="str">
        <f>"سري"</f>
        <v>سري</v>
      </c>
      <c r="F215" s="22">
        <v>2</v>
      </c>
      <c r="G215" s="23">
        <v>17000000</v>
      </c>
      <c r="H215" s="24">
        <f t="shared" si="17"/>
        <v>34000000</v>
      </c>
    </row>
    <row r="216" spans="1:8" s="19" customFormat="1" ht="38.25" customHeight="1">
      <c r="A216" s="20">
        <v>214</v>
      </c>
      <c r="B216" s="20" t="str">
        <f>"1100000508"</f>
        <v>1100000508</v>
      </c>
      <c r="C216" s="21" t="str">
        <f>"مته گرد بر40*100"</f>
        <v>مته گرد بر40*100</v>
      </c>
      <c r="D216" s="20" t="str">
        <f>""</f>
        <v/>
      </c>
      <c r="E216" s="20" t="str">
        <f>"عدد"</f>
        <v>عدد</v>
      </c>
      <c r="F216" s="22">
        <v>2</v>
      </c>
      <c r="G216" s="23">
        <v>1200000</v>
      </c>
      <c r="H216" s="18">
        <f t="shared" si="17"/>
        <v>2400000</v>
      </c>
    </row>
    <row r="217" spans="1:8" s="19" customFormat="1" ht="38.25" customHeight="1">
      <c r="A217" s="20">
        <v>215</v>
      </c>
      <c r="B217" s="20" t="str">
        <f>"1100000509"</f>
        <v>1100000509</v>
      </c>
      <c r="C217" s="21" t="str">
        <f>"قلاويز M56-گام 4"</f>
        <v>قلاويز M56-گام 4</v>
      </c>
      <c r="D217" s="20" t="str">
        <f>""</f>
        <v/>
      </c>
      <c r="E217" s="20" t="str">
        <f>"سري"</f>
        <v>سري</v>
      </c>
      <c r="F217" s="22">
        <v>4</v>
      </c>
      <c r="G217" s="23">
        <v>20000000</v>
      </c>
      <c r="H217" s="24">
        <f t="shared" si="17"/>
        <v>80000000</v>
      </c>
    </row>
    <row r="218" spans="1:8" s="19" customFormat="1" ht="38.25" customHeight="1">
      <c r="A218" s="20">
        <v>216</v>
      </c>
      <c r="B218" s="20" t="str">
        <f>"1100000511"</f>
        <v>1100000511</v>
      </c>
      <c r="C218" s="21" t="str">
        <f>"بند پلاستيکي قرمز رنگ(جهت بسته بندي)"</f>
        <v>بند پلاستيکي قرمز رنگ(جهت بسته بندي)</v>
      </c>
      <c r="D218" s="20" t="str">
        <f>""</f>
        <v/>
      </c>
      <c r="E218" s="20" t="str">
        <f>"رول"</f>
        <v>رول</v>
      </c>
      <c r="F218" s="22">
        <v>1</v>
      </c>
      <c r="G218" s="23">
        <v>75000</v>
      </c>
      <c r="H218" s="24">
        <f t="shared" si="17"/>
        <v>75000</v>
      </c>
    </row>
    <row r="219" spans="1:8" s="19" customFormat="1" ht="38.25" customHeight="1">
      <c r="A219" s="20">
        <v>217</v>
      </c>
      <c r="B219" s="20" t="str">
        <f>"1100000512"</f>
        <v>1100000512</v>
      </c>
      <c r="C219" s="21" t="str">
        <f>"لقمه الماسه فرز انگشتي مخروطي 16"</f>
        <v>لقمه الماسه فرز انگشتي مخروطي 16</v>
      </c>
      <c r="D219" s="20" t="str">
        <f>""</f>
        <v/>
      </c>
      <c r="E219" s="20" t="str">
        <f>"عدد"</f>
        <v>عدد</v>
      </c>
      <c r="F219" s="22">
        <v>5</v>
      </c>
      <c r="G219" s="23">
        <v>600000</v>
      </c>
      <c r="H219" s="18">
        <f t="shared" si="17"/>
        <v>3000000</v>
      </c>
    </row>
    <row r="220" spans="1:8" ht="36.75" customHeight="1">
      <c r="H220" s="38">
        <f>SUM(H3:H219)</f>
        <v>1875684000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rightToLeft="1" topLeftCell="A219" workbookViewId="0">
      <selection activeCell="H227" sqref="H227"/>
    </sheetView>
  </sheetViews>
  <sheetFormatPr defaultRowHeight="14.25"/>
  <cols>
    <col min="1" max="1" width="7.28515625" style="1" customWidth="1"/>
    <col min="2" max="2" width="13.85546875" style="1" customWidth="1"/>
    <col min="3" max="3" width="51" style="3" customWidth="1"/>
    <col min="4" max="4" width="50" style="1" customWidth="1"/>
    <col min="5" max="5" width="14.7109375" style="1" customWidth="1"/>
    <col min="6" max="6" width="14.42578125" style="1" customWidth="1"/>
    <col min="7" max="7" width="15.42578125" style="25" customWidth="1"/>
    <col min="8" max="8" width="21.85546875" style="25" customWidth="1"/>
    <col min="9" max="16384" width="9.140625" style="1"/>
  </cols>
  <sheetData>
    <row r="1" spans="1:8" ht="61.5" customHeight="1" thickBot="1">
      <c r="A1" s="48" t="s">
        <v>29</v>
      </c>
      <c r="B1" s="49"/>
      <c r="C1" s="49"/>
      <c r="D1" s="49"/>
      <c r="E1" s="49"/>
      <c r="F1" s="49"/>
      <c r="G1" s="49"/>
      <c r="H1" s="50"/>
    </row>
    <row r="2" spans="1:8" ht="34.5" customHeight="1" thickBot="1">
      <c r="A2" s="7" t="s">
        <v>19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25</v>
      </c>
      <c r="G2" s="9" t="s">
        <v>21</v>
      </c>
      <c r="H2" s="9" t="s">
        <v>30</v>
      </c>
    </row>
    <row r="3" spans="1:8" s="26" customFormat="1" ht="33" customHeight="1">
      <c r="A3" s="14">
        <v>1</v>
      </c>
      <c r="B3" s="14" t="str">
        <f>"2100000070"</f>
        <v>2100000070</v>
      </c>
      <c r="C3" s="15" t="str">
        <f>"اسپري WD40 (ضدزنگ)"</f>
        <v>اسپري WD40 (ضدزنگ)</v>
      </c>
      <c r="D3" s="14" t="str">
        <f>"330ml--WD40"</f>
        <v>330ml--WD40</v>
      </c>
      <c r="E3" s="14" t="str">
        <f>"عدد"</f>
        <v>عدد</v>
      </c>
      <c r="F3" s="14">
        <v>100</v>
      </c>
      <c r="G3" s="18">
        <v>150000</v>
      </c>
      <c r="H3" s="18">
        <f>G3*F3</f>
        <v>15000000</v>
      </c>
    </row>
    <row r="4" spans="1:8" s="26" customFormat="1" ht="33" customHeight="1">
      <c r="A4" s="20">
        <v>2</v>
      </c>
      <c r="B4" s="20" t="str">
        <f>"2100000071"</f>
        <v>2100000071</v>
      </c>
      <c r="C4" s="21" t="str">
        <f>"گريس آبشار"</f>
        <v>گريس آبشار</v>
      </c>
      <c r="D4" s="20" t="str">
        <f>"1Kg-10-60c--آبشار"</f>
        <v>1Kg-10-60c--آبشار</v>
      </c>
      <c r="E4" s="20" t="str">
        <f>"عدد"</f>
        <v>عدد</v>
      </c>
      <c r="F4" s="20">
        <v>70</v>
      </c>
      <c r="G4" s="24">
        <v>85000</v>
      </c>
      <c r="H4" s="24">
        <f>G4*F4</f>
        <v>5950000</v>
      </c>
    </row>
    <row r="5" spans="1:8" s="26" customFormat="1" ht="33" customHeight="1">
      <c r="A5" s="20">
        <v>3</v>
      </c>
      <c r="B5" s="20" t="str">
        <f>"2100000075"</f>
        <v>2100000075</v>
      </c>
      <c r="C5" s="21" t="str">
        <f>"چسب صنعتي-بل"</f>
        <v>چسب صنعتي-بل</v>
      </c>
      <c r="D5" s="20" t="str">
        <f>"S.B.R 640gr--بل"</f>
        <v>S.B.R 640gr--بل</v>
      </c>
      <c r="E5" s="20" t="str">
        <f>"قوطي"</f>
        <v>قوطي</v>
      </c>
      <c r="F5" s="20">
        <v>15</v>
      </c>
      <c r="G5" s="24">
        <v>150000</v>
      </c>
      <c r="H5" s="24">
        <f>G5*F5</f>
        <v>2250000</v>
      </c>
    </row>
    <row r="6" spans="1:8" s="26" customFormat="1" ht="33" customHeight="1">
      <c r="A6" s="20">
        <v>4</v>
      </c>
      <c r="B6" s="20" t="str">
        <f>"2100000076"</f>
        <v>2100000076</v>
      </c>
      <c r="C6" s="21" t="str">
        <f>"چسب 3-2-1"</f>
        <v>چسب 3-2-1</v>
      </c>
      <c r="D6" s="20" t="str">
        <f>"EC1500--321"</f>
        <v>EC1500--321</v>
      </c>
      <c r="E6" s="20" t="str">
        <f>"عدد"</f>
        <v>عدد</v>
      </c>
      <c r="F6" s="20">
        <v>4</v>
      </c>
      <c r="G6" s="24">
        <v>130000</v>
      </c>
      <c r="H6" s="18">
        <f t="shared" ref="H6:H69" si="0">G6*F6</f>
        <v>520000</v>
      </c>
    </row>
    <row r="7" spans="1:8" s="26" customFormat="1" ht="33" customHeight="1">
      <c r="A7" s="20">
        <v>5</v>
      </c>
      <c r="B7" s="20" t="str">
        <f>"2100000077"</f>
        <v>2100000077</v>
      </c>
      <c r="C7" s="21" t="str">
        <f>"چسب پي وي سي"</f>
        <v>چسب پي وي سي</v>
      </c>
      <c r="D7" s="20" t="str">
        <f>"P.V.C 100cc--RAZI"</f>
        <v>P.V.C 100cc--RAZI</v>
      </c>
      <c r="E7" s="20" t="str">
        <f>"عدد"</f>
        <v>عدد</v>
      </c>
      <c r="F7" s="20">
        <v>7</v>
      </c>
      <c r="G7" s="24">
        <v>35000</v>
      </c>
      <c r="H7" s="24">
        <f t="shared" si="0"/>
        <v>245000</v>
      </c>
    </row>
    <row r="8" spans="1:8" s="26" customFormat="1" ht="33" customHeight="1">
      <c r="A8" s="20">
        <v>6</v>
      </c>
      <c r="B8" s="20" t="str">
        <f>"2100000078"</f>
        <v>2100000078</v>
      </c>
      <c r="C8" s="21" t="str">
        <f>"چسب همه کاره-رازي"</f>
        <v>چسب همه کاره-رازي</v>
      </c>
      <c r="D8" s="20" t="str">
        <f>"ALLPLAST 500cc--RAZI"</f>
        <v>ALLPLAST 500cc--RAZI</v>
      </c>
      <c r="E8" s="20" t="str">
        <f>"عدد"</f>
        <v>عدد</v>
      </c>
      <c r="F8" s="20">
        <v>33</v>
      </c>
      <c r="G8" s="24">
        <v>30000</v>
      </c>
      <c r="H8" s="24">
        <f t="shared" si="0"/>
        <v>990000</v>
      </c>
    </row>
    <row r="9" spans="1:8" s="26" customFormat="1" ht="33" customHeight="1">
      <c r="A9" s="20">
        <v>7</v>
      </c>
      <c r="B9" s="20" t="str">
        <f>"2100000079"</f>
        <v>2100000079</v>
      </c>
      <c r="C9" s="21" t="str">
        <f>"لاکتايت(چسب مخصوص خطوط گاز)"</f>
        <v>لاکتايت(چسب مخصوص خطوط گاز)</v>
      </c>
      <c r="D9" s="20" t="str">
        <f>"243-50ml--HENKEL"</f>
        <v>243-50ml--HENKEL</v>
      </c>
      <c r="E9" s="20" t="str">
        <f>"عدد"</f>
        <v>عدد</v>
      </c>
      <c r="F9" s="20">
        <v>13</v>
      </c>
      <c r="G9" s="24">
        <v>500000</v>
      </c>
      <c r="H9" s="18">
        <f t="shared" si="0"/>
        <v>6500000</v>
      </c>
    </row>
    <row r="10" spans="1:8" s="26" customFormat="1" ht="33" customHeight="1">
      <c r="A10" s="20">
        <v>8</v>
      </c>
      <c r="B10" s="20" t="str">
        <f>"2100000080"</f>
        <v>2100000080</v>
      </c>
      <c r="C10" s="21" t="str">
        <f>"سمباده کاغذي P80"</f>
        <v>سمباده کاغذي P80</v>
      </c>
      <c r="D10" s="20" t="str">
        <f>""</f>
        <v/>
      </c>
      <c r="E10" s="20" t="str">
        <f>"برگ"</f>
        <v>برگ</v>
      </c>
      <c r="F10" s="20">
        <v>182</v>
      </c>
      <c r="G10" s="24">
        <v>20000</v>
      </c>
      <c r="H10" s="24">
        <f t="shared" si="0"/>
        <v>3640000</v>
      </c>
    </row>
    <row r="11" spans="1:8" s="26" customFormat="1" ht="33" customHeight="1">
      <c r="A11" s="20">
        <v>9</v>
      </c>
      <c r="B11" s="20" t="str">
        <f>"2100000081"</f>
        <v>2100000081</v>
      </c>
      <c r="C11" s="21" t="str">
        <f>"سمباده کاغذي  P150"</f>
        <v>سمباده کاغذي  P150</v>
      </c>
      <c r="D11" s="20" t="str">
        <f>""</f>
        <v/>
      </c>
      <c r="E11" s="20" t="str">
        <f>"برگ"</f>
        <v>برگ</v>
      </c>
      <c r="F11" s="20">
        <v>16</v>
      </c>
      <c r="G11" s="24">
        <v>15000</v>
      </c>
      <c r="H11" s="24">
        <f t="shared" si="0"/>
        <v>240000</v>
      </c>
    </row>
    <row r="12" spans="1:8" s="26" customFormat="1" ht="33" customHeight="1">
      <c r="A12" s="20">
        <v>10</v>
      </c>
      <c r="B12" s="20" t="str">
        <f>"2100000083"</f>
        <v>2100000083</v>
      </c>
      <c r="C12" s="21" t="str">
        <f>"چسب عايق برق"</f>
        <v>چسب عايق برق</v>
      </c>
      <c r="D12" s="20" t="str">
        <f>"0.13mm*16mm--JACKSMITH"</f>
        <v>0.13mm*16mm--JACKSMITH</v>
      </c>
      <c r="E12" s="20" t="str">
        <f>"عدد"</f>
        <v>عدد</v>
      </c>
      <c r="F12" s="20">
        <v>79</v>
      </c>
      <c r="G12" s="24">
        <v>10000</v>
      </c>
      <c r="H12" s="18">
        <f t="shared" si="0"/>
        <v>790000</v>
      </c>
    </row>
    <row r="13" spans="1:8" s="26" customFormat="1" ht="33" customHeight="1">
      <c r="A13" s="20">
        <v>11</v>
      </c>
      <c r="B13" s="20" t="str">
        <f>"2100000084"</f>
        <v>2100000084</v>
      </c>
      <c r="C13" s="21" t="str">
        <f>"چسب کاغذي-5سانتي"</f>
        <v>چسب کاغذي-5سانتي</v>
      </c>
      <c r="D13" s="20" t="str">
        <f>"5cm--ABRIL"</f>
        <v>5cm--ABRIL</v>
      </c>
      <c r="E13" s="20" t="str">
        <f>"عدد"</f>
        <v>عدد</v>
      </c>
      <c r="F13" s="20">
        <v>28</v>
      </c>
      <c r="G13" s="24">
        <v>45000</v>
      </c>
      <c r="H13" s="24">
        <f t="shared" si="0"/>
        <v>1260000</v>
      </c>
    </row>
    <row r="14" spans="1:8" s="26" customFormat="1" ht="33" customHeight="1">
      <c r="A14" s="20">
        <v>12</v>
      </c>
      <c r="B14" s="20" t="str">
        <f>"2100000085"</f>
        <v>2100000085</v>
      </c>
      <c r="C14" s="21" t="str">
        <f>"چسب شيشه اي-5سانتي"</f>
        <v>چسب شيشه اي-5سانتي</v>
      </c>
      <c r="D14" s="20" t="str">
        <f>"5cm-SUPERCRYSTAL--DIAMOND"</f>
        <v>5cm-SUPERCRYSTAL--DIAMOND</v>
      </c>
      <c r="E14" s="20" t="str">
        <f>"عدد"</f>
        <v>عدد</v>
      </c>
      <c r="F14" s="20">
        <v>32</v>
      </c>
      <c r="G14" s="24">
        <v>35000</v>
      </c>
      <c r="H14" s="24">
        <f t="shared" si="0"/>
        <v>1120000</v>
      </c>
    </row>
    <row r="15" spans="1:8" s="26" customFormat="1" ht="33" customHeight="1">
      <c r="A15" s="20">
        <v>13</v>
      </c>
      <c r="B15" s="20" t="str">
        <f>"2100000002"</f>
        <v>2100000002</v>
      </c>
      <c r="C15" s="21" t="str">
        <f>"لامپ کم مصرف"</f>
        <v>لامپ کم مصرف</v>
      </c>
      <c r="D15" s="20" t="str">
        <f>"40W--TATCHEM"</f>
        <v>40W--TATCHEM</v>
      </c>
      <c r="E15" s="20" t="str">
        <f t="shared" ref="E15:E27" si="1">"عدد"</f>
        <v>عدد</v>
      </c>
      <c r="F15" s="20">
        <v>3</v>
      </c>
      <c r="G15" s="24">
        <v>150000</v>
      </c>
      <c r="H15" s="18">
        <f t="shared" si="0"/>
        <v>450000</v>
      </c>
    </row>
    <row r="16" spans="1:8" s="26" customFormat="1" ht="33" customHeight="1">
      <c r="A16" s="20">
        <v>14</v>
      </c>
      <c r="B16" s="20" t="str">
        <f>"2100000003"</f>
        <v>2100000003</v>
      </c>
      <c r="C16" s="21" t="str">
        <f>"لامپ رشته اي(گازي)100وات"</f>
        <v>لامپ رشته اي(گازي)100وات</v>
      </c>
      <c r="D16" s="20" t="str">
        <f>"400W--100وات"</f>
        <v>400W--100وات</v>
      </c>
      <c r="E16" s="20" t="str">
        <f t="shared" si="1"/>
        <v>عدد</v>
      </c>
      <c r="F16" s="20">
        <v>2</v>
      </c>
      <c r="G16" s="24">
        <v>35000</v>
      </c>
      <c r="H16" s="24">
        <f t="shared" si="0"/>
        <v>70000</v>
      </c>
    </row>
    <row r="17" spans="1:8" s="26" customFormat="1" ht="33" customHeight="1">
      <c r="A17" s="20">
        <v>15</v>
      </c>
      <c r="B17" s="20" t="str">
        <f>"2100000004"</f>
        <v>2100000004</v>
      </c>
      <c r="C17" s="21" t="str">
        <f>"لامپ مهتابي"</f>
        <v>لامپ مهتابي</v>
      </c>
      <c r="D17" s="20" t="str">
        <f>"18W--پارس"</f>
        <v>18W--پارس</v>
      </c>
      <c r="E17" s="20" t="str">
        <f t="shared" si="1"/>
        <v>عدد</v>
      </c>
      <c r="F17" s="20">
        <v>24</v>
      </c>
      <c r="G17" s="24">
        <v>75000</v>
      </c>
      <c r="H17" s="24">
        <f t="shared" si="0"/>
        <v>1800000</v>
      </c>
    </row>
    <row r="18" spans="1:8" s="26" customFormat="1" ht="33" customHeight="1">
      <c r="A18" s="20">
        <v>16</v>
      </c>
      <c r="B18" s="20" t="str">
        <f>"2100000087"</f>
        <v>2100000087</v>
      </c>
      <c r="C18" s="21" t="str">
        <f>"بست پلاستيکي 30سانتي"</f>
        <v>بست پلاستيکي 30سانتي</v>
      </c>
      <c r="D18" s="20" t="str">
        <f>"GT-30Cm--GW"</f>
        <v>GT-30Cm--GW</v>
      </c>
      <c r="E18" s="20" t="str">
        <f t="shared" si="1"/>
        <v>عدد</v>
      </c>
      <c r="F18" s="20">
        <v>1800</v>
      </c>
      <c r="G18" s="24">
        <v>1000</v>
      </c>
      <c r="H18" s="18">
        <f t="shared" si="0"/>
        <v>1800000</v>
      </c>
    </row>
    <row r="19" spans="1:8" s="26" customFormat="1" ht="33" customHeight="1">
      <c r="A19" s="20">
        <v>17</v>
      </c>
      <c r="B19" s="20" t="str">
        <f>"2100000088"</f>
        <v>2100000088</v>
      </c>
      <c r="C19" s="21" t="str">
        <f>"بست پلاستيکي 20سانتي"</f>
        <v>بست پلاستيکي 20سانتي</v>
      </c>
      <c r="D19" s="20" t="str">
        <f>"GT-20Cm--GW"</f>
        <v>GT-20Cm--GW</v>
      </c>
      <c r="E19" s="20" t="str">
        <f t="shared" si="1"/>
        <v>عدد</v>
      </c>
      <c r="F19" s="20">
        <v>1300</v>
      </c>
      <c r="G19" s="24">
        <v>500</v>
      </c>
      <c r="H19" s="24">
        <f t="shared" si="0"/>
        <v>650000</v>
      </c>
    </row>
    <row r="20" spans="1:8" s="26" customFormat="1" ht="33" customHeight="1">
      <c r="A20" s="20">
        <v>18</v>
      </c>
      <c r="B20" s="20" t="str">
        <f>"2100000089"</f>
        <v>2100000089</v>
      </c>
      <c r="C20" s="21" t="str">
        <f>"بست پلاستيکي 15سانتي"</f>
        <v>بست پلاستيکي 15سانتي</v>
      </c>
      <c r="D20" s="20" t="str">
        <f>"GT-15Cm--GW"</f>
        <v>GT-15Cm--GW</v>
      </c>
      <c r="E20" s="20" t="str">
        <f t="shared" si="1"/>
        <v>عدد</v>
      </c>
      <c r="F20" s="20">
        <v>110</v>
      </c>
      <c r="G20" s="24">
        <v>300</v>
      </c>
      <c r="H20" s="24">
        <f t="shared" si="0"/>
        <v>33000</v>
      </c>
    </row>
    <row r="21" spans="1:8" s="26" customFormat="1" ht="33" customHeight="1">
      <c r="A21" s="20">
        <v>19</v>
      </c>
      <c r="B21" s="20" t="str">
        <f>"2100000005"</f>
        <v>2100000005</v>
      </c>
      <c r="C21" s="21" t="str">
        <f>"باطري قلمي"</f>
        <v>باطري قلمي</v>
      </c>
      <c r="D21" s="20" t="str">
        <f>"MICRO 1.5V--SONY"</f>
        <v>MICRO 1.5V--SONY</v>
      </c>
      <c r="E21" s="20" t="str">
        <f t="shared" si="1"/>
        <v>عدد</v>
      </c>
      <c r="F21" s="20">
        <v>112</v>
      </c>
      <c r="G21" s="24">
        <v>15000</v>
      </c>
      <c r="H21" s="18">
        <f t="shared" si="0"/>
        <v>1680000</v>
      </c>
    </row>
    <row r="22" spans="1:8" s="26" customFormat="1" ht="33" customHeight="1">
      <c r="A22" s="20">
        <v>20</v>
      </c>
      <c r="B22" s="20" t="str">
        <f>"2100000007"</f>
        <v>2100000007</v>
      </c>
      <c r="C22" s="21" t="str">
        <f>"باطري بزرگ"</f>
        <v>باطري بزرگ</v>
      </c>
      <c r="D22" s="20" t="str">
        <f>"1.5V--PANASONIC"</f>
        <v>1.5V--PANASONIC</v>
      </c>
      <c r="E22" s="20" t="str">
        <f t="shared" si="1"/>
        <v>عدد</v>
      </c>
      <c r="F22" s="20">
        <v>10</v>
      </c>
      <c r="G22" s="24">
        <v>30000</v>
      </c>
      <c r="H22" s="24">
        <f t="shared" si="0"/>
        <v>300000</v>
      </c>
    </row>
    <row r="23" spans="1:8" s="26" customFormat="1" ht="33" customHeight="1">
      <c r="A23" s="20">
        <v>21</v>
      </c>
      <c r="B23" s="20" t="str">
        <f>"2100000008"</f>
        <v>2100000008</v>
      </c>
      <c r="C23" s="21" t="str">
        <f>"تبديل سه شاخ به دوشاخ"</f>
        <v>تبديل سه شاخ به دوشاخ</v>
      </c>
      <c r="D23" s="20" t="str">
        <f>"SAHAR"</f>
        <v>SAHAR</v>
      </c>
      <c r="E23" s="20" t="str">
        <f t="shared" si="1"/>
        <v>عدد</v>
      </c>
      <c r="F23" s="20">
        <v>13</v>
      </c>
      <c r="G23" s="24">
        <v>20000</v>
      </c>
      <c r="H23" s="24">
        <f t="shared" si="0"/>
        <v>260000</v>
      </c>
    </row>
    <row r="24" spans="1:8" s="26" customFormat="1" ht="33" customHeight="1">
      <c r="A24" s="20">
        <v>22</v>
      </c>
      <c r="B24" s="20" t="str">
        <f>"2100000091"</f>
        <v>2100000091</v>
      </c>
      <c r="C24" s="21" t="str">
        <f>"کاردک 14"</f>
        <v>کاردک 14</v>
      </c>
      <c r="D24" s="20" t="str">
        <f>"14 mm-AZADI--AZADI"</f>
        <v>14 mm-AZADI--AZADI</v>
      </c>
      <c r="E24" s="20" t="str">
        <f t="shared" si="1"/>
        <v>عدد</v>
      </c>
      <c r="F24" s="20">
        <v>99</v>
      </c>
      <c r="G24" s="24">
        <v>45000</v>
      </c>
      <c r="H24" s="18">
        <f t="shared" si="0"/>
        <v>4455000</v>
      </c>
    </row>
    <row r="25" spans="1:8" s="26" customFormat="1" ht="33" customHeight="1">
      <c r="A25" s="20">
        <v>23</v>
      </c>
      <c r="B25" s="20" t="str">
        <f>"2100000092"</f>
        <v>2100000092</v>
      </c>
      <c r="C25" s="21" t="str">
        <f>"کاردک 12"</f>
        <v>کاردک 12</v>
      </c>
      <c r="D25" s="20" t="str">
        <f>"12mm-AZADI--AZADI"</f>
        <v>12mm-AZADI--AZADI</v>
      </c>
      <c r="E25" s="20" t="str">
        <f t="shared" si="1"/>
        <v>عدد</v>
      </c>
      <c r="F25" s="20">
        <v>79</v>
      </c>
      <c r="G25" s="24">
        <v>40000</v>
      </c>
      <c r="H25" s="24">
        <f t="shared" si="0"/>
        <v>3160000</v>
      </c>
    </row>
    <row r="26" spans="1:8" s="26" customFormat="1" ht="33" customHeight="1">
      <c r="A26" s="20">
        <v>24</v>
      </c>
      <c r="B26" s="20" t="str">
        <f>"2100000093"</f>
        <v>2100000093</v>
      </c>
      <c r="C26" s="21" t="str">
        <f>"کاردک 10"</f>
        <v>کاردک 10</v>
      </c>
      <c r="D26" s="20" t="str">
        <f>"10mm-AZADI"</f>
        <v>10mm-AZADI</v>
      </c>
      <c r="E26" s="20" t="str">
        <f t="shared" si="1"/>
        <v>عدد</v>
      </c>
      <c r="F26" s="20">
        <v>81</v>
      </c>
      <c r="G26" s="24">
        <v>35000</v>
      </c>
      <c r="H26" s="24">
        <f t="shared" si="0"/>
        <v>2835000</v>
      </c>
    </row>
    <row r="27" spans="1:8" s="26" customFormat="1" ht="33" customHeight="1">
      <c r="A27" s="20">
        <v>25</v>
      </c>
      <c r="B27" s="20" t="str">
        <f>"2100000094"</f>
        <v>2100000094</v>
      </c>
      <c r="C27" s="21" t="str">
        <f>"کاردک 7"</f>
        <v>کاردک 7</v>
      </c>
      <c r="D27" s="20" t="str">
        <f>"7mm-AZADI"</f>
        <v>7mm-AZADI</v>
      </c>
      <c r="E27" s="20" t="str">
        <f t="shared" si="1"/>
        <v>عدد</v>
      </c>
      <c r="F27" s="20">
        <v>59</v>
      </c>
      <c r="G27" s="24">
        <v>25000</v>
      </c>
      <c r="H27" s="18">
        <f t="shared" si="0"/>
        <v>1475000</v>
      </c>
    </row>
    <row r="28" spans="1:8" s="26" customFormat="1" ht="33" customHeight="1">
      <c r="A28" s="20">
        <v>26</v>
      </c>
      <c r="B28" s="20" t="str">
        <f>"2100000285"</f>
        <v>2100000285</v>
      </c>
      <c r="C28" s="21" t="str">
        <f>"کفش کار شماره 43-کلار"</f>
        <v>کفش کار شماره 43-کلار</v>
      </c>
      <c r="D28" s="20" t="str">
        <f>""</f>
        <v/>
      </c>
      <c r="E28" s="20" t="str">
        <f t="shared" ref="E28:E40" si="2">"جفت"</f>
        <v>جفت</v>
      </c>
      <c r="F28" s="20">
        <v>14</v>
      </c>
      <c r="G28" s="24">
        <v>750000</v>
      </c>
      <c r="H28" s="24">
        <f t="shared" si="0"/>
        <v>10500000</v>
      </c>
    </row>
    <row r="29" spans="1:8" s="26" customFormat="1" ht="33" customHeight="1">
      <c r="A29" s="20">
        <v>27</v>
      </c>
      <c r="B29" s="20" t="str">
        <f>"2100000286"</f>
        <v>2100000286</v>
      </c>
      <c r="C29" s="21" t="str">
        <f>"کفش کار شماره44-کلار"</f>
        <v>کفش کار شماره44-کلار</v>
      </c>
      <c r="D29" s="20" t="str">
        <f>""</f>
        <v/>
      </c>
      <c r="E29" s="20" t="str">
        <f t="shared" si="2"/>
        <v>جفت</v>
      </c>
      <c r="F29" s="20">
        <v>21</v>
      </c>
      <c r="G29" s="24">
        <v>750000</v>
      </c>
      <c r="H29" s="24">
        <f t="shared" si="0"/>
        <v>15750000</v>
      </c>
    </row>
    <row r="30" spans="1:8" s="26" customFormat="1" ht="33" customHeight="1">
      <c r="A30" s="20">
        <v>28</v>
      </c>
      <c r="B30" s="20" t="str">
        <f>"2100000284"</f>
        <v>2100000284</v>
      </c>
      <c r="C30" s="21" t="str">
        <f>"کفش کار شماره 42 -کلار"</f>
        <v>کفش کار شماره 42 -کلار</v>
      </c>
      <c r="D30" s="20" t="str">
        <f>""</f>
        <v/>
      </c>
      <c r="E30" s="20" t="str">
        <f t="shared" si="2"/>
        <v>جفت</v>
      </c>
      <c r="F30" s="20">
        <v>50</v>
      </c>
      <c r="G30" s="24">
        <v>750000</v>
      </c>
      <c r="H30" s="18">
        <f t="shared" si="0"/>
        <v>37500000</v>
      </c>
    </row>
    <row r="31" spans="1:8" s="26" customFormat="1" ht="33" customHeight="1">
      <c r="A31" s="20">
        <v>29</v>
      </c>
      <c r="B31" s="20" t="str">
        <f>"2100000283"</f>
        <v>2100000283</v>
      </c>
      <c r="C31" s="21" t="str">
        <f>"کفش کار شماره41 -کلار"</f>
        <v>کفش کار شماره41 -کلار</v>
      </c>
      <c r="D31" s="20" t="str">
        <f>""</f>
        <v/>
      </c>
      <c r="E31" s="20" t="str">
        <f t="shared" si="2"/>
        <v>جفت</v>
      </c>
      <c r="F31" s="20">
        <v>61</v>
      </c>
      <c r="G31" s="24">
        <v>750000</v>
      </c>
      <c r="H31" s="24">
        <f t="shared" si="0"/>
        <v>45750000</v>
      </c>
    </row>
    <row r="32" spans="1:8" s="26" customFormat="1" ht="33" customHeight="1">
      <c r="A32" s="20">
        <v>30</v>
      </c>
      <c r="B32" s="20" t="str">
        <f>"2100000288"</f>
        <v>2100000288</v>
      </c>
      <c r="C32" s="21" t="str">
        <f>"کفش کار شماره 46 -کلار"</f>
        <v>کفش کار شماره 46 -کلار</v>
      </c>
      <c r="D32" s="20" t="str">
        <f>""</f>
        <v/>
      </c>
      <c r="E32" s="20" t="str">
        <f t="shared" si="2"/>
        <v>جفت</v>
      </c>
      <c r="F32" s="20">
        <v>4</v>
      </c>
      <c r="G32" s="24">
        <v>750000</v>
      </c>
      <c r="H32" s="24">
        <f t="shared" si="0"/>
        <v>3000000</v>
      </c>
    </row>
    <row r="33" spans="1:8" s="26" customFormat="1" ht="33" customHeight="1">
      <c r="A33" s="20">
        <v>31</v>
      </c>
      <c r="B33" s="20" t="str">
        <f>"2100000282"</f>
        <v>2100000282</v>
      </c>
      <c r="C33" s="21" t="str">
        <f>"کفش کار شماره  40-کلار"</f>
        <v>کفش کار شماره  40-کلار</v>
      </c>
      <c r="D33" s="20" t="str">
        <f>""</f>
        <v/>
      </c>
      <c r="E33" s="20" t="str">
        <f t="shared" si="2"/>
        <v>جفت</v>
      </c>
      <c r="F33" s="20">
        <v>32</v>
      </c>
      <c r="G33" s="24">
        <v>750000</v>
      </c>
      <c r="H33" s="18">
        <f t="shared" si="0"/>
        <v>24000000</v>
      </c>
    </row>
    <row r="34" spans="1:8" s="26" customFormat="1" ht="33" customHeight="1">
      <c r="A34" s="20">
        <v>32</v>
      </c>
      <c r="B34" s="20" t="str">
        <f>"2100000281"</f>
        <v>2100000281</v>
      </c>
      <c r="C34" s="21" t="str">
        <f>"کفش کار شماره39 -کلار"</f>
        <v>کفش کار شماره39 -کلار</v>
      </c>
      <c r="D34" s="20" t="str">
        <f>""</f>
        <v/>
      </c>
      <c r="E34" s="20" t="str">
        <f t="shared" si="2"/>
        <v>جفت</v>
      </c>
      <c r="F34" s="20">
        <v>19</v>
      </c>
      <c r="G34" s="24">
        <v>750000</v>
      </c>
      <c r="H34" s="24">
        <f t="shared" si="0"/>
        <v>14250000</v>
      </c>
    </row>
    <row r="35" spans="1:8" s="26" customFormat="1" ht="33" customHeight="1">
      <c r="A35" s="20">
        <v>33</v>
      </c>
      <c r="B35" s="20" t="str">
        <f>"2100000105"</f>
        <v>2100000105</v>
      </c>
      <c r="C35" s="21" t="str">
        <f>"دستکش نخي"</f>
        <v>دستکش نخي</v>
      </c>
      <c r="D35" s="20" t="str">
        <f>"TAHA"</f>
        <v>TAHA</v>
      </c>
      <c r="E35" s="20" t="str">
        <f t="shared" si="2"/>
        <v>جفت</v>
      </c>
      <c r="F35" s="20">
        <v>420</v>
      </c>
      <c r="G35" s="24">
        <v>15000</v>
      </c>
      <c r="H35" s="24">
        <f t="shared" si="0"/>
        <v>6300000</v>
      </c>
    </row>
    <row r="36" spans="1:8" s="26" customFormat="1" ht="33" customHeight="1">
      <c r="A36" s="20">
        <v>34</v>
      </c>
      <c r="B36" s="20" t="str">
        <f>"2100000106"</f>
        <v>2100000106</v>
      </c>
      <c r="C36" s="21" t="str">
        <f>"دستکش آرگون"</f>
        <v>دستکش آرگون</v>
      </c>
      <c r="D36" s="20" t="str">
        <f>"ANSEL"</f>
        <v>ANSEL</v>
      </c>
      <c r="E36" s="20" t="str">
        <f t="shared" si="2"/>
        <v>جفت</v>
      </c>
      <c r="F36" s="20">
        <v>3</v>
      </c>
      <c r="G36" s="24">
        <v>250000</v>
      </c>
      <c r="H36" s="18">
        <f t="shared" si="0"/>
        <v>750000</v>
      </c>
    </row>
    <row r="37" spans="1:8" s="26" customFormat="1" ht="33" customHeight="1">
      <c r="A37" s="20">
        <v>35</v>
      </c>
      <c r="B37" s="20" t="str">
        <f>"2100000108"</f>
        <v>2100000108</v>
      </c>
      <c r="C37" s="21" t="str">
        <f>"دستکش کتاني خالدار"</f>
        <v>دستکش کتاني خالدار</v>
      </c>
      <c r="D37" s="20" t="str">
        <f>""</f>
        <v/>
      </c>
      <c r="E37" s="20" t="str">
        <f t="shared" si="2"/>
        <v>جفت</v>
      </c>
      <c r="F37" s="20">
        <v>163</v>
      </c>
      <c r="G37" s="24">
        <v>25000</v>
      </c>
      <c r="H37" s="24">
        <f t="shared" si="0"/>
        <v>4075000</v>
      </c>
    </row>
    <row r="38" spans="1:8" s="26" customFormat="1" ht="33" customHeight="1">
      <c r="A38" s="20">
        <v>36</v>
      </c>
      <c r="B38" s="20" t="str">
        <f>"2100000110"</f>
        <v>2100000110</v>
      </c>
      <c r="C38" s="21" t="str">
        <f>"دستکش ضداسيدآبي"</f>
        <v>دستکش ضداسيدآبي</v>
      </c>
      <c r="D38" s="20" t="str">
        <f>"NORTH"</f>
        <v>NORTH</v>
      </c>
      <c r="E38" s="20" t="str">
        <f t="shared" si="2"/>
        <v>جفت</v>
      </c>
      <c r="F38" s="20">
        <v>10</v>
      </c>
      <c r="G38" s="24">
        <v>100000</v>
      </c>
      <c r="H38" s="24">
        <f t="shared" si="0"/>
        <v>1000000</v>
      </c>
    </row>
    <row r="39" spans="1:8" s="26" customFormat="1" ht="33" customHeight="1">
      <c r="A39" s="20">
        <v>37</v>
      </c>
      <c r="B39" s="20" t="str">
        <f>"2100000111"</f>
        <v>2100000111</v>
      </c>
      <c r="C39" s="21" t="str">
        <f>"دستکش لاستيکي(لاتکس)"</f>
        <v>دستکش لاستيکي(لاتکس)</v>
      </c>
      <c r="D39" s="20" t="str">
        <f>"ANSEL"</f>
        <v>ANSEL</v>
      </c>
      <c r="E39" s="20" t="str">
        <f t="shared" si="2"/>
        <v>جفت</v>
      </c>
      <c r="F39" s="20">
        <v>50</v>
      </c>
      <c r="G39" s="24">
        <v>10000</v>
      </c>
      <c r="H39" s="18">
        <f t="shared" si="0"/>
        <v>500000</v>
      </c>
    </row>
    <row r="40" spans="1:8" s="26" customFormat="1" ht="33" customHeight="1">
      <c r="A40" s="20">
        <v>38</v>
      </c>
      <c r="B40" s="20" t="str">
        <f>"2100000112"</f>
        <v>2100000112</v>
      </c>
      <c r="C40" s="21" t="str">
        <f>"دستکش بنايي"</f>
        <v>دستکش بنايي</v>
      </c>
      <c r="D40" s="20" t="str">
        <f>"KAR"</f>
        <v>KAR</v>
      </c>
      <c r="E40" s="20" t="str">
        <f t="shared" si="2"/>
        <v>جفت</v>
      </c>
      <c r="F40" s="20">
        <v>20</v>
      </c>
      <c r="G40" s="24">
        <v>25000</v>
      </c>
      <c r="H40" s="24">
        <f t="shared" si="0"/>
        <v>500000</v>
      </c>
    </row>
    <row r="41" spans="1:8" s="26" customFormat="1" ht="33" customHeight="1">
      <c r="A41" s="20">
        <v>39</v>
      </c>
      <c r="B41" s="20" t="str">
        <f>"2100000113"</f>
        <v>2100000113</v>
      </c>
      <c r="C41" s="21" t="str">
        <f>"ماسک بدون فيلتر(P2)"</f>
        <v>ماسک بدون فيلتر(P2)</v>
      </c>
      <c r="D41" s="20" t="str">
        <f>"کاغذي--LEBOO"</f>
        <v>کاغذي--LEBOO</v>
      </c>
      <c r="E41" s="20" t="str">
        <f>"عدد"</f>
        <v>عدد</v>
      </c>
      <c r="F41" s="20">
        <v>687</v>
      </c>
      <c r="G41" s="24">
        <v>15000</v>
      </c>
      <c r="H41" s="24">
        <f t="shared" si="0"/>
        <v>10305000</v>
      </c>
    </row>
    <row r="42" spans="1:8" s="26" customFormat="1" ht="33" customHeight="1">
      <c r="A42" s="20">
        <v>40</v>
      </c>
      <c r="B42" s="20" t="str">
        <f>"2100000114"</f>
        <v>2100000114</v>
      </c>
      <c r="C42" s="21" t="str">
        <f>"ماسک فيلترداركربن(P2)"</f>
        <v>ماسک فيلترداركربن(P2)</v>
      </c>
      <c r="D42" s="20" t="str">
        <f>"APOLO"</f>
        <v>APOLO</v>
      </c>
      <c r="E42" s="20" t="str">
        <f>"عدد"</f>
        <v>عدد</v>
      </c>
      <c r="F42" s="20">
        <v>53</v>
      </c>
      <c r="G42" s="24">
        <v>20000</v>
      </c>
      <c r="H42" s="18">
        <f t="shared" si="0"/>
        <v>1060000</v>
      </c>
    </row>
    <row r="43" spans="1:8" s="26" customFormat="1" ht="33" customHeight="1">
      <c r="A43" s="20">
        <v>41</v>
      </c>
      <c r="B43" s="20" t="str">
        <f>"2100000115"</f>
        <v>2100000115</v>
      </c>
      <c r="C43" s="21" t="str">
        <f>"سمباده کاغذي چسب دار P400"</f>
        <v>سمباده کاغذي چسب دار P400</v>
      </c>
      <c r="D43" s="20" t="str">
        <f>""</f>
        <v/>
      </c>
      <c r="E43" s="20" t="str">
        <f>"برگ"</f>
        <v>برگ</v>
      </c>
      <c r="F43" s="20">
        <v>176</v>
      </c>
      <c r="G43" s="24">
        <v>40000</v>
      </c>
      <c r="H43" s="24">
        <f t="shared" si="0"/>
        <v>7040000</v>
      </c>
    </row>
    <row r="44" spans="1:8" s="26" customFormat="1" ht="33" customHeight="1">
      <c r="A44" s="20">
        <v>42</v>
      </c>
      <c r="B44" s="20" t="str">
        <f>"2100000116"</f>
        <v>2100000116</v>
      </c>
      <c r="C44" s="21" t="str">
        <f>"ماسک پزشكي"</f>
        <v>ماسک پزشكي</v>
      </c>
      <c r="D44" s="20" t="str">
        <f>""</f>
        <v/>
      </c>
      <c r="E44" s="20" t="str">
        <f>"عدد"</f>
        <v>عدد</v>
      </c>
      <c r="F44" s="20">
        <v>1256</v>
      </c>
      <c r="G44" s="24">
        <v>2000</v>
      </c>
      <c r="H44" s="24">
        <f t="shared" si="0"/>
        <v>2512000</v>
      </c>
    </row>
    <row r="45" spans="1:8" s="26" customFormat="1" ht="33" customHeight="1">
      <c r="A45" s="20">
        <v>43</v>
      </c>
      <c r="B45" s="20" t="str">
        <f>"2100000118"</f>
        <v>2100000118</v>
      </c>
      <c r="C45" s="21" t="str">
        <f>"عينک محافظ کش دار"</f>
        <v>عينک محافظ کش دار</v>
      </c>
      <c r="D45" s="20" t="str">
        <f>"لايه دار ضدنفوذ--CANASAFE"</f>
        <v>لايه دار ضدنفوذ--CANASAFE</v>
      </c>
      <c r="E45" s="20" t="str">
        <f>"عدد"</f>
        <v>عدد</v>
      </c>
      <c r="F45" s="20">
        <v>6</v>
      </c>
      <c r="G45" s="24">
        <v>150000</v>
      </c>
      <c r="H45" s="18">
        <f t="shared" si="0"/>
        <v>900000</v>
      </c>
    </row>
    <row r="46" spans="1:8" s="26" customFormat="1" ht="33" customHeight="1">
      <c r="A46" s="20">
        <v>44</v>
      </c>
      <c r="B46" s="20" t="str">
        <f>"2100000119"</f>
        <v>2100000119</v>
      </c>
      <c r="C46" s="21" t="str">
        <f>"عينک محافظ -معمولي"</f>
        <v>عينک محافظ -معمولي</v>
      </c>
      <c r="D46" s="20" t="str">
        <f>"PO.SAEETY"</f>
        <v>PO.SAEETY</v>
      </c>
      <c r="E46" s="20" t="str">
        <f>"عدد"</f>
        <v>عدد</v>
      </c>
      <c r="F46" s="20">
        <v>5</v>
      </c>
      <c r="G46" s="24">
        <v>25000</v>
      </c>
      <c r="H46" s="24">
        <f t="shared" si="0"/>
        <v>125000</v>
      </c>
    </row>
    <row r="47" spans="1:8" s="26" customFormat="1" ht="33" customHeight="1">
      <c r="A47" s="20">
        <v>45</v>
      </c>
      <c r="B47" s="20" t="str">
        <f>"2100000121"</f>
        <v>2100000121</v>
      </c>
      <c r="C47" s="21" t="str">
        <f>"گوشي صداگير هدفني مخصوص"</f>
        <v>گوشي صداگير هدفني مخصوص</v>
      </c>
      <c r="D47" s="20" t="str">
        <f>"T3-No1010970--HOWARD LEIGHT"</f>
        <v>T3-No1010970--HOWARD LEIGHT</v>
      </c>
      <c r="E47" s="20" t="str">
        <f>"عدد"</f>
        <v>عدد</v>
      </c>
      <c r="F47" s="20">
        <v>3</v>
      </c>
      <c r="G47" s="24">
        <v>1200000</v>
      </c>
      <c r="H47" s="24">
        <f t="shared" si="0"/>
        <v>3600000</v>
      </c>
    </row>
    <row r="48" spans="1:8" s="26" customFormat="1" ht="33" customHeight="1">
      <c r="A48" s="20">
        <v>46</v>
      </c>
      <c r="B48" s="20" t="str">
        <f>"2100000122"</f>
        <v>2100000122</v>
      </c>
      <c r="C48" s="21" t="str">
        <f>"سمباده کاغذي چسب دارP1500"</f>
        <v>سمباده کاغذي چسب دارP1500</v>
      </c>
      <c r="D48" s="20" t="str">
        <f>""</f>
        <v/>
      </c>
      <c r="E48" s="20" t="str">
        <f>"برگ"</f>
        <v>برگ</v>
      </c>
      <c r="F48" s="20">
        <v>80</v>
      </c>
      <c r="G48" s="24">
        <v>40000</v>
      </c>
      <c r="H48" s="18">
        <f t="shared" si="0"/>
        <v>3200000</v>
      </c>
    </row>
    <row r="49" spans="1:8" s="26" customFormat="1" ht="33" customHeight="1">
      <c r="A49" s="20">
        <v>47</v>
      </c>
      <c r="B49" s="20" t="str">
        <f>"2100000123"</f>
        <v>2100000123</v>
      </c>
      <c r="C49" s="21" t="str">
        <f>"گوشي صداگير اسفنجي"</f>
        <v>گوشي صداگير اسفنجي</v>
      </c>
      <c r="D49" s="20" t="str">
        <f>"No:EP-402--ELVEX"</f>
        <v>No:EP-402--ELVEX</v>
      </c>
      <c r="E49" s="20" t="str">
        <f>"جفت"</f>
        <v>جفت</v>
      </c>
      <c r="F49" s="20">
        <v>400</v>
      </c>
      <c r="G49" s="24">
        <v>35000</v>
      </c>
      <c r="H49" s="24">
        <f t="shared" si="0"/>
        <v>14000000</v>
      </c>
    </row>
    <row r="50" spans="1:8" s="26" customFormat="1" ht="33" customHeight="1">
      <c r="A50" s="20">
        <v>48</v>
      </c>
      <c r="B50" s="20" t="str">
        <f>"2100000124"</f>
        <v>2100000124</v>
      </c>
      <c r="C50" s="21" t="str">
        <f>"پيش بند ضداسيد"</f>
        <v>پيش بند ضداسيد</v>
      </c>
      <c r="D50" s="20" t="str">
        <f>""</f>
        <v/>
      </c>
      <c r="E50" s="20" t="str">
        <f>"دست"</f>
        <v>دست</v>
      </c>
      <c r="F50" s="20">
        <v>26</v>
      </c>
      <c r="G50" s="24">
        <v>150000</v>
      </c>
      <c r="H50" s="24">
        <f t="shared" si="0"/>
        <v>3900000</v>
      </c>
    </row>
    <row r="51" spans="1:8" s="26" customFormat="1" ht="33" customHeight="1">
      <c r="A51" s="20">
        <v>49</v>
      </c>
      <c r="B51" s="20" t="str">
        <f>"2100000125"</f>
        <v>2100000125</v>
      </c>
      <c r="C51" s="21" t="str">
        <f>"دستکش ضداسيد"</f>
        <v>دستکش ضداسيد</v>
      </c>
      <c r="D51" s="20" t="str">
        <f>"COMASEC"</f>
        <v>COMASEC</v>
      </c>
      <c r="E51" s="20" t="str">
        <f>"جفت"</f>
        <v>جفت</v>
      </c>
      <c r="F51" s="20">
        <v>57</v>
      </c>
      <c r="G51" s="24">
        <v>100000</v>
      </c>
      <c r="H51" s="18">
        <f t="shared" si="0"/>
        <v>5700000</v>
      </c>
    </row>
    <row r="52" spans="1:8" s="26" customFormat="1" ht="33" customHeight="1">
      <c r="A52" s="20">
        <v>50</v>
      </c>
      <c r="B52" s="20" t="str">
        <f>"2100000126"</f>
        <v>2100000126</v>
      </c>
      <c r="C52" s="21" t="str">
        <f>"کفش ايمني تبريز-شماره46"</f>
        <v>کفش ايمني تبريز-شماره46</v>
      </c>
      <c r="D52" s="20" t="str">
        <f>""</f>
        <v/>
      </c>
      <c r="E52" s="20" t="str">
        <f>"جفت"</f>
        <v>جفت</v>
      </c>
      <c r="F52" s="20">
        <v>5</v>
      </c>
      <c r="G52" s="24">
        <v>650000</v>
      </c>
      <c r="H52" s="24">
        <f t="shared" si="0"/>
        <v>3250000</v>
      </c>
    </row>
    <row r="53" spans="1:8" s="26" customFormat="1" ht="33" customHeight="1">
      <c r="A53" s="20">
        <v>51</v>
      </c>
      <c r="B53" s="20" t="str">
        <f>"2100000127"</f>
        <v>2100000127</v>
      </c>
      <c r="C53" s="21" t="str">
        <f>"کلاه ايمني"</f>
        <v>کلاه ايمني</v>
      </c>
      <c r="D53" s="20" t="str">
        <f>"ISP"</f>
        <v>ISP</v>
      </c>
      <c r="E53" s="20" t="str">
        <f>"عدد"</f>
        <v>عدد</v>
      </c>
      <c r="F53" s="20">
        <v>185</v>
      </c>
      <c r="G53" s="24">
        <v>100000</v>
      </c>
      <c r="H53" s="24">
        <f t="shared" si="0"/>
        <v>18500000</v>
      </c>
    </row>
    <row r="54" spans="1:8" s="26" customFormat="1" ht="33" customHeight="1">
      <c r="A54" s="20">
        <v>52</v>
      </c>
      <c r="B54" s="20" t="str">
        <f>"2100000129"</f>
        <v>2100000129</v>
      </c>
      <c r="C54" s="21" t="str">
        <f>"چانه بند"</f>
        <v>چانه بند</v>
      </c>
      <c r="D54" s="20" t="str">
        <f>"2000"</f>
        <v>2000</v>
      </c>
      <c r="E54" s="20" t="str">
        <f>"عدد"</f>
        <v>عدد</v>
      </c>
      <c r="F54" s="20">
        <v>77</v>
      </c>
      <c r="G54" s="24">
        <v>10000</v>
      </c>
      <c r="H54" s="18">
        <f t="shared" si="0"/>
        <v>770000</v>
      </c>
    </row>
    <row r="55" spans="1:8" s="26" customFormat="1" ht="33" customHeight="1">
      <c r="A55" s="20">
        <v>53</v>
      </c>
      <c r="B55" s="20" t="str">
        <f>"2100000130"</f>
        <v>2100000130</v>
      </c>
      <c r="C55" s="21" t="str">
        <f>"کلاه ايمني موتورسواري(کاسکت)"</f>
        <v>کلاه ايمني موتورسواري(کاسکت)</v>
      </c>
      <c r="D55" s="20" t="str">
        <f>"RADIN"</f>
        <v>RADIN</v>
      </c>
      <c r="E55" s="20" t="str">
        <f>"عدد"</f>
        <v>عدد</v>
      </c>
      <c r="F55" s="20">
        <v>1</v>
      </c>
      <c r="G55" s="24">
        <v>250000</v>
      </c>
      <c r="H55" s="24">
        <f t="shared" si="0"/>
        <v>250000</v>
      </c>
    </row>
    <row r="56" spans="1:8" s="26" customFormat="1" ht="33" customHeight="1">
      <c r="A56" s="20">
        <v>54</v>
      </c>
      <c r="B56" s="20" t="str">
        <f>"2100000132"</f>
        <v>2100000132</v>
      </c>
      <c r="C56" s="21" t="str">
        <f>"ماسک محافظ صورت"</f>
        <v>ماسک محافظ صورت</v>
      </c>
      <c r="D56" s="20" t="str">
        <f>"BULLET 40020--CANASAFE"</f>
        <v>BULLET 40020--CANASAFE</v>
      </c>
      <c r="E56" s="20" t="str">
        <f>"عدد"</f>
        <v>عدد</v>
      </c>
      <c r="F56" s="20">
        <v>46</v>
      </c>
      <c r="G56" s="24">
        <v>200000</v>
      </c>
      <c r="H56" s="24">
        <f t="shared" si="0"/>
        <v>9200000</v>
      </c>
    </row>
    <row r="57" spans="1:8" s="26" customFormat="1" ht="33" customHeight="1">
      <c r="A57" s="20">
        <v>55</v>
      </c>
      <c r="B57" s="20" t="str">
        <f>"2100000133"</f>
        <v>2100000133</v>
      </c>
      <c r="C57" s="21" t="str">
        <f>"چکمه ساق بلند"</f>
        <v>چکمه ساق بلند</v>
      </c>
      <c r="D57" s="20" t="str">
        <f>"SHAHAB"</f>
        <v>SHAHAB</v>
      </c>
      <c r="E57" s="20" t="str">
        <f>"جفت"</f>
        <v>جفت</v>
      </c>
      <c r="F57" s="20">
        <v>7</v>
      </c>
      <c r="G57" s="24">
        <v>200000</v>
      </c>
      <c r="H57" s="18">
        <f t="shared" si="0"/>
        <v>1400000</v>
      </c>
    </row>
    <row r="58" spans="1:8" s="26" customFormat="1" ht="33" customHeight="1">
      <c r="A58" s="20">
        <v>56</v>
      </c>
      <c r="B58" s="20" t="str">
        <f>"2100000134"</f>
        <v>2100000134</v>
      </c>
      <c r="C58" s="21" t="str">
        <f>"لباس باروني"</f>
        <v>لباس باروني</v>
      </c>
      <c r="D58" s="20" t="str">
        <f>"دوتکه"</f>
        <v>دوتکه</v>
      </c>
      <c r="E58" s="20" t="str">
        <f>"دست"</f>
        <v>دست</v>
      </c>
      <c r="F58" s="20">
        <v>3</v>
      </c>
      <c r="G58" s="24">
        <v>300000</v>
      </c>
      <c r="H58" s="24">
        <f t="shared" si="0"/>
        <v>900000</v>
      </c>
    </row>
    <row r="59" spans="1:8" s="26" customFormat="1" ht="33" customHeight="1">
      <c r="A59" s="20">
        <v>57</v>
      </c>
      <c r="B59" s="20" t="str">
        <f>"2100000135"</f>
        <v>2100000135</v>
      </c>
      <c r="C59" s="21" t="str">
        <f>"لباس کار   تپناXL"</f>
        <v>لباس کار   تپناXL</v>
      </c>
      <c r="D59" s="20" t="str">
        <f>"xl ايکس لارج"</f>
        <v>xl ايکس لارج</v>
      </c>
      <c r="E59" s="20" t="str">
        <f>"دست"</f>
        <v>دست</v>
      </c>
      <c r="F59" s="20">
        <v>34</v>
      </c>
      <c r="G59" s="24">
        <v>450000</v>
      </c>
      <c r="H59" s="24">
        <f t="shared" si="0"/>
        <v>15300000</v>
      </c>
    </row>
    <row r="60" spans="1:8" s="26" customFormat="1" ht="33" customHeight="1">
      <c r="A60" s="20">
        <v>58</v>
      </c>
      <c r="B60" s="20" t="str">
        <f>"2100000136"</f>
        <v>2100000136</v>
      </c>
      <c r="C60" s="21" t="str">
        <f>"لباس کار     تپناXXL"</f>
        <v>لباس کار     تپناXXL</v>
      </c>
      <c r="D60" s="20" t="str">
        <f>"xxl  2ايکس لارج"</f>
        <v>xxl  2ايکس لارج</v>
      </c>
      <c r="E60" s="20" t="str">
        <f>"دست"</f>
        <v>دست</v>
      </c>
      <c r="F60" s="20">
        <v>59</v>
      </c>
      <c r="G60" s="24">
        <v>450000</v>
      </c>
      <c r="H60" s="18">
        <f t="shared" si="0"/>
        <v>26550000</v>
      </c>
    </row>
    <row r="61" spans="1:8" s="26" customFormat="1" ht="33" customHeight="1">
      <c r="A61" s="20">
        <v>59</v>
      </c>
      <c r="B61" s="20" t="str">
        <f>"2100000137"</f>
        <v>2100000137</v>
      </c>
      <c r="C61" s="21" t="str">
        <f>"لباس کار    تپناXXXL"</f>
        <v>لباس کار    تپناXXXL</v>
      </c>
      <c r="D61" s="20" t="str">
        <f>"xxxl  3ايکس لارج"</f>
        <v>xxxl  3ايکس لارج</v>
      </c>
      <c r="E61" s="20" t="str">
        <f>"دست"</f>
        <v>دست</v>
      </c>
      <c r="F61" s="20">
        <v>135</v>
      </c>
      <c r="G61" s="24">
        <v>500000</v>
      </c>
      <c r="H61" s="24">
        <f t="shared" si="0"/>
        <v>67500000</v>
      </c>
    </row>
    <row r="62" spans="1:8" s="26" customFormat="1" ht="33" customHeight="1">
      <c r="A62" s="20">
        <v>60</v>
      </c>
      <c r="B62" s="20" t="str">
        <f>"2100000142"</f>
        <v>2100000142</v>
      </c>
      <c r="C62" s="21" t="str">
        <f>"پلاستيک عريض"</f>
        <v>پلاستيک عريض</v>
      </c>
      <c r="D62" s="20" t="str">
        <f>"1-2-3M"</f>
        <v>1-2-3M</v>
      </c>
      <c r="E62" s="20" t="str">
        <f>"متر"</f>
        <v>متر</v>
      </c>
      <c r="F62" s="20">
        <v>300</v>
      </c>
      <c r="G62" s="24">
        <v>10000</v>
      </c>
      <c r="H62" s="24">
        <f t="shared" si="0"/>
        <v>3000000</v>
      </c>
    </row>
    <row r="63" spans="1:8" s="26" customFormat="1" ht="33" customHeight="1">
      <c r="A63" s="20">
        <v>61</v>
      </c>
      <c r="B63" s="20" t="str">
        <f>"2100000143"</f>
        <v>2100000143</v>
      </c>
      <c r="C63" s="21" t="str">
        <f>"کيف ابزار کوچک"</f>
        <v>کيف ابزار کوچک</v>
      </c>
      <c r="D63" s="20" t="str">
        <f>"2.5Kg"</f>
        <v>2.5Kg</v>
      </c>
      <c r="E63" s="20" t="str">
        <f>"عدد"</f>
        <v>عدد</v>
      </c>
      <c r="F63" s="20">
        <v>8</v>
      </c>
      <c r="G63" s="24">
        <v>500000</v>
      </c>
      <c r="H63" s="18">
        <f t="shared" si="0"/>
        <v>4000000</v>
      </c>
    </row>
    <row r="64" spans="1:8" s="26" customFormat="1" ht="33" customHeight="1">
      <c r="A64" s="20">
        <v>62</v>
      </c>
      <c r="B64" s="20" t="str">
        <f>"2100000144"</f>
        <v>2100000144</v>
      </c>
      <c r="C64" s="21" t="str">
        <f>"کيف ابزار بزرگ"</f>
        <v>کيف ابزار بزرگ</v>
      </c>
      <c r="D64" s="20" t="str">
        <f>"5Kg--NOOR"</f>
        <v>5Kg--NOOR</v>
      </c>
      <c r="E64" s="20" t="str">
        <f>"عدد"</f>
        <v>عدد</v>
      </c>
      <c r="F64" s="20">
        <v>13</v>
      </c>
      <c r="G64" s="24">
        <v>600000</v>
      </c>
      <c r="H64" s="24">
        <f t="shared" si="0"/>
        <v>7800000</v>
      </c>
    </row>
    <row r="65" spans="1:8" s="26" customFormat="1" ht="33" customHeight="1">
      <c r="A65" s="20">
        <v>63</v>
      </c>
      <c r="B65" s="20" t="str">
        <f>"2100000151"</f>
        <v>2100000151</v>
      </c>
      <c r="C65" s="21" t="str">
        <f>"جعبه ابزار"</f>
        <v>جعبه ابزار</v>
      </c>
      <c r="D65" s="20" t="s">
        <v>31</v>
      </c>
      <c r="E65" s="20" t="str">
        <f t="shared" ref="E65:E88" si="3">"عدد"</f>
        <v>عدد</v>
      </c>
      <c r="F65" s="20">
        <v>11</v>
      </c>
      <c r="G65" s="24">
        <v>700000</v>
      </c>
      <c r="H65" s="24">
        <f t="shared" si="0"/>
        <v>7700000</v>
      </c>
    </row>
    <row r="66" spans="1:8" s="26" customFormat="1" ht="33" customHeight="1">
      <c r="A66" s="20">
        <v>64</v>
      </c>
      <c r="B66" s="20" t="str">
        <f>"2100000147"</f>
        <v>2100000147</v>
      </c>
      <c r="C66" s="21" t="s">
        <v>32</v>
      </c>
      <c r="D66" s="20" t="s">
        <v>33</v>
      </c>
      <c r="E66" s="20" t="str">
        <f t="shared" si="3"/>
        <v>عدد</v>
      </c>
      <c r="F66" s="20">
        <v>26</v>
      </c>
      <c r="G66" s="24">
        <v>150000</v>
      </c>
      <c r="H66" s="18">
        <f t="shared" si="0"/>
        <v>3900000</v>
      </c>
    </row>
    <row r="67" spans="1:8" s="26" customFormat="1" ht="33" customHeight="1">
      <c r="A67" s="20">
        <v>65</v>
      </c>
      <c r="B67" s="20" t="str">
        <f>"2100000149"</f>
        <v>2100000149</v>
      </c>
      <c r="C67" s="21" t="s">
        <v>34</v>
      </c>
      <c r="D67" s="20" t="s">
        <v>35</v>
      </c>
      <c r="E67" s="20" t="str">
        <f t="shared" si="3"/>
        <v>عدد</v>
      </c>
      <c r="F67" s="20">
        <v>49</v>
      </c>
      <c r="G67" s="24">
        <v>120000</v>
      </c>
      <c r="H67" s="24">
        <f t="shared" si="0"/>
        <v>5880000</v>
      </c>
    </row>
    <row r="68" spans="1:8" s="26" customFormat="1" ht="33" customHeight="1">
      <c r="A68" s="20">
        <v>66</v>
      </c>
      <c r="B68" s="20" t="str">
        <f>"2100000148"</f>
        <v>2100000148</v>
      </c>
      <c r="C68" s="21" t="s">
        <v>36</v>
      </c>
      <c r="D68" s="20" t="s">
        <v>35</v>
      </c>
      <c r="E68" s="20" t="str">
        <f t="shared" si="3"/>
        <v>عدد</v>
      </c>
      <c r="F68" s="20">
        <v>12</v>
      </c>
      <c r="G68" s="24">
        <v>140000</v>
      </c>
      <c r="H68" s="24">
        <f t="shared" si="0"/>
        <v>1680000</v>
      </c>
    </row>
    <row r="69" spans="1:8" s="26" customFormat="1" ht="33" customHeight="1">
      <c r="A69" s="20">
        <v>67</v>
      </c>
      <c r="B69" s="20" t="str">
        <f>"2100000150"</f>
        <v>2100000150</v>
      </c>
      <c r="C69" s="21" t="str">
        <f>"سمباده کاغذي چسب دارP150"</f>
        <v>سمباده کاغذي چسب دارP150</v>
      </c>
      <c r="D69" s="20" t="str">
        <f>""</f>
        <v/>
      </c>
      <c r="E69" s="20" t="str">
        <f t="shared" si="3"/>
        <v>عدد</v>
      </c>
      <c r="F69" s="20">
        <v>77</v>
      </c>
      <c r="G69" s="24">
        <v>40000</v>
      </c>
      <c r="H69" s="18">
        <f t="shared" si="0"/>
        <v>3080000</v>
      </c>
    </row>
    <row r="70" spans="1:8" s="26" customFormat="1" ht="33" customHeight="1">
      <c r="A70" s="20">
        <v>68</v>
      </c>
      <c r="B70" s="20" t="str">
        <f>"2100000152"</f>
        <v>2100000152</v>
      </c>
      <c r="C70" s="21" t="str">
        <f>"دسته چوبي چکش"</f>
        <v>دسته چوبي چکش</v>
      </c>
      <c r="D70" s="20" t="str">
        <f>"50cm--HCKOTY"</f>
        <v>50cm--HCKOTY</v>
      </c>
      <c r="E70" s="20" t="str">
        <f t="shared" si="3"/>
        <v>عدد</v>
      </c>
      <c r="F70" s="20">
        <v>19</v>
      </c>
      <c r="G70" s="24">
        <v>50000</v>
      </c>
      <c r="H70" s="24">
        <f t="shared" ref="H70:H133" si="4">G70*F70</f>
        <v>950000</v>
      </c>
    </row>
    <row r="71" spans="1:8" s="26" customFormat="1" ht="33" customHeight="1">
      <c r="A71" s="20">
        <v>69</v>
      </c>
      <c r="B71" s="20" t="str">
        <f>"2100000153"</f>
        <v>2100000153</v>
      </c>
      <c r="C71" s="21" t="str">
        <f>"سمباده کاغذي چسب دارP600"</f>
        <v>سمباده کاغذي چسب دارP600</v>
      </c>
      <c r="D71" s="20" t="str">
        <f>""</f>
        <v/>
      </c>
      <c r="E71" s="20" t="str">
        <f t="shared" si="3"/>
        <v>عدد</v>
      </c>
      <c r="F71" s="20">
        <v>41</v>
      </c>
      <c r="G71" s="24">
        <v>40000</v>
      </c>
      <c r="H71" s="24">
        <f t="shared" si="4"/>
        <v>1640000</v>
      </c>
    </row>
    <row r="72" spans="1:8" s="26" customFormat="1" ht="33" customHeight="1">
      <c r="A72" s="20">
        <v>70</v>
      </c>
      <c r="B72" s="20" t="str">
        <f>"2100000154"</f>
        <v>2100000154</v>
      </c>
      <c r="C72" s="21" t="str">
        <f>"آينه صنعتي جيبي"</f>
        <v>آينه صنعتي جيبي</v>
      </c>
      <c r="D72" s="20" t="s">
        <v>37</v>
      </c>
      <c r="E72" s="20" t="str">
        <f t="shared" si="3"/>
        <v>عدد</v>
      </c>
      <c r="F72" s="20">
        <v>2</v>
      </c>
      <c r="G72" s="24">
        <v>650000</v>
      </c>
      <c r="H72" s="18">
        <f t="shared" si="4"/>
        <v>1300000</v>
      </c>
    </row>
    <row r="73" spans="1:8" s="26" customFormat="1" ht="33" customHeight="1">
      <c r="A73" s="20">
        <v>71</v>
      </c>
      <c r="B73" s="20" t="str">
        <f>"2100000155"</f>
        <v>2100000155</v>
      </c>
      <c r="C73" s="21" t="str">
        <f>"ذره بين دستي چراغ دار"</f>
        <v>ذره بين دستي چراغ دار</v>
      </c>
      <c r="D73" s="20" t="str">
        <f>"75mm*19mm--MG2B-5"</f>
        <v>75mm*19mm--MG2B-5</v>
      </c>
      <c r="E73" s="20" t="str">
        <f t="shared" si="3"/>
        <v>عدد</v>
      </c>
      <c r="F73" s="20">
        <v>27</v>
      </c>
      <c r="G73" s="24">
        <v>750000</v>
      </c>
      <c r="H73" s="24">
        <f t="shared" si="4"/>
        <v>20250000</v>
      </c>
    </row>
    <row r="74" spans="1:8" s="26" customFormat="1" ht="33" customHeight="1">
      <c r="A74" s="20">
        <v>72</v>
      </c>
      <c r="B74" s="20" t="str">
        <f>"2100000156"</f>
        <v>2100000156</v>
      </c>
      <c r="C74" s="21" t="str">
        <f>"نوار خطر پرتوگيري"</f>
        <v>نوار خطر پرتوگيري</v>
      </c>
      <c r="D74" s="20" t="str">
        <f>"15cm"</f>
        <v>15cm</v>
      </c>
      <c r="E74" s="20" t="str">
        <f t="shared" si="3"/>
        <v>عدد</v>
      </c>
      <c r="F74" s="20">
        <v>1</v>
      </c>
      <c r="G74" s="24">
        <v>150000</v>
      </c>
      <c r="H74" s="24">
        <f t="shared" si="4"/>
        <v>150000</v>
      </c>
    </row>
    <row r="75" spans="1:8" s="26" customFormat="1" ht="33" customHeight="1">
      <c r="A75" s="20">
        <v>73</v>
      </c>
      <c r="B75" s="20" t="str">
        <f>"2100000157"</f>
        <v>2100000157</v>
      </c>
      <c r="C75" s="21" t="str">
        <f>"پلاستيک عريض مشکي"</f>
        <v>پلاستيک عريض مشکي</v>
      </c>
      <c r="D75" s="20" t="str">
        <f>"75cm"</f>
        <v>75cm</v>
      </c>
      <c r="E75" s="20" t="str">
        <f t="shared" si="3"/>
        <v>عدد</v>
      </c>
      <c r="F75" s="20">
        <v>1</v>
      </c>
      <c r="G75" s="24">
        <v>5000</v>
      </c>
      <c r="H75" s="18">
        <f t="shared" si="4"/>
        <v>5000</v>
      </c>
    </row>
    <row r="76" spans="1:8" s="26" customFormat="1" ht="33" customHeight="1">
      <c r="A76" s="20">
        <v>74</v>
      </c>
      <c r="B76" s="20" t="str">
        <f>"2100000158"</f>
        <v>2100000158</v>
      </c>
      <c r="C76" s="21" t="str">
        <f>"ماسک مخصوص صورت فيلتردار(DRAGER)"</f>
        <v>ماسک مخصوص صورت فيلتردار(DRAGER)</v>
      </c>
      <c r="D76" s="20" t="str">
        <f>"DRAGER"</f>
        <v>DRAGER</v>
      </c>
      <c r="E76" s="20" t="str">
        <f t="shared" si="3"/>
        <v>عدد</v>
      </c>
      <c r="F76" s="20">
        <v>31</v>
      </c>
      <c r="G76" s="24">
        <v>4500000</v>
      </c>
      <c r="H76" s="24">
        <f t="shared" si="4"/>
        <v>139500000</v>
      </c>
    </row>
    <row r="77" spans="1:8" s="26" customFormat="1" ht="33" customHeight="1">
      <c r="A77" s="20">
        <v>75</v>
      </c>
      <c r="B77" s="20" t="str">
        <f>"2100000159"</f>
        <v>2100000159</v>
      </c>
      <c r="C77" s="21" t="str">
        <f>"فيلترماسک مخصوصDRANGER"</f>
        <v>فيلترماسک مخصوصDRANGER</v>
      </c>
      <c r="D77" s="20" t="str">
        <f>"DRAGER"</f>
        <v>DRAGER</v>
      </c>
      <c r="E77" s="20" t="str">
        <f t="shared" si="3"/>
        <v>عدد</v>
      </c>
      <c r="F77" s="20">
        <v>64</v>
      </c>
      <c r="G77" s="24">
        <v>750000</v>
      </c>
      <c r="H77" s="24">
        <f t="shared" si="4"/>
        <v>48000000</v>
      </c>
    </row>
    <row r="78" spans="1:8" s="26" customFormat="1" ht="33" customHeight="1">
      <c r="A78" s="20">
        <v>76</v>
      </c>
      <c r="B78" s="20" t="str">
        <f>"2100000160"</f>
        <v>2100000160</v>
      </c>
      <c r="C78" s="21" t="str">
        <f>"بيل با دسته"</f>
        <v>بيل با دسته</v>
      </c>
      <c r="D78" s="20" t="str">
        <f>"NOAN"</f>
        <v>NOAN</v>
      </c>
      <c r="E78" s="20" t="str">
        <f t="shared" si="3"/>
        <v>عدد</v>
      </c>
      <c r="F78" s="20">
        <v>3</v>
      </c>
      <c r="G78" s="24">
        <v>200000</v>
      </c>
      <c r="H78" s="18">
        <f t="shared" si="4"/>
        <v>600000</v>
      </c>
    </row>
    <row r="79" spans="1:8" s="26" customFormat="1" ht="33" customHeight="1">
      <c r="A79" s="20">
        <v>77</v>
      </c>
      <c r="B79" s="20" t="str">
        <f>"2100000161"</f>
        <v>2100000161</v>
      </c>
      <c r="C79" s="21" t="str">
        <f>"بيلچه"</f>
        <v>بيلچه</v>
      </c>
      <c r="D79" s="20" t="str">
        <f>"BEHCO"</f>
        <v>BEHCO</v>
      </c>
      <c r="E79" s="20" t="str">
        <f t="shared" si="3"/>
        <v>عدد</v>
      </c>
      <c r="F79" s="20">
        <v>4</v>
      </c>
      <c r="G79" s="24">
        <v>100000</v>
      </c>
      <c r="H79" s="24">
        <f t="shared" si="4"/>
        <v>400000</v>
      </c>
    </row>
    <row r="80" spans="1:8" s="26" customFormat="1" ht="33" customHeight="1">
      <c r="A80" s="20">
        <v>78</v>
      </c>
      <c r="B80" s="20" t="str">
        <f>"2100000162"</f>
        <v>2100000162</v>
      </c>
      <c r="C80" s="21" t="str">
        <f>"تبر شيشه"</f>
        <v>تبر شيشه</v>
      </c>
      <c r="D80" s="20" t="str">
        <f>"303"</f>
        <v>303</v>
      </c>
      <c r="E80" s="20" t="str">
        <f t="shared" si="3"/>
        <v>عدد</v>
      </c>
      <c r="F80" s="20">
        <v>2</v>
      </c>
      <c r="G80" s="24">
        <v>700000</v>
      </c>
      <c r="H80" s="24">
        <f t="shared" si="4"/>
        <v>1400000</v>
      </c>
    </row>
    <row r="81" spans="1:8" s="26" customFormat="1" ht="33" customHeight="1">
      <c r="A81" s="20">
        <v>79</v>
      </c>
      <c r="B81" s="20" t="str">
        <f>"2100000009"</f>
        <v>2100000009</v>
      </c>
      <c r="C81" s="21" t="str">
        <f>"جا شامپوي حمام"</f>
        <v>جا شامپوي حمام</v>
      </c>
      <c r="D81" s="20" t="str">
        <f>""</f>
        <v/>
      </c>
      <c r="E81" s="20" t="str">
        <f t="shared" si="3"/>
        <v>عدد</v>
      </c>
      <c r="F81" s="20">
        <v>24</v>
      </c>
      <c r="G81" s="24">
        <v>25000</v>
      </c>
      <c r="H81" s="18">
        <f t="shared" si="4"/>
        <v>600000</v>
      </c>
    </row>
    <row r="82" spans="1:8" s="26" customFormat="1" ht="33" customHeight="1">
      <c r="A82" s="20">
        <v>80</v>
      </c>
      <c r="B82" s="20" t="str">
        <f>"2100000010"</f>
        <v>2100000010</v>
      </c>
      <c r="C82" s="21" t="str">
        <f>"رخت آويز حمام چوبي"</f>
        <v>رخت آويز حمام چوبي</v>
      </c>
      <c r="D82" s="20" t="str">
        <f>""</f>
        <v/>
      </c>
      <c r="E82" s="20" t="str">
        <f t="shared" si="3"/>
        <v>عدد</v>
      </c>
      <c r="F82" s="20">
        <v>29</v>
      </c>
      <c r="G82" s="24">
        <v>75000</v>
      </c>
      <c r="H82" s="24">
        <f t="shared" si="4"/>
        <v>2175000</v>
      </c>
    </row>
    <row r="83" spans="1:8" s="26" customFormat="1" ht="33" customHeight="1">
      <c r="A83" s="20">
        <v>81</v>
      </c>
      <c r="B83" s="20" t="str">
        <f>"2100000163"</f>
        <v>2100000163</v>
      </c>
      <c r="C83" s="21" t="str">
        <f>"برس توالت شوي"</f>
        <v>برس توالت شوي</v>
      </c>
      <c r="D83" s="20" t="str">
        <f>""</f>
        <v/>
      </c>
      <c r="E83" s="20" t="str">
        <f t="shared" si="3"/>
        <v>عدد</v>
      </c>
      <c r="F83" s="20">
        <v>22</v>
      </c>
      <c r="G83" s="24">
        <v>35000</v>
      </c>
      <c r="H83" s="24">
        <f t="shared" si="4"/>
        <v>770000</v>
      </c>
    </row>
    <row r="84" spans="1:8" s="26" customFormat="1" ht="33" customHeight="1">
      <c r="A84" s="20">
        <v>82</v>
      </c>
      <c r="B84" s="20" t="str">
        <f>"2100000165"</f>
        <v>2100000165</v>
      </c>
      <c r="C84" s="21" t="str">
        <f>"جعبه کمک هاي اوليه فلزي"</f>
        <v>جعبه کمک هاي اوليه فلزي</v>
      </c>
      <c r="D84" s="20" t="str">
        <f>"فلزي"</f>
        <v>فلزي</v>
      </c>
      <c r="E84" s="20" t="str">
        <f t="shared" si="3"/>
        <v>عدد</v>
      </c>
      <c r="F84" s="20">
        <v>1</v>
      </c>
      <c r="G84" s="24">
        <v>350000</v>
      </c>
      <c r="H84" s="18">
        <f t="shared" si="4"/>
        <v>350000</v>
      </c>
    </row>
    <row r="85" spans="1:8" s="26" customFormat="1" ht="33" customHeight="1">
      <c r="A85" s="20">
        <v>83</v>
      </c>
      <c r="B85" s="20" t="str">
        <f>"2100000012"</f>
        <v>2100000012</v>
      </c>
      <c r="C85" s="21" t="str">
        <f>"چسب زخم"</f>
        <v>چسب زخم</v>
      </c>
      <c r="D85" s="20" t="str">
        <f>""</f>
        <v/>
      </c>
      <c r="E85" s="20" t="str">
        <f t="shared" si="3"/>
        <v>عدد</v>
      </c>
      <c r="F85" s="20">
        <v>1510</v>
      </c>
      <c r="G85" s="24">
        <v>500</v>
      </c>
      <c r="H85" s="24">
        <f t="shared" si="4"/>
        <v>755000</v>
      </c>
    </row>
    <row r="86" spans="1:8" s="26" customFormat="1" ht="33" customHeight="1">
      <c r="A86" s="20">
        <v>84</v>
      </c>
      <c r="B86" s="20" t="str">
        <f>"2100000013"</f>
        <v>2100000013</v>
      </c>
      <c r="C86" s="21" t="str">
        <f>"پنبه بهداشتي"</f>
        <v>پنبه بهداشتي</v>
      </c>
      <c r="D86" s="20" t="str">
        <f>""</f>
        <v/>
      </c>
      <c r="E86" s="20" t="str">
        <f t="shared" si="3"/>
        <v>عدد</v>
      </c>
      <c r="F86" s="20">
        <v>2</v>
      </c>
      <c r="G86" s="24">
        <v>15000</v>
      </c>
      <c r="H86" s="24">
        <f t="shared" si="4"/>
        <v>30000</v>
      </c>
    </row>
    <row r="87" spans="1:8" s="26" customFormat="1" ht="33" customHeight="1">
      <c r="A87" s="20">
        <v>85</v>
      </c>
      <c r="B87" s="20" t="str">
        <f>"2100000015"</f>
        <v>2100000015</v>
      </c>
      <c r="C87" s="21" t="str">
        <f>"گاز استريل"</f>
        <v>گاز استريل</v>
      </c>
      <c r="D87" s="20" t="str">
        <f>""</f>
        <v/>
      </c>
      <c r="E87" s="20" t="str">
        <f t="shared" si="3"/>
        <v>عدد</v>
      </c>
      <c r="F87" s="20">
        <v>118</v>
      </c>
      <c r="G87" s="24">
        <v>5000</v>
      </c>
      <c r="H87" s="18">
        <f t="shared" si="4"/>
        <v>590000</v>
      </c>
    </row>
    <row r="88" spans="1:8" s="26" customFormat="1" ht="33" customHeight="1">
      <c r="A88" s="20">
        <v>86</v>
      </c>
      <c r="B88" s="20" t="str">
        <f>"2100000016"</f>
        <v>2100000016</v>
      </c>
      <c r="C88" s="21" t="str">
        <f>"بتادين"</f>
        <v>بتادين</v>
      </c>
      <c r="D88" s="20" t="str">
        <f>""</f>
        <v/>
      </c>
      <c r="E88" s="20" t="str">
        <f t="shared" si="3"/>
        <v>عدد</v>
      </c>
      <c r="F88" s="20">
        <v>5</v>
      </c>
      <c r="G88" s="24">
        <v>25000</v>
      </c>
      <c r="H88" s="24">
        <f t="shared" si="4"/>
        <v>125000</v>
      </c>
    </row>
    <row r="89" spans="1:8" s="26" customFormat="1" ht="33" customHeight="1">
      <c r="A89" s="20">
        <v>87</v>
      </c>
      <c r="B89" s="20" t="str">
        <f>"2100000017"</f>
        <v>2100000017</v>
      </c>
      <c r="C89" s="21" t="str">
        <f>"دمپايي"</f>
        <v>دمپايي</v>
      </c>
      <c r="D89" s="20" t="str">
        <f>""</f>
        <v/>
      </c>
      <c r="E89" s="20" t="str">
        <f>"جفت"</f>
        <v>جفت</v>
      </c>
      <c r="F89" s="20">
        <v>145</v>
      </c>
      <c r="G89" s="24">
        <v>35000</v>
      </c>
      <c r="H89" s="24">
        <f t="shared" si="4"/>
        <v>5075000</v>
      </c>
    </row>
    <row r="90" spans="1:8" s="26" customFormat="1" ht="33" customHeight="1">
      <c r="A90" s="20">
        <v>88</v>
      </c>
      <c r="B90" s="20" t="str">
        <f>"2100000018"</f>
        <v>2100000018</v>
      </c>
      <c r="C90" s="21" t="str">
        <f>"سطل زباله پدالي"</f>
        <v>سطل زباله پدالي</v>
      </c>
      <c r="D90" s="20" t="str">
        <f>""</f>
        <v/>
      </c>
      <c r="E90" s="20" t="str">
        <f>"عدد"</f>
        <v>عدد</v>
      </c>
      <c r="F90" s="20">
        <v>8</v>
      </c>
      <c r="G90" s="24">
        <v>120000</v>
      </c>
      <c r="H90" s="18">
        <f t="shared" si="4"/>
        <v>960000</v>
      </c>
    </row>
    <row r="91" spans="1:8" s="26" customFormat="1" ht="33" customHeight="1">
      <c r="A91" s="20">
        <v>89</v>
      </c>
      <c r="B91" s="20" t="str">
        <f>"2100000020"</f>
        <v>2100000020</v>
      </c>
      <c r="C91" s="21" t="str">
        <f>"مايع سفيد كننده4 ليتري"</f>
        <v>مايع سفيد كننده4 ليتري</v>
      </c>
      <c r="D91" s="20" t="str">
        <f>""</f>
        <v/>
      </c>
      <c r="E91" s="20" t="str">
        <f>"ليتر"</f>
        <v>ليتر</v>
      </c>
      <c r="F91" s="20">
        <v>12</v>
      </c>
      <c r="G91" s="24">
        <v>95000</v>
      </c>
      <c r="H91" s="24">
        <f t="shared" si="4"/>
        <v>1140000</v>
      </c>
    </row>
    <row r="92" spans="1:8" s="26" customFormat="1" ht="33" customHeight="1">
      <c r="A92" s="20">
        <v>90</v>
      </c>
      <c r="B92" s="20" t="str">
        <f>"2100000022"</f>
        <v>2100000022</v>
      </c>
      <c r="C92" s="21" t="str">
        <f>"مايع دستشويي 4 ليتري"</f>
        <v>مايع دستشويي 4 ليتري</v>
      </c>
      <c r="D92" s="20" t="str">
        <f>""</f>
        <v/>
      </c>
      <c r="E92" s="20" t="str">
        <f>"ليتر"</f>
        <v>ليتر</v>
      </c>
      <c r="F92" s="20">
        <v>8</v>
      </c>
      <c r="G92" s="24">
        <v>130000</v>
      </c>
      <c r="H92" s="24">
        <f t="shared" si="4"/>
        <v>1040000</v>
      </c>
    </row>
    <row r="93" spans="1:8" s="26" customFormat="1" ht="33" customHeight="1">
      <c r="A93" s="20">
        <v>91</v>
      </c>
      <c r="B93" s="20" t="str">
        <f>"2100000023"</f>
        <v>2100000023</v>
      </c>
      <c r="C93" s="21" t="str">
        <f>"شيشه پاک کن 500گرمي"</f>
        <v>شيشه پاک کن 500گرمي</v>
      </c>
      <c r="D93" s="20" t="str">
        <f>""</f>
        <v/>
      </c>
      <c r="E93" s="20" t="str">
        <f>"عدد"</f>
        <v>عدد</v>
      </c>
      <c r="F93" s="20">
        <v>99</v>
      </c>
      <c r="G93" s="24">
        <v>35000</v>
      </c>
      <c r="H93" s="18">
        <f t="shared" si="4"/>
        <v>3465000</v>
      </c>
    </row>
    <row r="94" spans="1:8" s="26" customFormat="1" ht="33" customHeight="1">
      <c r="A94" s="20">
        <v>92</v>
      </c>
      <c r="B94" s="20" t="str">
        <f>"2100000027"</f>
        <v>2100000027</v>
      </c>
      <c r="C94" s="21" t="str">
        <f>"پودررختشويي دستي"</f>
        <v>پودررختشويي دستي</v>
      </c>
      <c r="D94" s="20" t="str">
        <f>""</f>
        <v/>
      </c>
      <c r="E94" s="20" t="str">
        <f t="shared" ref="E94:E105" si="5">"عدد"</f>
        <v>عدد</v>
      </c>
      <c r="F94" s="20">
        <v>31</v>
      </c>
      <c r="G94" s="24">
        <v>25000</v>
      </c>
      <c r="H94" s="24">
        <f t="shared" si="4"/>
        <v>775000</v>
      </c>
    </row>
    <row r="95" spans="1:8" s="26" customFormat="1" ht="33" customHeight="1">
      <c r="A95" s="20">
        <v>93</v>
      </c>
      <c r="B95" s="20" t="str">
        <f>"2100000029"</f>
        <v>2100000029</v>
      </c>
      <c r="C95" s="21" t="str">
        <f>"اسکاج"</f>
        <v>اسکاج</v>
      </c>
      <c r="D95" s="20" t="str">
        <f>""</f>
        <v/>
      </c>
      <c r="E95" s="20" t="str">
        <f t="shared" si="5"/>
        <v>عدد</v>
      </c>
      <c r="F95" s="20">
        <v>6</v>
      </c>
      <c r="G95" s="24">
        <v>25000</v>
      </c>
      <c r="H95" s="24">
        <f t="shared" si="4"/>
        <v>150000</v>
      </c>
    </row>
    <row r="96" spans="1:8" s="26" customFormat="1" ht="33" customHeight="1">
      <c r="A96" s="20">
        <v>94</v>
      </c>
      <c r="B96" s="20" t="str">
        <f>"2100000032"</f>
        <v>2100000032</v>
      </c>
      <c r="C96" s="21" t="str">
        <f>"جارو"</f>
        <v>جارو</v>
      </c>
      <c r="D96" s="20" t="str">
        <f>""</f>
        <v/>
      </c>
      <c r="E96" s="20" t="str">
        <f t="shared" si="5"/>
        <v>عدد</v>
      </c>
      <c r="F96" s="20">
        <v>2</v>
      </c>
      <c r="G96" s="24">
        <v>100000</v>
      </c>
      <c r="H96" s="18">
        <f t="shared" si="4"/>
        <v>200000</v>
      </c>
    </row>
    <row r="97" spans="1:8" s="26" customFormat="1" ht="33" customHeight="1">
      <c r="A97" s="20">
        <v>95</v>
      </c>
      <c r="B97" s="20" t="str">
        <f>"2100000033"</f>
        <v>2100000033</v>
      </c>
      <c r="C97" s="21" t="str">
        <f>"تي پلاستيکي"</f>
        <v>تي پلاستيکي</v>
      </c>
      <c r="D97" s="20" t="str">
        <f>""</f>
        <v/>
      </c>
      <c r="E97" s="20" t="str">
        <f t="shared" si="5"/>
        <v>عدد</v>
      </c>
      <c r="F97" s="20">
        <v>28</v>
      </c>
      <c r="G97" s="24">
        <v>80000</v>
      </c>
      <c r="H97" s="24">
        <f t="shared" si="4"/>
        <v>2240000</v>
      </c>
    </row>
    <row r="98" spans="1:8" s="26" customFormat="1" ht="33" customHeight="1">
      <c r="A98" s="20">
        <v>96</v>
      </c>
      <c r="B98" s="20" t="str">
        <f>"2100000034"</f>
        <v>2100000034</v>
      </c>
      <c r="C98" s="21" t="str">
        <f>"دسته جارو"</f>
        <v>دسته جارو</v>
      </c>
      <c r="D98" s="20" t="str">
        <f>""</f>
        <v/>
      </c>
      <c r="E98" s="20" t="str">
        <f t="shared" si="5"/>
        <v>عدد</v>
      </c>
      <c r="F98" s="20">
        <v>20</v>
      </c>
      <c r="G98" s="24">
        <v>20000</v>
      </c>
      <c r="H98" s="24">
        <f t="shared" si="4"/>
        <v>400000</v>
      </c>
    </row>
    <row r="99" spans="1:8" s="26" customFormat="1" ht="33" customHeight="1">
      <c r="A99" s="20">
        <v>97</v>
      </c>
      <c r="B99" s="20" t="str">
        <f>"2100000037"</f>
        <v>2100000037</v>
      </c>
      <c r="C99" s="21" t="str">
        <f>"کلمن آب"</f>
        <v>کلمن آب</v>
      </c>
      <c r="D99" s="20" t="str">
        <f>""</f>
        <v/>
      </c>
      <c r="E99" s="20" t="str">
        <f t="shared" si="5"/>
        <v>عدد</v>
      </c>
      <c r="F99" s="20">
        <v>16</v>
      </c>
      <c r="G99" s="24">
        <v>170000</v>
      </c>
      <c r="H99" s="18">
        <f t="shared" si="4"/>
        <v>2720000</v>
      </c>
    </row>
    <row r="100" spans="1:8" s="26" customFormat="1" ht="33" customHeight="1">
      <c r="A100" s="20">
        <v>98</v>
      </c>
      <c r="B100" s="20" t="str">
        <f>"2100000040"</f>
        <v>2100000040</v>
      </c>
      <c r="C100" s="21" t="str">
        <f>"بوگير دستشويي"</f>
        <v>بوگير دستشويي</v>
      </c>
      <c r="D100" s="20" t="str">
        <f>""</f>
        <v/>
      </c>
      <c r="E100" s="20" t="str">
        <f t="shared" si="5"/>
        <v>عدد</v>
      </c>
      <c r="F100" s="20">
        <v>94</v>
      </c>
      <c r="G100" s="24">
        <v>30000</v>
      </c>
      <c r="H100" s="24">
        <f t="shared" si="4"/>
        <v>2820000</v>
      </c>
    </row>
    <row r="101" spans="1:8" s="26" customFormat="1" ht="33" customHeight="1">
      <c r="A101" s="20">
        <v>99</v>
      </c>
      <c r="B101" s="20" t="str">
        <f>"2100000042"</f>
        <v>2100000042</v>
      </c>
      <c r="C101" s="21" t="str">
        <f>"نعلبکي"</f>
        <v>نعلبکي</v>
      </c>
      <c r="D101" s="20" t="str">
        <f>""</f>
        <v/>
      </c>
      <c r="E101" s="20" t="str">
        <f t="shared" si="5"/>
        <v>عدد</v>
      </c>
      <c r="F101" s="20">
        <v>27</v>
      </c>
      <c r="G101" s="24">
        <v>65000</v>
      </c>
      <c r="H101" s="24">
        <f t="shared" si="4"/>
        <v>1755000</v>
      </c>
    </row>
    <row r="102" spans="1:8" s="26" customFormat="1" ht="33" customHeight="1">
      <c r="A102" s="20">
        <v>100</v>
      </c>
      <c r="B102" s="20" t="str">
        <f>"2100000043"</f>
        <v>2100000043</v>
      </c>
      <c r="C102" s="21" t="str">
        <f>"قاشق نهارخوري"</f>
        <v>قاشق نهارخوري</v>
      </c>
      <c r="D102" s="20" t="str">
        <f>""</f>
        <v/>
      </c>
      <c r="E102" s="20" t="str">
        <f t="shared" si="5"/>
        <v>عدد</v>
      </c>
      <c r="F102" s="20">
        <v>80</v>
      </c>
      <c r="G102" s="24">
        <v>20000</v>
      </c>
      <c r="H102" s="18">
        <f t="shared" si="4"/>
        <v>1600000</v>
      </c>
    </row>
    <row r="103" spans="1:8" s="26" customFormat="1" ht="33" customHeight="1">
      <c r="A103" s="20">
        <v>101</v>
      </c>
      <c r="B103" s="20" t="str">
        <f>"2100000044"</f>
        <v>2100000044</v>
      </c>
      <c r="C103" s="21" t="str">
        <f>"چاقو ميوه خوري"</f>
        <v>چاقو ميوه خوري</v>
      </c>
      <c r="D103" s="20" t="str">
        <f>""</f>
        <v/>
      </c>
      <c r="E103" s="20" t="str">
        <f t="shared" si="5"/>
        <v>عدد</v>
      </c>
      <c r="F103" s="20">
        <v>70</v>
      </c>
      <c r="G103" s="24">
        <v>15000</v>
      </c>
      <c r="H103" s="24">
        <f t="shared" si="4"/>
        <v>1050000</v>
      </c>
    </row>
    <row r="104" spans="1:8" s="26" customFormat="1" ht="33" customHeight="1">
      <c r="A104" s="20">
        <v>102</v>
      </c>
      <c r="B104" s="20" t="str">
        <f>"2100000045"</f>
        <v>2100000045</v>
      </c>
      <c r="C104" s="21" t="str">
        <f>"قوري چيني"</f>
        <v>قوري چيني</v>
      </c>
      <c r="D104" s="20" t="str">
        <f>""</f>
        <v/>
      </c>
      <c r="E104" s="20" t="str">
        <f t="shared" si="5"/>
        <v>عدد</v>
      </c>
      <c r="F104" s="20">
        <v>2</v>
      </c>
      <c r="G104" s="24">
        <v>120000</v>
      </c>
      <c r="H104" s="24">
        <f t="shared" si="4"/>
        <v>240000</v>
      </c>
    </row>
    <row r="105" spans="1:8" s="26" customFormat="1" ht="33" customHeight="1">
      <c r="A105" s="20">
        <v>103</v>
      </c>
      <c r="B105" s="20" t="str">
        <f>"2100000046"</f>
        <v>2100000046</v>
      </c>
      <c r="C105" s="21" t="str">
        <f>"پيش دستي"</f>
        <v>پيش دستي</v>
      </c>
      <c r="D105" s="20" t="str">
        <f>""</f>
        <v/>
      </c>
      <c r="E105" s="20" t="str">
        <f t="shared" si="5"/>
        <v>عدد</v>
      </c>
      <c r="F105" s="20">
        <v>18</v>
      </c>
      <c r="G105" s="24">
        <v>20000</v>
      </c>
      <c r="H105" s="18">
        <f t="shared" si="4"/>
        <v>360000</v>
      </c>
    </row>
    <row r="106" spans="1:8" s="26" customFormat="1" ht="33" customHeight="1">
      <c r="A106" s="20">
        <v>104</v>
      </c>
      <c r="B106" s="20" t="str">
        <f>"2100000048"</f>
        <v>2100000048</v>
      </c>
      <c r="C106" s="21" t="str">
        <f>"کاغذ A4"</f>
        <v>کاغذ A4</v>
      </c>
      <c r="D106" s="20" t="str">
        <f>""</f>
        <v/>
      </c>
      <c r="E106" s="20" t="str">
        <f>"بسته"</f>
        <v>بسته</v>
      </c>
      <c r="F106" s="20">
        <v>28</v>
      </c>
      <c r="G106" s="24">
        <v>135000</v>
      </c>
      <c r="H106" s="24">
        <f t="shared" si="4"/>
        <v>3780000</v>
      </c>
    </row>
    <row r="107" spans="1:8" s="26" customFormat="1" ht="33" customHeight="1">
      <c r="A107" s="20">
        <v>105</v>
      </c>
      <c r="B107" s="20" t="str">
        <f>"2100000049"</f>
        <v>2100000049</v>
      </c>
      <c r="C107" s="21" t="str">
        <f>"کاغذ A3"</f>
        <v>کاغذ A3</v>
      </c>
      <c r="D107" s="20" t="str">
        <f>""</f>
        <v/>
      </c>
      <c r="E107" s="20" t="str">
        <f>"بسته"</f>
        <v>بسته</v>
      </c>
      <c r="F107" s="20">
        <v>7</v>
      </c>
      <c r="G107" s="24">
        <v>300000</v>
      </c>
      <c r="H107" s="24">
        <f t="shared" si="4"/>
        <v>2100000</v>
      </c>
    </row>
    <row r="108" spans="1:8" s="26" customFormat="1" ht="33" customHeight="1">
      <c r="A108" s="20">
        <v>106</v>
      </c>
      <c r="B108" s="20" t="str">
        <f>"2100000050"</f>
        <v>2100000050</v>
      </c>
      <c r="C108" s="21" t="str">
        <f>"چسب مايع کاغذ"</f>
        <v>چسب مايع کاغذ</v>
      </c>
      <c r="D108" s="20" t="str">
        <f>""</f>
        <v/>
      </c>
      <c r="E108" s="20" t="str">
        <f t="shared" ref="E108:E120" si="6">"عدد"</f>
        <v>عدد</v>
      </c>
      <c r="F108" s="20">
        <v>20</v>
      </c>
      <c r="G108" s="24">
        <v>30000</v>
      </c>
      <c r="H108" s="18">
        <f t="shared" si="4"/>
        <v>600000</v>
      </c>
    </row>
    <row r="109" spans="1:8" s="26" customFormat="1" ht="33" customHeight="1">
      <c r="A109" s="20">
        <v>107</v>
      </c>
      <c r="B109" s="20" t="str">
        <f>"2100000051"</f>
        <v>2100000051</v>
      </c>
      <c r="C109" s="21" t="str">
        <f>"خودکار آبي"</f>
        <v>خودکار آبي</v>
      </c>
      <c r="D109" s="20" t="str">
        <f>""</f>
        <v/>
      </c>
      <c r="E109" s="20" t="str">
        <f t="shared" si="6"/>
        <v>عدد</v>
      </c>
      <c r="F109" s="20">
        <v>54</v>
      </c>
      <c r="G109" s="24">
        <v>10000</v>
      </c>
      <c r="H109" s="24">
        <f t="shared" si="4"/>
        <v>540000</v>
      </c>
    </row>
    <row r="110" spans="1:8" s="26" customFormat="1" ht="33" customHeight="1">
      <c r="A110" s="20">
        <v>108</v>
      </c>
      <c r="B110" s="20" t="str">
        <f>"2100000052"</f>
        <v>2100000052</v>
      </c>
      <c r="C110" s="21" t="str">
        <f>"مداد"</f>
        <v>مداد</v>
      </c>
      <c r="D110" s="20" t="str">
        <f>""</f>
        <v/>
      </c>
      <c r="E110" s="20" t="str">
        <f t="shared" si="6"/>
        <v>عدد</v>
      </c>
      <c r="F110" s="20">
        <v>23</v>
      </c>
      <c r="G110" s="24">
        <v>7000</v>
      </c>
      <c r="H110" s="24">
        <f t="shared" si="4"/>
        <v>161000</v>
      </c>
    </row>
    <row r="111" spans="1:8" s="26" customFormat="1" ht="33" customHeight="1">
      <c r="A111" s="20">
        <v>109</v>
      </c>
      <c r="B111" s="20" t="str">
        <f>"2100000053"</f>
        <v>2100000053</v>
      </c>
      <c r="C111" s="21" t="str">
        <f>"خودکار قرمز"</f>
        <v>خودکار قرمز</v>
      </c>
      <c r="D111" s="20" t="str">
        <f>""</f>
        <v/>
      </c>
      <c r="E111" s="20" t="str">
        <f t="shared" si="6"/>
        <v>عدد</v>
      </c>
      <c r="F111" s="20">
        <v>71</v>
      </c>
      <c r="G111" s="24">
        <v>10000</v>
      </c>
      <c r="H111" s="18">
        <f t="shared" si="4"/>
        <v>710000</v>
      </c>
    </row>
    <row r="112" spans="1:8" s="26" customFormat="1" ht="33" customHeight="1">
      <c r="A112" s="20">
        <v>110</v>
      </c>
      <c r="B112" s="20" t="str">
        <f>"2100000055"</f>
        <v>2100000055</v>
      </c>
      <c r="C112" s="21" t="str">
        <f>"خودکار مشکي"</f>
        <v>خودکار مشکي</v>
      </c>
      <c r="D112" s="20" t="str">
        <f>""</f>
        <v/>
      </c>
      <c r="E112" s="20" t="str">
        <f t="shared" si="6"/>
        <v>عدد</v>
      </c>
      <c r="F112" s="20">
        <v>115</v>
      </c>
      <c r="G112" s="24">
        <v>10000</v>
      </c>
      <c r="H112" s="24">
        <f t="shared" si="4"/>
        <v>1150000</v>
      </c>
    </row>
    <row r="113" spans="1:8" s="26" customFormat="1" ht="33" customHeight="1">
      <c r="A113" s="20">
        <v>111</v>
      </c>
      <c r="B113" s="20" t="str">
        <f>"2100000058"</f>
        <v>2100000058</v>
      </c>
      <c r="C113" s="21" t="str">
        <f>"ماژيك هايلايت"</f>
        <v>ماژيك هايلايت</v>
      </c>
      <c r="D113" s="20" t="str">
        <f>""</f>
        <v/>
      </c>
      <c r="E113" s="20" t="str">
        <f t="shared" si="6"/>
        <v>عدد</v>
      </c>
      <c r="F113" s="20">
        <v>43</v>
      </c>
      <c r="G113" s="24">
        <v>25000</v>
      </c>
      <c r="H113" s="24">
        <f t="shared" si="4"/>
        <v>1075000</v>
      </c>
    </row>
    <row r="114" spans="1:8" s="26" customFormat="1" ht="33" customHeight="1">
      <c r="A114" s="20">
        <v>112</v>
      </c>
      <c r="B114" s="20" t="str">
        <f>"2100000059"</f>
        <v>2100000059</v>
      </c>
      <c r="C114" s="21" t="str">
        <f>"پاکن"</f>
        <v>پاکن</v>
      </c>
      <c r="D114" s="20" t="str">
        <f>""</f>
        <v/>
      </c>
      <c r="E114" s="20" t="str">
        <f t="shared" si="6"/>
        <v>عدد</v>
      </c>
      <c r="F114" s="20">
        <v>14</v>
      </c>
      <c r="G114" s="24">
        <v>20000</v>
      </c>
      <c r="H114" s="18">
        <f t="shared" si="4"/>
        <v>280000</v>
      </c>
    </row>
    <row r="115" spans="1:8" s="26" customFormat="1" ht="33" customHeight="1">
      <c r="A115" s="20">
        <v>113</v>
      </c>
      <c r="B115" s="20" t="str">
        <f>"2100000060"</f>
        <v>2100000060</v>
      </c>
      <c r="C115" s="21" t="str">
        <f>"مدادتراش"</f>
        <v>مدادتراش</v>
      </c>
      <c r="D115" s="20" t="str">
        <f>""</f>
        <v/>
      </c>
      <c r="E115" s="20" t="str">
        <f t="shared" si="6"/>
        <v>عدد</v>
      </c>
      <c r="F115" s="20">
        <v>16</v>
      </c>
      <c r="G115" s="24">
        <v>8000</v>
      </c>
      <c r="H115" s="24">
        <f t="shared" si="4"/>
        <v>128000</v>
      </c>
    </row>
    <row r="116" spans="1:8" s="26" customFormat="1" ht="33" customHeight="1">
      <c r="A116" s="20">
        <v>114</v>
      </c>
      <c r="B116" s="20" t="str">
        <f>"2100000061"</f>
        <v>2100000061</v>
      </c>
      <c r="C116" s="21" t="str">
        <f>"دفترچه يادداشت"</f>
        <v>دفترچه يادداشت</v>
      </c>
      <c r="D116" s="20" t="str">
        <f>""</f>
        <v/>
      </c>
      <c r="E116" s="20" t="str">
        <f t="shared" si="6"/>
        <v>عدد</v>
      </c>
      <c r="F116" s="20">
        <v>19</v>
      </c>
      <c r="G116" s="24">
        <v>15000</v>
      </c>
      <c r="H116" s="24">
        <f t="shared" si="4"/>
        <v>285000</v>
      </c>
    </row>
    <row r="117" spans="1:8" s="26" customFormat="1" ht="33" customHeight="1">
      <c r="A117" s="20">
        <v>115</v>
      </c>
      <c r="B117" s="20" t="str">
        <f>"2100000062"</f>
        <v>2100000062</v>
      </c>
      <c r="C117" s="21" t="str">
        <f>"خط کش"</f>
        <v>خط کش</v>
      </c>
      <c r="D117" s="20" t="str">
        <f>""</f>
        <v/>
      </c>
      <c r="E117" s="20" t="str">
        <f t="shared" si="6"/>
        <v>عدد</v>
      </c>
      <c r="F117" s="20">
        <v>20</v>
      </c>
      <c r="G117" s="24">
        <v>10000</v>
      </c>
      <c r="H117" s="18">
        <f t="shared" si="4"/>
        <v>200000</v>
      </c>
    </row>
    <row r="118" spans="1:8" s="26" customFormat="1" ht="33" customHeight="1">
      <c r="A118" s="20">
        <v>116</v>
      </c>
      <c r="B118" s="20" t="str">
        <f>"2100000064"</f>
        <v>2100000064</v>
      </c>
      <c r="C118" s="21" t="str">
        <f>"ميخ منگنه کش"</f>
        <v>ميخ منگنه کش</v>
      </c>
      <c r="D118" s="20" t="str">
        <f>""</f>
        <v/>
      </c>
      <c r="E118" s="20" t="str">
        <f t="shared" si="6"/>
        <v>عدد</v>
      </c>
      <c r="F118" s="20">
        <v>7</v>
      </c>
      <c r="G118" s="24">
        <v>35000</v>
      </c>
      <c r="H118" s="24">
        <f t="shared" si="4"/>
        <v>245000</v>
      </c>
    </row>
    <row r="119" spans="1:8" s="26" customFormat="1" ht="33" customHeight="1">
      <c r="A119" s="20">
        <v>117</v>
      </c>
      <c r="B119" s="20" t="str">
        <f>"2100000065"</f>
        <v>2100000065</v>
      </c>
      <c r="C119" s="21" t="str">
        <f>"چسب نواري کاغذ"</f>
        <v>چسب نواري کاغذ</v>
      </c>
      <c r="D119" s="20" t="str">
        <f>""</f>
        <v/>
      </c>
      <c r="E119" s="20" t="str">
        <f t="shared" si="6"/>
        <v>عدد</v>
      </c>
      <c r="F119" s="20">
        <v>25</v>
      </c>
      <c r="G119" s="24">
        <v>15000</v>
      </c>
      <c r="H119" s="24">
        <f t="shared" si="4"/>
        <v>375000</v>
      </c>
    </row>
    <row r="120" spans="1:8" s="26" customFormat="1" ht="33" customHeight="1">
      <c r="A120" s="20">
        <v>118</v>
      </c>
      <c r="B120" s="20" t="str">
        <f>"2100000066"</f>
        <v>2100000066</v>
      </c>
      <c r="C120" s="21" t="str">
        <f>"کازيو"</f>
        <v>کازيو</v>
      </c>
      <c r="D120" s="20" t="str">
        <f>"کازيو"</f>
        <v>کازيو</v>
      </c>
      <c r="E120" s="20" t="str">
        <f t="shared" si="6"/>
        <v>عدد</v>
      </c>
      <c r="F120" s="20">
        <v>1</v>
      </c>
      <c r="G120" s="24">
        <v>250000</v>
      </c>
      <c r="H120" s="18">
        <f t="shared" si="4"/>
        <v>250000</v>
      </c>
    </row>
    <row r="121" spans="1:8" s="26" customFormat="1" ht="33" customHeight="1">
      <c r="A121" s="20">
        <v>119</v>
      </c>
      <c r="B121" s="20" t="str">
        <f>"2100000067"</f>
        <v>2100000067</v>
      </c>
      <c r="C121" s="21" t="str">
        <f>"سوزن ته گرد"</f>
        <v>سوزن ته گرد</v>
      </c>
      <c r="D121" s="20" t="str">
        <f>""</f>
        <v/>
      </c>
      <c r="E121" s="20" t="str">
        <f>"بسته"</f>
        <v>بسته</v>
      </c>
      <c r="F121" s="20">
        <v>1</v>
      </c>
      <c r="G121" s="24">
        <v>35000</v>
      </c>
      <c r="H121" s="24">
        <f t="shared" si="4"/>
        <v>35000</v>
      </c>
    </row>
    <row r="122" spans="1:8" s="26" customFormat="1" ht="33" customHeight="1">
      <c r="A122" s="20">
        <v>120</v>
      </c>
      <c r="B122" s="20" t="str">
        <f>"2100000166"</f>
        <v>2100000166</v>
      </c>
      <c r="C122" s="21" t="str">
        <f>"ميخ منگنه"</f>
        <v>ميخ منگنه</v>
      </c>
      <c r="D122" s="20" t="str">
        <f>""</f>
        <v/>
      </c>
      <c r="E122" s="20" t="str">
        <f>"بسته"</f>
        <v>بسته</v>
      </c>
      <c r="F122" s="20">
        <v>10</v>
      </c>
      <c r="G122" s="24">
        <v>35000</v>
      </c>
      <c r="H122" s="24">
        <f t="shared" si="4"/>
        <v>350000</v>
      </c>
    </row>
    <row r="123" spans="1:8" s="26" customFormat="1" ht="33" customHeight="1">
      <c r="A123" s="20">
        <v>121</v>
      </c>
      <c r="B123" s="20" t="str">
        <f>"2100000167"</f>
        <v>2100000167</v>
      </c>
      <c r="C123" s="21" t="str">
        <f>"سمباده کاغذي   چسب دارP100"</f>
        <v>سمباده کاغذي   چسب دارP100</v>
      </c>
      <c r="D123" s="20" t="str">
        <f>"p--100"</f>
        <v>p--100</v>
      </c>
      <c r="E123" s="20" t="str">
        <f>"برگ"</f>
        <v>برگ</v>
      </c>
      <c r="F123" s="20">
        <v>180</v>
      </c>
      <c r="G123" s="24">
        <v>40000</v>
      </c>
      <c r="H123" s="18">
        <f t="shared" si="4"/>
        <v>7200000</v>
      </c>
    </row>
    <row r="124" spans="1:8" s="26" customFormat="1" ht="33" customHeight="1">
      <c r="A124" s="20">
        <v>122</v>
      </c>
      <c r="B124" s="20" t="str">
        <f>"2100000168"</f>
        <v>2100000168</v>
      </c>
      <c r="C124" s="21" t="str">
        <f>"سمباده  کاغذي چسب دار P1000"</f>
        <v>سمباده  کاغذي چسب دار P1000</v>
      </c>
      <c r="D124" s="20" t="str">
        <f>"P1000"</f>
        <v>P1000</v>
      </c>
      <c r="E124" s="20" t="str">
        <f>"برگ"</f>
        <v>برگ</v>
      </c>
      <c r="F124" s="20">
        <v>70</v>
      </c>
      <c r="G124" s="24">
        <v>40000</v>
      </c>
      <c r="H124" s="24">
        <f t="shared" si="4"/>
        <v>2800000</v>
      </c>
    </row>
    <row r="125" spans="1:8" s="26" customFormat="1" ht="33" customHeight="1">
      <c r="A125" s="20">
        <v>123</v>
      </c>
      <c r="B125" s="20" t="str">
        <f>"2100000173"</f>
        <v>2100000173</v>
      </c>
      <c r="C125" s="21" t="str">
        <f>"سمباده   کاغذيP600"</f>
        <v>سمباده   کاغذيP600</v>
      </c>
      <c r="D125" s="20" t="str">
        <f>"P-600"</f>
        <v>P-600</v>
      </c>
      <c r="E125" s="20" t="str">
        <f>"برگ"</f>
        <v>برگ</v>
      </c>
      <c r="F125" s="20">
        <v>380</v>
      </c>
      <c r="G125" s="24">
        <v>15000</v>
      </c>
      <c r="H125" s="24">
        <f t="shared" si="4"/>
        <v>5700000</v>
      </c>
    </row>
    <row r="126" spans="1:8" s="26" customFormat="1" ht="33" customHeight="1">
      <c r="A126" s="20">
        <v>124</v>
      </c>
      <c r="B126" s="20" t="str">
        <f>"2100000174"</f>
        <v>2100000174</v>
      </c>
      <c r="C126" s="21" t="str">
        <f>"سمباده   کاغذ يP800"</f>
        <v>سمباده   کاغذ يP800</v>
      </c>
      <c r="D126" s="20" t="str">
        <f>"P800-"</f>
        <v>P800-</v>
      </c>
      <c r="E126" s="20" t="str">
        <f>"برگ"</f>
        <v>برگ</v>
      </c>
      <c r="F126" s="20">
        <v>260</v>
      </c>
      <c r="G126" s="24">
        <v>15000</v>
      </c>
      <c r="H126" s="18">
        <f t="shared" si="4"/>
        <v>3900000</v>
      </c>
    </row>
    <row r="127" spans="1:8" s="26" customFormat="1" ht="33" customHeight="1">
      <c r="A127" s="20">
        <v>125</v>
      </c>
      <c r="B127" s="20" t="str">
        <f>"2100000175"</f>
        <v>2100000175</v>
      </c>
      <c r="C127" s="21" t="str">
        <f>"لباس کار تپنا L"</f>
        <v>لباس کار تپنا L</v>
      </c>
      <c r="D127" s="20" t="str">
        <f>"L لارج"</f>
        <v>L لارج</v>
      </c>
      <c r="E127" s="20" t="str">
        <f>"دست"</f>
        <v>دست</v>
      </c>
      <c r="F127" s="20">
        <v>1</v>
      </c>
      <c r="G127" s="24">
        <v>500000</v>
      </c>
      <c r="H127" s="24">
        <f t="shared" si="4"/>
        <v>500000</v>
      </c>
    </row>
    <row r="128" spans="1:8" s="26" customFormat="1" ht="33" customHeight="1">
      <c r="A128" s="20">
        <v>126</v>
      </c>
      <c r="B128" s="20" t="str">
        <f>"2100000176"</f>
        <v>2100000176</v>
      </c>
      <c r="C128" s="21" t="str">
        <f>"لباس کار  تپناM"</f>
        <v>لباس کار  تپناM</v>
      </c>
      <c r="D128" s="20" t="str">
        <f>"M  مديوم"</f>
        <v>M  مديوم</v>
      </c>
      <c r="E128" s="20" t="str">
        <f>"دست"</f>
        <v>دست</v>
      </c>
      <c r="F128" s="20">
        <v>53</v>
      </c>
      <c r="G128" s="24">
        <v>500000</v>
      </c>
      <c r="H128" s="24">
        <f t="shared" si="4"/>
        <v>26500000</v>
      </c>
    </row>
    <row r="129" spans="1:8" s="26" customFormat="1" ht="33" customHeight="1">
      <c r="A129" s="20">
        <v>127</v>
      </c>
      <c r="B129" s="20" t="str">
        <f>"2100000287"</f>
        <v>2100000287</v>
      </c>
      <c r="C129" s="21" t="str">
        <f>"کفش کار شماره 45-کلار"</f>
        <v>کفش کار شماره 45-کلار</v>
      </c>
      <c r="D129" s="20" t="str">
        <f>""</f>
        <v/>
      </c>
      <c r="E129" s="20" t="str">
        <f>"جفت"</f>
        <v>جفت</v>
      </c>
      <c r="F129" s="20">
        <v>17</v>
      </c>
      <c r="G129" s="24">
        <v>750000</v>
      </c>
      <c r="H129" s="18">
        <f t="shared" si="4"/>
        <v>12750000</v>
      </c>
    </row>
    <row r="130" spans="1:8" s="26" customFormat="1" ht="33" customHeight="1">
      <c r="A130" s="20">
        <v>128</v>
      </c>
      <c r="B130" s="20" t="str">
        <f>"2100000277"</f>
        <v>2100000277</v>
      </c>
      <c r="C130" s="21" t="str">
        <f>"شامپو"</f>
        <v>شامپو</v>
      </c>
      <c r="D130" s="20" t="str">
        <f>""</f>
        <v/>
      </c>
      <c r="E130" s="20" t="str">
        <f>"ليتر"</f>
        <v>ليتر</v>
      </c>
      <c r="F130" s="20">
        <v>11</v>
      </c>
      <c r="G130" s="24">
        <v>25000</v>
      </c>
      <c r="H130" s="24">
        <f t="shared" si="4"/>
        <v>275000</v>
      </c>
    </row>
    <row r="131" spans="1:8" s="26" customFormat="1" ht="33" customHeight="1">
      <c r="A131" s="20">
        <v>129</v>
      </c>
      <c r="B131" s="20" t="str">
        <f>"2100000290"</f>
        <v>2100000290</v>
      </c>
      <c r="C131" s="21" t="str">
        <f>"نوارخطر"</f>
        <v>نوارخطر</v>
      </c>
      <c r="D131" s="20" t="str">
        <f>""</f>
        <v/>
      </c>
      <c r="E131" s="20" t="str">
        <f>"متر"</f>
        <v>متر</v>
      </c>
      <c r="F131" s="20">
        <v>1109</v>
      </c>
      <c r="G131" s="24">
        <v>5000</v>
      </c>
      <c r="H131" s="24">
        <f t="shared" si="4"/>
        <v>5545000</v>
      </c>
    </row>
    <row r="132" spans="1:8" s="26" customFormat="1" ht="33" customHeight="1">
      <c r="A132" s="20">
        <v>130</v>
      </c>
      <c r="B132" s="20" t="str">
        <f>"2100000183"</f>
        <v>2100000183</v>
      </c>
      <c r="C132" s="21" t="str">
        <f>"پارچه تنظيف لانه زنبوري"</f>
        <v>پارچه تنظيف لانه زنبوري</v>
      </c>
      <c r="D132" s="20" t="str">
        <f>""</f>
        <v/>
      </c>
      <c r="E132" s="20" t="str">
        <f>"متر"</f>
        <v>متر</v>
      </c>
      <c r="F132" s="20">
        <v>638</v>
      </c>
      <c r="G132" s="24">
        <v>10000</v>
      </c>
      <c r="H132" s="18">
        <f t="shared" si="4"/>
        <v>6380000</v>
      </c>
    </row>
    <row r="133" spans="1:8" s="26" customFormat="1" ht="33" customHeight="1">
      <c r="A133" s="20">
        <v>131</v>
      </c>
      <c r="B133" s="20" t="str">
        <f>"2100000184"</f>
        <v>2100000184</v>
      </c>
      <c r="C133" s="21" t="str">
        <f>"مايع ظرفشويي 1ليتري"</f>
        <v>مايع ظرفشويي 1ليتري</v>
      </c>
      <c r="D133" s="20" t="str">
        <f>"صحت"</f>
        <v>صحت</v>
      </c>
      <c r="E133" s="20" t="str">
        <f>"ليتر"</f>
        <v>ليتر</v>
      </c>
      <c r="F133" s="20">
        <v>93</v>
      </c>
      <c r="G133" s="24">
        <v>30000</v>
      </c>
      <c r="H133" s="24">
        <f t="shared" si="4"/>
        <v>2790000</v>
      </c>
    </row>
    <row r="134" spans="1:8" s="26" customFormat="1" ht="33" customHeight="1">
      <c r="A134" s="20">
        <v>132</v>
      </c>
      <c r="B134" s="20" t="str">
        <f>"2100000187"</f>
        <v>2100000187</v>
      </c>
      <c r="C134" s="21" t="str">
        <f>"باند پانسمان"</f>
        <v>باند پانسمان</v>
      </c>
      <c r="D134" s="20" t="str">
        <f>"10 CM"</f>
        <v>10 CM</v>
      </c>
      <c r="E134" s="20" t="str">
        <f t="shared" ref="E134:E142" si="7">"عدد"</f>
        <v>عدد</v>
      </c>
      <c r="F134" s="20">
        <v>60</v>
      </c>
      <c r="G134" s="24">
        <v>15000</v>
      </c>
      <c r="H134" s="24">
        <f t="shared" ref="H134:H197" si="8">G134*F134</f>
        <v>900000</v>
      </c>
    </row>
    <row r="135" spans="1:8" s="26" customFormat="1" ht="33" customHeight="1">
      <c r="A135" s="20">
        <v>133</v>
      </c>
      <c r="B135" s="20" t="str">
        <f>"2100000189"</f>
        <v>2100000189</v>
      </c>
      <c r="C135" s="21" t="str">
        <f>"نوار تفلون -کوچک"</f>
        <v>نوار تفلون -کوچک</v>
      </c>
      <c r="D135" s="20" t="str">
        <f>"کوچک"</f>
        <v>کوچک</v>
      </c>
      <c r="E135" s="20" t="str">
        <f t="shared" si="7"/>
        <v>عدد</v>
      </c>
      <c r="F135" s="20">
        <v>32</v>
      </c>
      <c r="G135" s="24">
        <v>5000</v>
      </c>
      <c r="H135" s="18">
        <f t="shared" si="8"/>
        <v>160000</v>
      </c>
    </row>
    <row r="136" spans="1:8" s="26" customFormat="1" ht="33" customHeight="1">
      <c r="A136" s="20">
        <v>134</v>
      </c>
      <c r="B136" s="20" t="str">
        <f>"2100000190"</f>
        <v>2100000190</v>
      </c>
      <c r="C136" s="21" t="str">
        <f>"نوار  تفلون صنعتي-بزرگ"</f>
        <v>نوار  تفلون صنعتي-بزرگ</v>
      </c>
      <c r="D136" s="20" t="str">
        <f>"بزرگ"</f>
        <v>بزرگ</v>
      </c>
      <c r="E136" s="20" t="str">
        <f t="shared" si="7"/>
        <v>عدد</v>
      </c>
      <c r="F136" s="20">
        <v>169</v>
      </c>
      <c r="G136" s="24">
        <v>15000</v>
      </c>
      <c r="H136" s="24">
        <f t="shared" si="8"/>
        <v>2535000</v>
      </c>
    </row>
    <row r="137" spans="1:8" s="26" customFormat="1" ht="33" customHeight="1">
      <c r="A137" s="20">
        <v>135</v>
      </c>
      <c r="B137" s="20" t="str">
        <f>"2100000191"</f>
        <v>2100000191</v>
      </c>
      <c r="C137" s="21" t="str">
        <f>"تي نخي"</f>
        <v>تي نخي</v>
      </c>
      <c r="D137" s="20" t="str">
        <f>""</f>
        <v/>
      </c>
      <c r="E137" s="20" t="str">
        <f t="shared" si="7"/>
        <v>عدد</v>
      </c>
      <c r="F137" s="20">
        <v>15</v>
      </c>
      <c r="G137" s="24">
        <v>180000</v>
      </c>
      <c r="H137" s="24">
        <f t="shared" si="8"/>
        <v>2700000</v>
      </c>
    </row>
    <row r="138" spans="1:8" s="26" customFormat="1" ht="33" customHeight="1">
      <c r="A138" s="20">
        <v>136</v>
      </c>
      <c r="B138" s="20" t="str">
        <f>"2100000192"</f>
        <v>2100000192</v>
      </c>
      <c r="C138" s="21" t="str">
        <f>"خاک انداز"</f>
        <v>خاک انداز</v>
      </c>
      <c r="D138" s="20" t="str">
        <f>""</f>
        <v/>
      </c>
      <c r="E138" s="20" t="str">
        <f t="shared" si="7"/>
        <v>عدد</v>
      </c>
      <c r="F138" s="20">
        <v>33</v>
      </c>
      <c r="G138" s="24">
        <v>350000</v>
      </c>
      <c r="H138" s="18">
        <f t="shared" si="8"/>
        <v>11550000</v>
      </c>
    </row>
    <row r="139" spans="1:8" s="26" customFormat="1" ht="33" customHeight="1">
      <c r="A139" s="20">
        <v>137</v>
      </c>
      <c r="B139" s="20" t="str">
        <f>"2100000193"</f>
        <v>2100000193</v>
      </c>
      <c r="C139" s="21" t="str">
        <f>"چسب سيليکون -شفاف اکواريم"</f>
        <v>چسب سيليکون -شفاف اکواريم</v>
      </c>
      <c r="D139" s="20" t="str">
        <f>"آب بندي"</f>
        <v>آب بندي</v>
      </c>
      <c r="E139" s="20" t="str">
        <f t="shared" si="7"/>
        <v>عدد</v>
      </c>
      <c r="F139" s="20">
        <v>10</v>
      </c>
      <c r="G139" s="24">
        <v>75000</v>
      </c>
      <c r="H139" s="24">
        <f t="shared" si="8"/>
        <v>750000</v>
      </c>
    </row>
    <row r="140" spans="1:8" s="26" customFormat="1" ht="33" customHeight="1">
      <c r="A140" s="20">
        <v>138</v>
      </c>
      <c r="B140" s="20" t="str">
        <f>"2100000194"</f>
        <v>2100000194</v>
      </c>
      <c r="C140" s="21" t="str">
        <f>"حفاظ داخلي کلاه ايمني"</f>
        <v>حفاظ داخلي کلاه ايمني</v>
      </c>
      <c r="D140" s="20" t="str">
        <f>""</f>
        <v/>
      </c>
      <c r="E140" s="20" t="str">
        <f t="shared" si="7"/>
        <v>عدد</v>
      </c>
      <c r="F140" s="20">
        <v>40</v>
      </c>
      <c r="G140" s="24">
        <v>75000</v>
      </c>
      <c r="H140" s="24">
        <f t="shared" si="8"/>
        <v>3000000</v>
      </c>
    </row>
    <row r="141" spans="1:8" s="26" customFormat="1" ht="33" customHeight="1">
      <c r="A141" s="20">
        <v>139</v>
      </c>
      <c r="B141" s="20" t="str">
        <f>"2100000195"</f>
        <v>2100000195</v>
      </c>
      <c r="C141" s="21" t="str">
        <f>"چسب 5سانتي عايق بندي"</f>
        <v>چسب 5سانتي عايق بندي</v>
      </c>
      <c r="D141" s="20" t="str">
        <f>""</f>
        <v/>
      </c>
      <c r="E141" s="20" t="str">
        <f t="shared" si="7"/>
        <v>عدد</v>
      </c>
      <c r="F141" s="20">
        <v>2</v>
      </c>
      <c r="G141" s="24">
        <v>75000</v>
      </c>
      <c r="H141" s="18">
        <f t="shared" si="8"/>
        <v>150000</v>
      </c>
    </row>
    <row r="142" spans="1:8" s="26" customFormat="1" ht="33" customHeight="1">
      <c r="A142" s="20">
        <v>140</v>
      </c>
      <c r="B142" s="20" t="str">
        <f>"2100000196"</f>
        <v>2100000196</v>
      </c>
      <c r="C142" s="21" t="str">
        <f>"کمربند ايمني"</f>
        <v>کمربند ايمني</v>
      </c>
      <c r="D142" s="20" t="str">
        <f>""</f>
        <v/>
      </c>
      <c r="E142" s="20" t="str">
        <f t="shared" si="7"/>
        <v>عدد</v>
      </c>
      <c r="F142" s="20">
        <v>6</v>
      </c>
      <c r="G142" s="24">
        <v>1500000</v>
      </c>
      <c r="H142" s="24">
        <f t="shared" si="8"/>
        <v>9000000</v>
      </c>
    </row>
    <row r="143" spans="1:8" s="26" customFormat="1" ht="33" customHeight="1">
      <c r="A143" s="20">
        <v>141</v>
      </c>
      <c r="B143" s="20" t="str">
        <f>"2100000198"</f>
        <v>2100000198</v>
      </c>
      <c r="C143" s="21" t="str">
        <f>"سمباده کاغذي چسب دار P280"</f>
        <v>سمباده کاغذي چسب دار P280</v>
      </c>
      <c r="D143" s="20" t="str">
        <f>"P280"</f>
        <v>P280</v>
      </c>
      <c r="E143" s="20" t="str">
        <f>"برگ"</f>
        <v>برگ</v>
      </c>
      <c r="F143" s="20">
        <v>1</v>
      </c>
      <c r="G143" s="24">
        <v>40000</v>
      </c>
      <c r="H143" s="24">
        <f t="shared" si="8"/>
        <v>40000</v>
      </c>
    </row>
    <row r="144" spans="1:8" s="26" customFormat="1" ht="33" customHeight="1">
      <c r="A144" s="20">
        <v>142</v>
      </c>
      <c r="B144" s="20" t="str">
        <f>"2100000200"</f>
        <v>2100000200</v>
      </c>
      <c r="C144" s="21" t="str">
        <f>"زونکن کش دار"</f>
        <v>زونکن کش دار</v>
      </c>
      <c r="D144" s="20" t="str">
        <f>""</f>
        <v/>
      </c>
      <c r="E144" s="20" t="str">
        <f t="shared" ref="E144:E150" si="9">"عدد"</f>
        <v>عدد</v>
      </c>
      <c r="F144" s="20">
        <v>20</v>
      </c>
      <c r="G144" s="24">
        <v>120000</v>
      </c>
      <c r="H144" s="18">
        <f t="shared" si="8"/>
        <v>2400000</v>
      </c>
    </row>
    <row r="145" spans="1:8" s="26" customFormat="1" ht="33" customHeight="1">
      <c r="A145" s="20">
        <v>143</v>
      </c>
      <c r="B145" s="20" t="str">
        <f>"2100000217"</f>
        <v>2100000217</v>
      </c>
      <c r="C145" s="21" t="str">
        <f>"کلاه حصيري"</f>
        <v>کلاه حصيري</v>
      </c>
      <c r="D145" s="20" t="str">
        <f>""</f>
        <v/>
      </c>
      <c r="E145" s="20" t="str">
        <f t="shared" si="9"/>
        <v>عدد</v>
      </c>
      <c r="F145" s="20">
        <v>15</v>
      </c>
      <c r="G145" s="24">
        <v>100000</v>
      </c>
      <c r="H145" s="24">
        <f t="shared" si="8"/>
        <v>1500000</v>
      </c>
    </row>
    <row r="146" spans="1:8" s="26" customFormat="1" ht="33" customHeight="1">
      <c r="A146" s="20">
        <v>144</v>
      </c>
      <c r="B146" s="20" t="str">
        <f>"2100000211"</f>
        <v>2100000211</v>
      </c>
      <c r="C146" s="21" t="str">
        <f>"محلول شستشوي چشم"</f>
        <v>محلول شستشوي چشم</v>
      </c>
      <c r="D146" s="20" t="str">
        <f>""</f>
        <v/>
      </c>
      <c r="E146" s="20" t="str">
        <f t="shared" si="9"/>
        <v>عدد</v>
      </c>
      <c r="F146" s="20">
        <v>7</v>
      </c>
      <c r="G146" s="24">
        <v>30000</v>
      </c>
      <c r="H146" s="24">
        <f t="shared" si="8"/>
        <v>210000</v>
      </c>
    </row>
    <row r="147" spans="1:8" s="26" customFormat="1" ht="33" customHeight="1">
      <c r="A147" s="20">
        <v>145</v>
      </c>
      <c r="B147" s="20" t="str">
        <f>"2100000212"</f>
        <v>2100000212</v>
      </c>
      <c r="C147" s="21" t="str">
        <f>"باند پانسمان 5 سانتي"</f>
        <v>باند پانسمان 5 سانتي</v>
      </c>
      <c r="D147" s="20" t="str">
        <f>""</f>
        <v/>
      </c>
      <c r="E147" s="20" t="str">
        <f t="shared" si="9"/>
        <v>عدد</v>
      </c>
      <c r="F147" s="20">
        <v>60</v>
      </c>
      <c r="G147" s="24">
        <v>15000</v>
      </c>
      <c r="H147" s="18">
        <f t="shared" si="8"/>
        <v>900000</v>
      </c>
    </row>
    <row r="148" spans="1:8" s="26" customFormat="1" ht="33" customHeight="1">
      <c r="A148" s="20">
        <v>146</v>
      </c>
      <c r="B148" s="20" t="str">
        <f>"2100000221"</f>
        <v>2100000221</v>
      </c>
      <c r="C148" s="21" t="str">
        <f>"خودکار سبز"</f>
        <v>خودکار سبز</v>
      </c>
      <c r="D148" s="20" t="str">
        <f>""</f>
        <v/>
      </c>
      <c r="E148" s="20" t="str">
        <f t="shared" si="9"/>
        <v>عدد</v>
      </c>
      <c r="F148" s="20">
        <v>70</v>
      </c>
      <c r="G148" s="24">
        <v>10000</v>
      </c>
      <c r="H148" s="24">
        <f t="shared" si="8"/>
        <v>700000</v>
      </c>
    </row>
    <row r="149" spans="1:8" s="26" customFormat="1" ht="33" customHeight="1">
      <c r="A149" s="20">
        <v>147</v>
      </c>
      <c r="B149" s="20" t="str">
        <f>"2100000219"</f>
        <v>2100000219</v>
      </c>
      <c r="C149" s="21" t="str">
        <f>"تشت پلاستيکي"</f>
        <v>تشت پلاستيکي</v>
      </c>
      <c r="D149" s="20" t="str">
        <f>""</f>
        <v/>
      </c>
      <c r="E149" s="20" t="str">
        <f t="shared" si="9"/>
        <v>عدد</v>
      </c>
      <c r="F149" s="20">
        <v>3</v>
      </c>
      <c r="G149" s="24">
        <v>55000</v>
      </c>
      <c r="H149" s="24">
        <f t="shared" si="8"/>
        <v>165000</v>
      </c>
    </row>
    <row r="150" spans="1:8" s="26" customFormat="1" ht="33" customHeight="1">
      <c r="A150" s="20">
        <v>148</v>
      </c>
      <c r="B150" s="20" t="str">
        <f>"2100000220"</f>
        <v>2100000220</v>
      </c>
      <c r="C150" s="21" t="str">
        <f>"چسب 5سانتي عايق بندي مخصوص كولر اسپيلت"</f>
        <v>چسب 5سانتي عايق بندي مخصوص كولر اسپيلت</v>
      </c>
      <c r="D150" s="20" t="str">
        <f>"مخصوص کولر اسپليت"</f>
        <v>مخصوص کولر اسپليت</v>
      </c>
      <c r="E150" s="20" t="str">
        <f t="shared" si="9"/>
        <v>عدد</v>
      </c>
      <c r="F150" s="20">
        <v>19</v>
      </c>
      <c r="G150" s="24">
        <v>75000</v>
      </c>
      <c r="H150" s="18">
        <f t="shared" si="8"/>
        <v>1425000</v>
      </c>
    </row>
    <row r="151" spans="1:8" s="26" customFormat="1" ht="33" customHeight="1">
      <c r="A151" s="20">
        <v>149</v>
      </c>
      <c r="B151" s="20" t="str">
        <f>"2100000202"</f>
        <v>2100000202</v>
      </c>
      <c r="C151" s="21" t="str">
        <f>"طلق"</f>
        <v>طلق</v>
      </c>
      <c r="D151" s="20" t="str">
        <f>""</f>
        <v/>
      </c>
      <c r="E151" s="20" t="str">
        <f>"برگ"</f>
        <v>برگ</v>
      </c>
      <c r="F151" s="20">
        <v>991</v>
      </c>
      <c r="G151" s="24">
        <v>1500</v>
      </c>
      <c r="H151" s="24">
        <f t="shared" si="8"/>
        <v>1486500</v>
      </c>
    </row>
    <row r="152" spans="1:8" s="26" customFormat="1" ht="33" customHeight="1">
      <c r="A152" s="20">
        <v>150</v>
      </c>
      <c r="B152" s="20" t="str">
        <f>"2100000203"</f>
        <v>2100000203</v>
      </c>
      <c r="C152" s="21" t="str">
        <f>"شيرازه کشويي نمره 8"</f>
        <v>شيرازه کشويي نمره 8</v>
      </c>
      <c r="D152" s="20" t="str">
        <f>"شماره 8"</f>
        <v>شماره 8</v>
      </c>
      <c r="E152" s="20" t="str">
        <f>"عدد"</f>
        <v>عدد</v>
      </c>
      <c r="F152" s="20">
        <v>90</v>
      </c>
      <c r="G152" s="24">
        <v>2000</v>
      </c>
      <c r="H152" s="24">
        <f t="shared" si="8"/>
        <v>180000</v>
      </c>
    </row>
    <row r="153" spans="1:8" s="26" customFormat="1" ht="33" customHeight="1">
      <c r="A153" s="20">
        <v>151</v>
      </c>
      <c r="B153" s="20" t="str">
        <f>"2100000204"</f>
        <v>2100000204</v>
      </c>
      <c r="C153" s="21" t="str">
        <f>"گيره پوشه"</f>
        <v>گيره پوشه</v>
      </c>
      <c r="D153" s="20" t="str">
        <f>""</f>
        <v/>
      </c>
      <c r="E153" s="20" t="str">
        <f>"عدد"</f>
        <v>عدد</v>
      </c>
      <c r="F153" s="20">
        <v>20</v>
      </c>
      <c r="G153" s="24">
        <v>5000</v>
      </c>
      <c r="H153" s="18">
        <f t="shared" si="8"/>
        <v>100000</v>
      </c>
    </row>
    <row r="154" spans="1:8" s="26" customFormat="1" ht="33" customHeight="1">
      <c r="A154" s="20">
        <v>152</v>
      </c>
      <c r="B154" s="20" t="str">
        <f>"3100000028"</f>
        <v>3100000028</v>
      </c>
      <c r="C154" s="21" t="str">
        <f>"تينرشستشو"</f>
        <v>تينرشستشو</v>
      </c>
      <c r="D154" s="20" t="str">
        <f>""</f>
        <v/>
      </c>
      <c r="E154" s="20" t="str">
        <f>"ليتر"</f>
        <v>ليتر</v>
      </c>
      <c r="F154" s="20">
        <v>7</v>
      </c>
      <c r="G154" s="24">
        <v>35000</v>
      </c>
      <c r="H154" s="24">
        <f t="shared" si="8"/>
        <v>245000</v>
      </c>
    </row>
    <row r="155" spans="1:8" s="26" customFormat="1" ht="33" customHeight="1">
      <c r="A155" s="20">
        <v>153</v>
      </c>
      <c r="B155" s="20" t="str">
        <f>"3100000030"</f>
        <v>3100000030</v>
      </c>
      <c r="C155" s="21" t="str">
        <f>"الکل"</f>
        <v>الکل</v>
      </c>
      <c r="D155" s="20" t="str">
        <f>"صنعتي 97درصد"</f>
        <v>صنعتي 97درصد</v>
      </c>
      <c r="E155" s="20" t="str">
        <f>"ليتر"</f>
        <v>ليتر</v>
      </c>
      <c r="F155" s="20">
        <v>6</v>
      </c>
      <c r="G155" s="24">
        <v>75000</v>
      </c>
      <c r="H155" s="24">
        <f t="shared" si="8"/>
        <v>450000</v>
      </c>
    </row>
    <row r="156" spans="1:8" s="26" customFormat="1" ht="33" customHeight="1">
      <c r="A156" s="20">
        <v>154</v>
      </c>
      <c r="B156" s="20" t="str">
        <f>"2100000206"</f>
        <v>2100000206</v>
      </c>
      <c r="C156" s="21" t="str">
        <f>"لاک غلط گير قلمي"</f>
        <v>لاک غلط گير قلمي</v>
      </c>
      <c r="D156" s="20" t="str">
        <f>""</f>
        <v/>
      </c>
      <c r="E156" s="20" t="str">
        <f>"عدد"</f>
        <v>عدد</v>
      </c>
      <c r="F156" s="20">
        <v>13</v>
      </c>
      <c r="G156" s="24">
        <v>35000</v>
      </c>
      <c r="H156" s="18">
        <f t="shared" si="8"/>
        <v>455000</v>
      </c>
    </row>
    <row r="157" spans="1:8" s="26" customFormat="1" ht="33" customHeight="1">
      <c r="A157" s="20">
        <v>155</v>
      </c>
      <c r="B157" s="20" t="str">
        <f>"2100000223"</f>
        <v>2100000223</v>
      </c>
      <c r="C157" s="21" t="str">
        <f>"دستکش نخي كف تقويت شده"</f>
        <v>دستکش نخي كف تقويت شده</v>
      </c>
      <c r="D157" s="20" t="str">
        <f>""</f>
        <v/>
      </c>
      <c r="E157" s="20" t="str">
        <f>"جفت"</f>
        <v>جفت</v>
      </c>
      <c r="F157" s="20">
        <v>1009</v>
      </c>
      <c r="G157" s="24">
        <v>40000</v>
      </c>
      <c r="H157" s="24">
        <f t="shared" si="8"/>
        <v>40360000</v>
      </c>
    </row>
    <row r="158" spans="1:8" s="26" customFormat="1" ht="33" customHeight="1">
      <c r="A158" s="20">
        <v>156</v>
      </c>
      <c r="B158" s="20" t="str">
        <f>"2100000224"</f>
        <v>2100000224</v>
      </c>
      <c r="C158" s="21" t="str">
        <f>"دسته چوبي پتک"</f>
        <v>دسته چوبي پتک</v>
      </c>
      <c r="D158" s="20" t="str">
        <f>""</f>
        <v/>
      </c>
      <c r="E158" s="20" t="str">
        <f>"عدد"</f>
        <v>عدد</v>
      </c>
      <c r="F158" s="20">
        <v>4</v>
      </c>
      <c r="G158" s="24">
        <v>200000</v>
      </c>
      <c r="H158" s="24">
        <f t="shared" si="8"/>
        <v>800000</v>
      </c>
    </row>
    <row r="159" spans="1:8" s="26" customFormat="1" ht="33" customHeight="1">
      <c r="A159" s="20">
        <v>157</v>
      </c>
      <c r="B159" s="20" t="str">
        <f>"2100000225"</f>
        <v>2100000225</v>
      </c>
      <c r="C159" s="21" t="str">
        <f>"چاي خشک"</f>
        <v>چاي خشک</v>
      </c>
      <c r="D159" s="20" t="str">
        <f>""</f>
        <v/>
      </c>
      <c r="E159" s="20" t="str">
        <f>"گرم"</f>
        <v>گرم</v>
      </c>
      <c r="F159" s="20">
        <v>6529</v>
      </c>
      <c r="G159" s="24">
        <v>125000</v>
      </c>
      <c r="H159" s="18">
        <f t="shared" si="8"/>
        <v>816125000</v>
      </c>
    </row>
    <row r="160" spans="1:8" s="26" customFormat="1" ht="33" customHeight="1">
      <c r="A160" s="20">
        <v>158</v>
      </c>
      <c r="B160" s="20" t="str">
        <f>"2100000227"</f>
        <v>2100000227</v>
      </c>
      <c r="C160" s="21" t="str">
        <f>"کارتريج پرينتر  85a"</f>
        <v>کارتريج پرينتر  85a</v>
      </c>
      <c r="D160" s="20" t="str">
        <f>"85 A"</f>
        <v>85 A</v>
      </c>
      <c r="E160" s="20" t="str">
        <f>"عدد"</f>
        <v>عدد</v>
      </c>
      <c r="F160" s="20">
        <v>3</v>
      </c>
      <c r="G160" s="24">
        <v>750000</v>
      </c>
      <c r="H160" s="24">
        <f t="shared" si="8"/>
        <v>2250000</v>
      </c>
    </row>
    <row r="161" spans="1:8" s="26" customFormat="1" ht="33" customHeight="1">
      <c r="A161" s="20">
        <v>159</v>
      </c>
      <c r="B161" s="20" t="str">
        <f>"2100000228"</f>
        <v>2100000228</v>
      </c>
      <c r="C161" s="21" t="str">
        <f>"کارتريج  05A"</f>
        <v>کارتريج  05A</v>
      </c>
      <c r="D161" s="20" t="str">
        <f>"05 A"</f>
        <v>05 A</v>
      </c>
      <c r="E161" s="20" t="str">
        <f>"عدد"</f>
        <v>عدد</v>
      </c>
      <c r="F161" s="20">
        <v>6</v>
      </c>
      <c r="G161" s="24">
        <v>850000</v>
      </c>
      <c r="H161" s="24">
        <f t="shared" si="8"/>
        <v>5100000</v>
      </c>
    </row>
    <row r="162" spans="1:8" s="26" customFormat="1" ht="33" customHeight="1">
      <c r="A162" s="20">
        <v>160</v>
      </c>
      <c r="B162" s="20" t="str">
        <f>"2100000231"</f>
        <v>2100000231</v>
      </c>
      <c r="C162" s="21" t="str">
        <f>"سطل فلزي"</f>
        <v>سطل فلزي</v>
      </c>
      <c r="D162" s="20" t="str">
        <f>""</f>
        <v/>
      </c>
      <c r="E162" s="20" t="str">
        <f>"عدد"</f>
        <v>عدد</v>
      </c>
      <c r="F162" s="20">
        <v>20</v>
      </c>
      <c r="G162" s="24">
        <v>75000</v>
      </c>
      <c r="H162" s="18">
        <f t="shared" si="8"/>
        <v>1500000</v>
      </c>
    </row>
    <row r="163" spans="1:8" s="26" customFormat="1" ht="33" customHeight="1">
      <c r="A163" s="20">
        <v>161</v>
      </c>
      <c r="B163" s="20" t="str">
        <f>"2100000232"</f>
        <v>2100000232</v>
      </c>
      <c r="C163" s="21" t="str">
        <f>"کاغذ A5"</f>
        <v>کاغذ A5</v>
      </c>
      <c r="D163" s="20" t="str">
        <f>""</f>
        <v/>
      </c>
      <c r="E163" s="20" t="str">
        <f>"بسته"</f>
        <v>بسته</v>
      </c>
      <c r="F163" s="20">
        <v>9</v>
      </c>
      <c r="G163" s="24">
        <v>90000</v>
      </c>
      <c r="H163" s="24">
        <f t="shared" si="8"/>
        <v>810000</v>
      </c>
    </row>
    <row r="164" spans="1:8" s="26" customFormat="1" ht="33" customHeight="1">
      <c r="A164" s="20">
        <v>162</v>
      </c>
      <c r="B164" s="20" t="str">
        <f>"2100000233"</f>
        <v>2100000233</v>
      </c>
      <c r="C164" s="21" t="str">
        <f>"پوشه دکمه دار (فولدردکمه دار)"</f>
        <v>پوشه دکمه دار (فولدردکمه دار)</v>
      </c>
      <c r="D164" s="20" t="str">
        <f>""</f>
        <v/>
      </c>
      <c r="E164" s="20" t="str">
        <f t="shared" ref="E164:E168" si="10">"عدد"</f>
        <v>عدد</v>
      </c>
      <c r="F164" s="20">
        <v>1</v>
      </c>
      <c r="G164" s="24">
        <v>25000</v>
      </c>
      <c r="H164" s="24">
        <f t="shared" si="8"/>
        <v>25000</v>
      </c>
    </row>
    <row r="165" spans="1:8" s="26" customFormat="1" ht="33" customHeight="1">
      <c r="A165" s="20">
        <v>163</v>
      </c>
      <c r="B165" s="20" t="str">
        <f>"2100000235"</f>
        <v>2100000235</v>
      </c>
      <c r="C165" s="21" t="str">
        <f>"جوهراستامپ قرمز"</f>
        <v>جوهراستامپ قرمز</v>
      </c>
      <c r="D165" s="20" t="str">
        <f>""</f>
        <v/>
      </c>
      <c r="E165" s="20" t="str">
        <f t="shared" si="10"/>
        <v>عدد</v>
      </c>
      <c r="F165" s="20">
        <v>1</v>
      </c>
      <c r="G165" s="24">
        <v>45000</v>
      </c>
      <c r="H165" s="18">
        <f t="shared" si="8"/>
        <v>45000</v>
      </c>
    </row>
    <row r="166" spans="1:8" s="26" customFormat="1" ht="33" customHeight="1">
      <c r="A166" s="20">
        <v>164</v>
      </c>
      <c r="B166" s="20" t="str">
        <f>"2100000236"</f>
        <v>2100000236</v>
      </c>
      <c r="C166" s="21" t="str">
        <f>"جوهر استامپ مشکي"</f>
        <v>جوهر استامپ مشکي</v>
      </c>
      <c r="D166" s="20" t="str">
        <f>""</f>
        <v/>
      </c>
      <c r="E166" s="20" t="str">
        <f t="shared" si="10"/>
        <v>عدد</v>
      </c>
      <c r="F166" s="20">
        <v>2</v>
      </c>
      <c r="G166" s="24">
        <v>45000</v>
      </c>
      <c r="H166" s="24">
        <f t="shared" si="8"/>
        <v>90000</v>
      </c>
    </row>
    <row r="167" spans="1:8" s="26" customFormat="1" ht="33" customHeight="1">
      <c r="A167" s="20">
        <v>165</v>
      </c>
      <c r="B167" s="20" t="str">
        <f>"2100000243"</f>
        <v>2100000243</v>
      </c>
      <c r="C167" s="21" t="str">
        <f>"شيرازه فنري 70برگي"</f>
        <v>شيرازه فنري 70برگي</v>
      </c>
      <c r="D167" s="20" t="str">
        <f>""</f>
        <v/>
      </c>
      <c r="E167" s="20" t="str">
        <f t="shared" si="10"/>
        <v>عدد</v>
      </c>
      <c r="F167" s="20">
        <v>1</v>
      </c>
      <c r="G167" s="24">
        <v>2000</v>
      </c>
      <c r="H167" s="24">
        <f t="shared" si="8"/>
        <v>2000</v>
      </c>
    </row>
    <row r="168" spans="1:8" s="26" customFormat="1" ht="33" customHeight="1">
      <c r="A168" s="20">
        <v>166</v>
      </c>
      <c r="B168" s="20" t="str">
        <f>"2100000244"</f>
        <v>2100000244</v>
      </c>
      <c r="C168" s="21" t="str">
        <f>"نازل کارواش"</f>
        <v>نازل کارواش</v>
      </c>
      <c r="D168" s="20" t="str">
        <f>""</f>
        <v/>
      </c>
      <c r="E168" s="20" t="str">
        <f t="shared" si="10"/>
        <v>عدد</v>
      </c>
      <c r="F168" s="20">
        <v>6</v>
      </c>
      <c r="G168" s="24">
        <v>750000</v>
      </c>
      <c r="H168" s="18">
        <f t="shared" si="8"/>
        <v>4500000</v>
      </c>
    </row>
    <row r="169" spans="1:8" s="26" customFormat="1" ht="33" customHeight="1">
      <c r="A169" s="20">
        <v>167</v>
      </c>
      <c r="B169" s="20" t="str">
        <f>"2100000289"</f>
        <v>2100000289</v>
      </c>
      <c r="C169" s="21" t="str">
        <f>"کفش کار شماره47 -کلار"</f>
        <v>کفش کار شماره47 -کلار</v>
      </c>
      <c r="D169" s="20" t="str">
        <f>""</f>
        <v/>
      </c>
      <c r="E169" s="20" t="str">
        <f>"جفت"</f>
        <v>جفت</v>
      </c>
      <c r="F169" s="20">
        <v>5</v>
      </c>
      <c r="G169" s="24">
        <v>750000</v>
      </c>
      <c r="H169" s="24">
        <f t="shared" si="8"/>
        <v>3750000</v>
      </c>
    </row>
    <row r="170" spans="1:8" s="26" customFormat="1" ht="33" customHeight="1">
      <c r="A170" s="20">
        <v>168</v>
      </c>
      <c r="B170" s="20" t="str">
        <f>"2100000245"</f>
        <v>2100000245</v>
      </c>
      <c r="C170" s="21" t="str">
        <f>"کارتريج    80A"</f>
        <v>کارتريج    80A</v>
      </c>
      <c r="D170" s="20" t="str">
        <f>""</f>
        <v/>
      </c>
      <c r="E170" s="20" t="str">
        <f t="shared" ref="E170:E175" si="11">"عدد"</f>
        <v>عدد</v>
      </c>
      <c r="F170" s="20">
        <v>1</v>
      </c>
      <c r="G170" s="24">
        <v>850000</v>
      </c>
      <c r="H170" s="24">
        <f t="shared" si="8"/>
        <v>850000</v>
      </c>
    </row>
    <row r="171" spans="1:8" s="26" customFormat="1" ht="33" customHeight="1">
      <c r="A171" s="20">
        <v>169</v>
      </c>
      <c r="B171" s="20" t="str">
        <f>"2100000247"</f>
        <v>2100000247</v>
      </c>
      <c r="C171" s="21" t="str">
        <f>"کارتريج 49A"</f>
        <v>کارتريج 49A</v>
      </c>
      <c r="D171" s="20" t="str">
        <f>""</f>
        <v/>
      </c>
      <c r="E171" s="20" t="str">
        <f t="shared" si="11"/>
        <v>عدد</v>
      </c>
      <c r="F171" s="20">
        <v>2</v>
      </c>
      <c r="G171" s="24">
        <v>850000</v>
      </c>
      <c r="H171" s="18">
        <f t="shared" si="8"/>
        <v>1700000</v>
      </c>
    </row>
    <row r="172" spans="1:8" s="26" customFormat="1" ht="33" customHeight="1">
      <c r="A172" s="20">
        <v>170</v>
      </c>
      <c r="B172" s="20" t="str">
        <f>"2100000248"</f>
        <v>2100000248</v>
      </c>
      <c r="C172" s="21" t="str">
        <f>"کارتريج  35A"</f>
        <v>کارتريج  35A</v>
      </c>
      <c r="D172" s="20" t="str">
        <f>""</f>
        <v/>
      </c>
      <c r="E172" s="20" t="str">
        <f t="shared" si="11"/>
        <v>عدد</v>
      </c>
      <c r="F172" s="20">
        <v>2</v>
      </c>
      <c r="G172" s="24">
        <v>850000</v>
      </c>
      <c r="H172" s="24">
        <f t="shared" si="8"/>
        <v>1700000</v>
      </c>
    </row>
    <row r="173" spans="1:8" s="26" customFormat="1" ht="33" customHeight="1">
      <c r="A173" s="20">
        <v>171</v>
      </c>
      <c r="B173" s="20" t="str">
        <f>"2100000249"</f>
        <v>2100000249</v>
      </c>
      <c r="C173" s="21" t="str">
        <f>"کارتريج  36A"</f>
        <v>کارتريج  36A</v>
      </c>
      <c r="D173" s="20" t="str">
        <f>""</f>
        <v/>
      </c>
      <c r="E173" s="20" t="str">
        <f t="shared" si="11"/>
        <v>عدد</v>
      </c>
      <c r="F173" s="20">
        <v>2</v>
      </c>
      <c r="G173" s="24">
        <v>850000</v>
      </c>
      <c r="H173" s="24">
        <f t="shared" si="8"/>
        <v>1700000</v>
      </c>
    </row>
    <row r="174" spans="1:8" s="26" customFormat="1" ht="33" customHeight="1">
      <c r="A174" s="20">
        <v>172</v>
      </c>
      <c r="B174" s="20" t="str">
        <f>"2100000259"</f>
        <v>2100000259</v>
      </c>
      <c r="C174" s="21" t="str">
        <f>"شيرازه فنري 350برگي"</f>
        <v>شيرازه فنري 350برگي</v>
      </c>
      <c r="D174" s="20" t="str">
        <f>""</f>
        <v/>
      </c>
      <c r="E174" s="20" t="str">
        <f t="shared" si="11"/>
        <v>عدد</v>
      </c>
      <c r="F174" s="20">
        <v>1</v>
      </c>
      <c r="G174" s="24">
        <v>5000</v>
      </c>
      <c r="H174" s="18">
        <f t="shared" si="8"/>
        <v>5000</v>
      </c>
    </row>
    <row r="175" spans="1:8" s="26" customFormat="1" ht="33" customHeight="1">
      <c r="A175" s="20">
        <v>173</v>
      </c>
      <c r="B175" s="20" t="str">
        <f>"2100000260"</f>
        <v>2100000260</v>
      </c>
      <c r="C175" s="21" t="str">
        <f>"برس رنگزني3اينچ"</f>
        <v>برس رنگزني3اينچ</v>
      </c>
      <c r="D175" s="20" t="str">
        <f>"3اينچ"</f>
        <v>3اينچ</v>
      </c>
      <c r="E175" s="20" t="str">
        <f t="shared" si="11"/>
        <v>عدد</v>
      </c>
      <c r="F175" s="20">
        <v>8</v>
      </c>
      <c r="G175" s="24">
        <v>70000</v>
      </c>
      <c r="H175" s="24">
        <f t="shared" si="8"/>
        <v>560000</v>
      </c>
    </row>
    <row r="176" spans="1:8" s="26" customFormat="1" ht="33" customHeight="1">
      <c r="A176" s="20">
        <v>174</v>
      </c>
      <c r="B176" s="20" t="str">
        <f>"2100000262"</f>
        <v>2100000262</v>
      </c>
      <c r="C176" s="21" t="str">
        <f>"لوله خرطومي جاروبرقي"</f>
        <v>لوله خرطومي جاروبرقي</v>
      </c>
      <c r="D176" s="20" t="str">
        <f>""</f>
        <v/>
      </c>
      <c r="E176" s="20" t="str">
        <f>"متر"</f>
        <v>متر</v>
      </c>
      <c r="F176" s="20">
        <v>1</v>
      </c>
      <c r="G176" s="24">
        <v>75000</v>
      </c>
      <c r="H176" s="24">
        <f t="shared" si="8"/>
        <v>75000</v>
      </c>
    </row>
    <row r="177" spans="1:8" s="26" customFormat="1" ht="33" customHeight="1">
      <c r="A177" s="20">
        <v>175</v>
      </c>
      <c r="B177" s="20" t="str">
        <f>"2100000264"</f>
        <v>2100000264</v>
      </c>
      <c r="C177" s="21" t="str">
        <f>"سوكت تلفن"</f>
        <v>سوكت تلفن</v>
      </c>
      <c r="D177" s="20" t="str">
        <f>""</f>
        <v/>
      </c>
      <c r="E177" s="20" t="str">
        <f>"عدد"</f>
        <v>عدد</v>
      </c>
      <c r="F177" s="20">
        <v>50</v>
      </c>
      <c r="G177" s="24">
        <v>800000</v>
      </c>
      <c r="H177" s="18">
        <f t="shared" si="8"/>
        <v>40000000</v>
      </c>
    </row>
    <row r="178" spans="1:8" s="26" customFormat="1" ht="33" customHeight="1">
      <c r="A178" s="20">
        <v>176</v>
      </c>
      <c r="B178" s="20" t="str">
        <f>"2100000265"</f>
        <v>2100000265</v>
      </c>
      <c r="C178" s="21" t="str">
        <f>"سيم گوشي تلفن"</f>
        <v>سيم گوشي تلفن</v>
      </c>
      <c r="D178" s="20" t="str">
        <f>""</f>
        <v/>
      </c>
      <c r="E178" s="20" t="str">
        <f>"عدد"</f>
        <v>عدد</v>
      </c>
      <c r="F178" s="20">
        <v>2</v>
      </c>
      <c r="G178" s="24">
        <v>35000</v>
      </c>
      <c r="H178" s="24">
        <f t="shared" si="8"/>
        <v>70000</v>
      </c>
    </row>
    <row r="179" spans="1:8" s="26" customFormat="1" ht="33" customHeight="1">
      <c r="A179" s="20">
        <v>177</v>
      </c>
      <c r="B179" s="20" t="str">
        <f>"2100000269"</f>
        <v>2100000269</v>
      </c>
      <c r="C179" s="21" t="str">
        <f>"پيراهن كارشناسي"</f>
        <v>پيراهن كارشناسي</v>
      </c>
      <c r="D179" s="20" t="str">
        <f>"تپنا"</f>
        <v>تپنا</v>
      </c>
      <c r="E179" s="20" t="str">
        <f>"دست"</f>
        <v>دست</v>
      </c>
      <c r="F179" s="20">
        <v>194</v>
      </c>
      <c r="G179" s="24">
        <v>450000</v>
      </c>
      <c r="H179" s="24">
        <f t="shared" si="8"/>
        <v>87300000</v>
      </c>
    </row>
    <row r="180" spans="1:8" s="26" customFormat="1" ht="33" customHeight="1">
      <c r="A180" s="20">
        <v>178</v>
      </c>
      <c r="B180" s="20" t="str">
        <f>"2100000270"</f>
        <v>2100000270</v>
      </c>
      <c r="C180" s="21" t="str">
        <f>"لباس وشلوار مخصوص جوشکاري"</f>
        <v>لباس وشلوار مخصوص جوشکاري</v>
      </c>
      <c r="D180" s="20" t="str">
        <f>""</f>
        <v/>
      </c>
      <c r="E180" s="20" t="str">
        <f>"دست"</f>
        <v>دست</v>
      </c>
      <c r="F180" s="20">
        <v>1</v>
      </c>
      <c r="G180" s="24">
        <v>2000000</v>
      </c>
      <c r="H180" s="18">
        <f t="shared" si="8"/>
        <v>2000000</v>
      </c>
    </row>
    <row r="181" spans="1:8" s="26" customFormat="1" ht="33" customHeight="1">
      <c r="A181" s="20">
        <v>179</v>
      </c>
      <c r="B181" s="20" t="str">
        <f>"2100000273"</f>
        <v>2100000273</v>
      </c>
      <c r="C181" s="21" t="str">
        <f>"استامپ"</f>
        <v>استامپ</v>
      </c>
      <c r="D181" s="20" t="str">
        <f>""</f>
        <v/>
      </c>
      <c r="E181" s="20" t="str">
        <f>"عدد"</f>
        <v>عدد</v>
      </c>
      <c r="F181" s="20">
        <v>5</v>
      </c>
      <c r="G181" s="24">
        <v>50000</v>
      </c>
      <c r="H181" s="24">
        <f t="shared" si="8"/>
        <v>250000</v>
      </c>
    </row>
    <row r="182" spans="1:8" s="26" customFormat="1" ht="33" customHeight="1">
      <c r="A182" s="20">
        <v>180</v>
      </c>
      <c r="B182" s="20" t="str">
        <f>"2100000274"</f>
        <v>2100000274</v>
      </c>
      <c r="C182" s="21" t="str">
        <f>"پمادسوختگي"</f>
        <v>پمادسوختگي</v>
      </c>
      <c r="D182" s="20" t="str">
        <f>""</f>
        <v/>
      </c>
      <c r="E182" s="20" t="str">
        <f>"عدد"</f>
        <v>عدد</v>
      </c>
      <c r="F182" s="20">
        <v>31</v>
      </c>
      <c r="G182" s="24">
        <v>50000</v>
      </c>
      <c r="H182" s="24">
        <f t="shared" si="8"/>
        <v>1550000</v>
      </c>
    </row>
    <row r="183" spans="1:8" s="26" customFormat="1" ht="33" customHeight="1">
      <c r="A183" s="20">
        <v>181</v>
      </c>
      <c r="B183" s="20" t="str">
        <f>"2100000292"</f>
        <v>2100000292</v>
      </c>
      <c r="C183" s="21" t="str">
        <f>"کفش کار تبريز-شماره40"</f>
        <v>کفش کار تبريز-شماره40</v>
      </c>
      <c r="D183" s="20" t="str">
        <f>""</f>
        <v/>
      </c>
      <c r="E183" s="20" t="str">
        <f>"جفت"</f>
        <v>جفت</v>
      </c>
      <c r="F183" s="20">
        <v>2</v>
      </c>
      <c r="G183" s="24">
        <v>750000</v>
      </c>
      <c r="H183" s="18">
        <f t="shared" si="8"/>
        <v>1500000</v>
      </c>
    </row>
    <row r="184" spans="1:8" s="26" customFormat="1" ht="33" customHeight="1">
      <c r="A184" s="20">
        <v>182</v>
      </c>
      <c r="B184" s="20" t="str">
        <f>"2100000095"</f>
        <v>2100000095</v>
      </c>
      <c r="C184" s="21" t="str">
        <f>"سمباده کاغذي P320"</f>
        <v>سمباده کاغذي P320</v>
      </c>
      <c r="D184" s="20" t="str">
        <f>""</f>
        <v/>
      </c>
      <c r="E184" s="20" t="str">
        <f t="shared" ref="E184:E189" si="12">"برگ"</f>
        <v>برگ</v>
      </c>
      <c r="F184" s="20">
        <v>50</v>
      </c>
      <c r="G184" s="24">
        <v>15000</v>
      </c>
      <c r="H184" s="24">
        <f t="shared" si="8"/>
        <v>750000</v>
      </c>
    </row>
    <row r="185" spans="1:8" s="26" customFormat="1" ht="33" customHeight="1">
      <c r="A185" s="20">
        <v>183</v>
      </c>
      <c r="B185" s="20" t="str">
        <f>"2100000096"</f>
        <v>2100000096</v>
      </c>
      <c r="C185" s="21" t="str">
        <f>"سمباده کاغذيP360"</f>
        <v>سمباده کاغذيP360</v>
      </c>
      <c r="D185" s="20" t="str">
        <f>""</f>
        <v/>
      </c>
      <c r="E185" s="20" t="str">
        <f t="shared" si="12"/>
        <v>برگ</v>
      </c>
      <c r="F185" s="20">
        <v>75</v>
      </c>
      <c r="G185" s="24">
        <v>15000</v>
      </c>
      <c r="H185" s="24">
        <f t="shared" si="8"/>
        <v>1125000</v>
      </c>
    </row>
    <row r="186" spans="1:8" s="26" customFormat="1" ht="33" customHeight="1">
      <c r="A186" s="20">
        <v>184</v>
      </c>
      <c r="B186" s="20" t="str">
        <f>"2100000098"</f>
        <v>2100000098</v>
      </c>
      <c r="C186" s="21" t="str">
        <f>"سمباده کاغذي P500"</f>
        <v>سمباده کاغذي P500</v>
      </c>
      <c r="D186" s="20" t="str">
        <f>""</f>
        <v/>
      </c>
      <c r="E186" s="20" t="str">
        <f t="shared" si="12"/>
        <v>برگ</v>
      </c>
      <c r="F186" s="20">
        <v>50</v>
      </c>
      <c r="G186" s="24">
        <v>15000</v>
      </c>
      <c r="H186" s="18">
        <f t="shared" si="8"/>
        <v>750000</v>
      </c>
    </row>
    <row r="187" spans="1:8" s="26" customFormat="1" ht="33" customHeight="1">
      <c r="A187" s="20">
        <v>185</v>
      </c>
      <c r="B187" s="20" t="str">
        <f>"2100000101"</f>
        <v>2100000101</v>
      </c>
      <c r="C187" s="21" t="str">
        <f>"سمباده کاغذي P280"</f>
        <v>سمباده کاغذي P280</v>
      </c>
      <c r="D187" s="20" t="str">
        <f>""</f>
        <v/>
      </c>
      <c r="E187" s="20" t="str">
        <f t="shared" si="12"/>
        <v>برگ</v>
      </c>
      <c r="F187" s="20">
        <v>19</v>
      </c>
      <c r="G187" s="24">
        <v>15000</v>
      </c>
      <c r="H187" s="24">
        <f t="shared" si="8"/>
        <v>285000</v>
      </c>
    </row>
    <row r="188" spans="1:8" s="26" customFormat="1" ht="33" customHeight="1">
      <c r="A188" s="20">
        <v>186</v>
      </c>
      <c r="B188" s="20" t="str">
        <f>"2100000177"</f>
        <v>2100000177</v>
      </c>
      <c r="C188" s="21" t="str">
        <f>"سمباده کاغذي P240"</f>
        <v>سمباده کاغذي P240</v>
      </c>
      <c r="D188" s="20" t="str">
        <f>"P240"</f>
        <v>P240</v>
      </c>
      <c r="E188" s="20" t="str">
        <f t="shared" si="12"/>
        <v>برگ</v>
      </c>
      <c r="F188" s="20">
        <v>77</v>
      </c>
      <c r="G188" s="24">
        <v>15000</v>
      </c>
      <c r="H188" s="24">
        <f t="shared" si="8"/>
        <v>1155000</v>
      </c>
    </row>
    <row r="189" spans="1:8" s="26" customFormat="1" ht="33" customHeight="1">
      <c r="A189" s="20">
        <v>187</v>
      </c>
      <c r="B189" s="20" t="str">
        <f>"2100000178"</f>
        <v>2100000178</v>
      </c>
      <c r="C189" s="21" t="str">
        <f>"سمباده کاغذي چسب دار P80"</f>
        <v>سمباده کاغذي چسب دار P80</v>
      </c>
      <c r="D189" s="20" t="str">
        <f>"P80"</f>
        <v>P80</v>
      </c>
      <c r="E189" s="20" t="str">
        <f t="shared" si="12"/>
        <v>برگ</v>
      </c>
      <c r="F189" s="20">
        <v>247</v>
      </c>
      <c r="G189" s="24">
        <v>20000</v>
      </c>
      <c r="H189" s="18">
        <f t="shared" si="8"/>
        <v>4940000</v>
      </c>
    </row>
    <row r="190" spans="1:8" s="26" customFormat="1" ht="33" customHeight="1">
      <c r="A190" s="20">
        <v>188</v>
      </c>
      <c r="B190" s="20" t="str">
        <f>"2100000298"</f>
        <v>2100000298</v>
      </c>
      <c r="C190" s="21" t="str">
        <f>"دستکش آلومينيومي"</f>
        <v>دستکش آلومينيومي</v>
      </c>
      <c r="D190" s="20" t="str">
        <f>""</f>
        <v/>
      </c>
      <c r="E190" s="20" t="str">
        <f>"جفت"</f>
        <v>جفت</v>
      </c>
      <c r="F190" s="20">
        <v>1</v>
      </c>
      <c r="G190" s="24">
        <v>350000</v>
      </c>
      <c r="H190" s="24">
        <f t="shared" si="8"/>
        <v>350000</v>
      </c>
    </row>
    <row r="191" spans="1:8" s="26" customFormat="1" ht="33" customHeight="1">
      <c r="A191" s="20">
        <v>189</v>
      </c>
      <c r="B191" s="20" t="str">
        <f>"2100000299"</f>
        <v>2100000299</v>
      </c>
      <c r="C191" s="21" t="str">
        <f>"عينک غواصي"</f>
        <v>عينک غواصي</v>
      </c>
      <c r="D191" s="20" t="str">
        <f>""</f>
        <v/>
      </c>
      <c r="E191" s="20" t="str">
        <f>"عدد"</f>
        <v>عدد</v>
      </c>
      <c r="F191" s="20">
        <v>1</v>
      </c>
      <c r="G191" s="24">
        <v>650000</v>
      </c>
      <c r="H191" s="24">
        <f t="shared" si="8"/>
        <v>650000</v>
      </c>
    </row>
    <row r="192" spans="1:8" s="26" customFormat="1" ht="33" customHeight="1">
      <c r="A192" s="20">
        <v>190</v>
      </c>
      <c r="B192" s="20" t="str">
        <f>"2100000302"</f>
        <v>2100000302</v>
      </c>
      <c r="C192" s="21" t="str">
        <f>"کتاب فرهنگ فشرده روسي به فارسي"</f>
        <v>کتاب فرهنگ فشرده روسي به فارسي</v>
      </c>
      <c r="D192" s="20" t="str">
        <f>"اصطلاحات نيروگاهي"</f>
        <v>اصطلاحات نيروگاهي</v>
      </c>
      <c r="E192" s="20" t="str">
        <f>"جلد"</f>
        <v>جلد</v>
      </c>
      <c r="F192" s="20">
        <v>248</v>
      </c>
      <c r="G192" s="24">
        <v>100000</v>
      </c>
      <c r="H192" s="18">
        <f t="shared" si="8"/>
        <v>24800000</v>
      </c>
    </row>
    <row r="193" spans="1:8" s="26" customFormat="1" ht="33" customHeight="1">
      <c r="A193" s="20">
        <v>191</v>
      </c>
      <c r="B193" s="20" t="str">
        <f>"2100000303"</f>
        <v>2100000303</v>
      </c>
      <c r="C193" s="21" t="str">
        <f>"کلاسور آبي رنگ"</f>
        <v>کلاسور آبي رنگ</v>
      </c>
      <c r="D193" s="20" t="str">
        <f>""</f>
        <v/>
      </c>
      <c r="E193" s="20" t="str">
        <f t="shared" ref="E193:E199" si="13">"عدد"</f>
        <v>عدد</v>
      </c>
      <c r="F193" s="20">
        <v>640</v>
      </c>
      <c r="G193" s="24">
        <v>35000</v>
      </c>
      <c r="H193" s="24">
        <f t="shared" si="8"/>
        <v>22400000</v>
      </c>
    </row>
    <row r="194" spans="1:8" s="26" customFormat="1" ht="33" customHeight="1">
      <c r="A194" s="20">
        <v>192</v>
      </c>
      <c r="B194" s="20" t="str">
        <f>"2100000304"</f>
        <v>2100000304</v>
      </c>
      <c r="C194" s="21" t="str">
        <f>"چرخ کامل  فرغون"</f>
        <v>چرخ کامل  فرغون</v>
      </c>
      <c r="D194" s="20" t="str">
        <f>""</f>
        <v/>
      </c>
      <c r="E194" s="20" t="str">
        <f t="shared" si="13"/>
        <v>عدد</v>
      </c>
      <c r="F194" s="20">
        <v>1</v>
      </c>
      <c r="G194" s="24">
        <v>800000</v>
      </c>
      <c r="H194" s="24">
        <f t="shared" si="8"/>
        <v>800000</v>
      </c>
    </row>
    <row r="195" spans="1:8" s="26" customFormat="1" ht="33" customHeight="1">
      <c r="A195" s="20">
        <v>193</v>
      </c>
      <c r="B195" s="20" t="str">
        <f>"2100000305"</f>
        <v>2100000305</v>
      </c>
      <c r="C195" s="21" t="str">
        <f>"تيوپ فرغون"</f>
        <v>تيوپ فرغون</v>
      </c>
      <c r="D195" s="20" t="str">
        <f>""</f>
        <v/>
      </c>
      <c r="E195" s="20" t="str">
        <f t="shared" si="13"/>
        <v>عدد</v>
      </c>
      <c r="F195" s="20">
        <v>5</v>
      </c>
      <c r="G195" s="24">
        <v>170000</v>
      </c>
      <c r="H195" s="18">
        <f t="shared" si="8"/>
        <v>850000</v>
      </c>
    </row>
    <row r="196" spans="1:8" s="26" customFormat="1" ht="33" customHeight="1">
      <c r="A196" s="20">
        <v>194</v>
      </c>
      <c r="B196" s="20" t="str">
        <f>"2100000306"</f>
        <v>2100000306</v>
      </c>
      <c r="C196" s="21" t="str">
        <f>"مشعل ايزوگام"</f>
        <v>مشعل ايزوگام</v>
      </c>
      <c r="D196" s="20" t="str">
        <f>""</f>
        <v/>
      </c>
      <c r="E196" s="20" t="str">
        <f t="shared" si="13"/>
        <v>عدد</v>
      </c>
      <c r="F196" s="20">
        <v>2</v>
      </c>
      <c r="G196" s="24">
        <v>150000</v>
      </c>
      <c r="H196" s="24">
        <f t="shared" si="8"/>
        <v>300000</v>
      </c>
    </row>
    <row r="197" spans="1:8" s="26" customFormat="1" ht="33" customHeight="1">
      <c r="A197" s="20">
        <v>195</v>
      </c>
      <c r="B197" s="20" t="str">
        <f>"2100000307"</f>
        <v>2100000307</v>
      </c>
      <c r="C197" s="21" t="str">
        <f>"کارتريج 83A"</f>
        <v>کارتريج 83A</v>
      </c>
      <c r="D197" s="20" t="str">
        <f>"83A"</f>
        <v>83A</v>
      </c>
      <c r="E197" s="20" t="str">
        <f t="shared" si="13"/>
        <v>عدد</v>
      </c>
      <c r="F197" s="20">
        <v>2</v>
      </c>
      <c r="G197" s="24">
        <v>850000</v>
      </c>
      <c r="H197" s="24">
        <f t="shared" si="8"/>
        <v>1700000</v>
      </c>
    </row>
    <row r="198" spans="1:8" s="26" customFormat="1" ht="33" customHeight="1">
      <c r="A198" s="20">
        <v>196</v>
      </c>
      <c r="B198" s="20" t="str">
        <f>"2100000308"</f>
        <v>2100000308</v>
      </c>
      <c r="C198" s="21" t="str">
        <f>"چراغ تونلي"</f>
        <v>چراغ تونلي</v>
      </c>
      <c r="D198" s="20" t="str">
        <f>""</f>
        <v/>
      </c>
      <c r="E198" s="20" t="str">
        <f t="shared" si="13"/>
        <v>عدد</v>
      </c>
      <c r="F198" s="20">
        <v>2</v>
      </c>
      <c r="G198" s="24">
        <v>350000</v>
      </c>
      <c r="H198" s="18">
        <f t="shared" ref="H198:H226" si="14">G198*F198</f>
        <v>700000</v>
      </c>
    </row>
    <row r="199" spans="1:8" s="26" customFormat="1" ht="33" customHeight="1">
      <c r="A199" s="20">
        <v>197</v>
      </c>
      <c r="B199" s="20" t="str">
        <f>"2100000309"</f>
        <v>2100000309</v>
      </c>
      <c r="C199" s="21" t="str">
        <f>"تي حوله اي-دسته دار"</f>
        <v>تي حوله اي-دسته دار</v>
      </c>
      <c r="D199" s="20" t="str">
        <f>""</f>
        <v/>
      </c>
      <c r="E199" s="20" t="str">
        <f t="shared" si="13"/>
        <v>عدد</v>
      </c>
      <c r="F199" s="20">
        <v>2</v>
      </c>
      <c r="G199" s="24">
        <v>130000</v>
      </c>
      <c r="H199" s="24">
        <f t="shared" si="14"/>
        <v>260000</v>
      </c>
    </row>
    <row r="200" spans="1:8" s="26" customFormat="1" ht="33" customHeight="1">
      <c r="A200" s="20">
        <v>198</v>
      </c>
      <c r="B200" s="20" t="str">
        <f>"2100000310"</f>
        <v>2100000310</v>
      </c>
      <c r="C200" s="21" t="str">
        <f>"گتر (رو کفشي)جوشکاري"</f>
        <v>گتر (رو کفشي)جوشکاري</v>
      </c>
      <c r="D200" s="20" t="str">
        <f>""</f>
        <v/>
      </c>
      <c r="E200" s="20" t="str">
        <f>"جفت"</f>
        <v>جفت</v>
      </c>
      <c r="F200" s="20">
        <v>5</v>
      </c>
      <c r="G200" s="24">
        <v>250000</v>
      </c>
      <c r="H200" s="24">
        <f t="shared" si="14"/>
        <v>1250000</v>
      </c>
    </row>
    <row r="201" spans="1:8" s="26" customFormat="1" ht="33" customHeight="1">
      <c r="A201" s="20">
        <v>199</v>
      </c>
      <c r="B201" s="20" t="str">
        <f>"2100000315"</f>
        <v>2100000315</v>
      </c>
      <c r="C201" s="21" t="str">
        <f>"سمباده کاغذي P120"</f>
        <v>سمباده کاغذي P120</v>
      </c>
      <c r="D201" s="20" t="str">
        <f>""</f>
        <v/>
      </c>
      <c r="E201" s="20" t="str">
        <f>"برگ"</f>
        <v>برگ</v>
      </c>
      <c r="F201" s="20">
        <v>158</v>
      </c>
      <c r="G201" s="24">
        <v>15000</v>
      </c>
      <c r="H201" s="18">
        <f t="shared" si="14"/>
        <v>2370000</v>
      </c>
    </row>
    <row r="202" spans="1:8" s="26" customFormat="1" ht="33" customHeight="1">
      <c r="A202" s="20">
        <v>200</v>
      </c>
      <c r="B202" s="20" t="str">
        <f>"2100000316"</f>
        <v>2100000316</v>
      </c>
      <c r="C202" s="21" t="str">
        <f>"سمباده کاغذي P100"</f>
        <v>سمباده کاغذي P100</v>
      </c>
      <c r="D202" s="20" t="str">
        <f>""</f>
        <v/>
      </c>
      <c r="E202" s="20" t="str">
        <f>"برگ"</f>
        <v>برگ</v>
      </c>
      <c r="F202" s="20">
        <v>28</v>
      </c>
      <c r="G202" s="24">
        <v>15000</v>
      </c>
      <c r="H202" s="24">
        <f t="shared" si="14"/>
        <v>420000</v>
      </c>
    </row>
    <row r="203" spans="1:8" s="26" customFormat="1" ht="33" customHeight="1">
      <c r="A203" s="20">
        <v>201</v>
      </c>
      <c r="B203" s="20" t="str">
        <f>"2100000317"</f>
        <v>2100000317</v>
      </c>
      <c r="C203" s="21" t="str">
        <f>"سمباده کاغذيP400"</f>
        <v>سمباده کاغذيP400</v>
      </c>
      <c r="D203" s="20" t="str">
        <f>""</f>
        <v/>
      </c>
      <c r="E203" s="20" t="str">
        <f>"برگ"</f>
        <v>برگ</v>
      </c>
      <c r="F203" s="20">
        <v>24</v>
      </c>
      <c r="G203" s="24">
        <v>15000</v>
      </c>
      <c r="H203" s="24">
        <f t="shared" si="14"/>
        <v>360000</v>
      </c>
    </row>
    <row r="204" spans="1:8" s="26" customFormat="1" ht="33" customHeight="1">
      <c r="A204" s="20">
        <v>202</v>
      </c>
      <c r="B204" s="20" t="str">
        <f>"2100000318"</f>
        <v>2100000318</v>
      </c>
      <c r="C204" s="21" t="str">
        <f>"سمباده کاغذيP1000"</f>
        <v>سمباده کاغذيP1000</v>
      </c>
      <c r="D204" s="20" t="str">
        <f>""</f>
        <v/>
      </c>
      <c r="E204" s="20" t="str">
        <f>"برگ"</f>
        <v>برگ</v>
      </c>
      <c r="F204" s="20">
        <v>144</v>
      </c>
      <c r="G204" s="24">
        <v>15000</v>
      </c>
      <c r="H204" s="18">
        <f t="shared" si="14"/>
        <v>2160000</v>
      </c>
    </row>
    <row r="205" spans="1:8" s="26" customFormat="1" ht="33" customHeight="1">
      <c r="A205" s="20">
        <v>203</v>
      </c>
      <c r="B205" s="20" t="str">
        <f>"2100000320"</f>
        <v>2100000320</v>
      </c>
      <c r="C205" s="21" t="str">
        <f>"سمباده روليP400"</f>
        <v>سمباده روليP400</v>
      </c>
      <c r="D205" s="20" t="str">
        <f>""</f>
        <v/>
      </c>
      <c r="E205" s="20" t="str">
        <f>"متر"</f>
        <v>متر</v>
      </c>
      <c r="F205" s="20">
        <v>71</v>
      </c>
      <c r="G205" s="24">
        <v>15000</v>
      </c>
      <c r="H205" s="24">
        <f t="shared" si="14"/>
        <v>1065000</v>
      </c>
    </row>
    <row r="206" spans="1:8" s="26" customFormat="1" ht="33" customHeight="1">
      <c r="A206" s="20">
        <v>204</v>
      </c>
      <c r="B206" s="20" t="str">
        <f>"2100000321"</f>
        <v>2100000321</v>
      </c>
      <c r="C206" s="21" t="str">
        <f>"سمباده کاغذي چسب دارP2000"</f>
        <v>سمباده کاغذي چسب دارP2000</v>
      </c>
      <c r="D206" s="20" t="str">
        <f>""</f>
        <v/>
      </c>
      <c r="E206" s="20" t="str">
        <f>"برگ"</f>
        <v>برگ</v>
      </c>
      <c r="F206" s="20">
        <v>180</v>
      </c>
      <c r="G206" s="24">
        <v>40000</v>
      </c>
      <c r="H206" s="24">
        <f t="shared" si="14"/>
        <v>7200000</v>
      </c>
    </row>
    <row r="207" spans="1:8" s="26" customFormat="1" ht="33" customHeight="1">
      <c r="A207" s="20">
        <v>205</v>
      </c>
      <c r="B207" s="20" t="str">
        <f>"2100000322"</f>
        <v>2100000322</v>
      </c>
      <c r="C207" s="21" t="str">
        <f>"طناب پلاستيکي"</f>
        <v>طناب پلاستيکي</v>
      </c>
      <c r="D207" s="20" t="str">
        <f>"نايلوني"</f>
        <v>نايلوني</v>
      </c>
      <c r="E207" s="20" t="str">
        <f>"متر"</f>
        <v>متر</v>
      </c>
      <c r="F207" s="20">
        <v>182</v>
      </c>
      <c r="G207" s="24">
        <v>20000</v>
      </c>
      <c r="H207" s="18">
        <f t="shared" si="14"/>
        <v>3640000</v>
      </c>
    </row>
    <row r="208" spans="1:8" s="26" customFormat="1" ht="33" customHeight="1">
      <c r="A208" s="20">
        <v>206</v>
      </c>
      <c r="B208" s="20" t="str">
        <f>"2100000324"</f>
        <v>2100000324</v>
      </c>
      <c r="C208" s="21" t="str">
        <f>"سمباده انگشتي-P80"</f>
        <v>سمباده انگشتي-P80</v>
      </c>
      <c r="D208" s="20" t="str">
        <f>"P80-40*30*6mm"</f>
        <v>P80-40*30*6mm</v>
      </c>
      <c r="E208" s="20" t="str">
        <f t="shared" ref="E208:E213" si="15">"عدد"</f>
        <v>عدد</v>
      </c>
      <c r="F208" s="20">
        <v>90</v>
      </c>
      <c r="G208" s="24">
        <v>70000</v>
      </c>
      <c r="H208" s="24">
        <f t="shared" si="14"/>
        <v>6300000</v>
      </c>
    </row>
    <row r="209" spans="1:8" s="26" customFormat="1" ht="33" customHeight="1">
      <c r="A209" s="20">
        <v>207</v>
      </c>
      <c r="B209" s="20" t="str">
        <f>"2100000325"</f>
        <v>2100000325</v>
      </c>
      <c r="C209" s="21" t="str">
        <f>"سمباده انگشتي-P320"</f>
        <v>سمباده انگشتي-P320</v>
      </c>
      <c r="D209" s="20" t="str">
        <f>"P320-40*30*6mm"</f>
        <v>P320-40*30*6mm</v>
      </c>
      <c r="E209" s="20" t="str">
        <f t="shared" si="15"/>
        <v>عدد</v>
      </c>
      <c r="F209" s="20">
        <v>35</v>
      </c>
      <c r="G209" s="24">
        <v>70000</v>
      </c>
      <c r="H209" s="24">
        <f t="shared" si="14"/>
        <v>2450000</v>
      </c>
    </row>
    <row r="210" spans="1:8" s="26" customFormat="1" ht="33" customHeight="1">
      <c r="A210" s="20">
        <v>208</v>
      </c>
      <c r="B210" s="20" t="str">
        <f>"2100000326"</f>
        <v>2100000326</v>
      </c>
      <c r="C210" s="21" t="str">
        <f>"سمباده انگشتيP80"</f>
        <v>سمباده انگشتيP80</v>
      </c>
      <c r="D210" s="20" t="str">
        <f>"P60-40*20*6mm"</f>
        <v>P60-40*20*6mm</v>
      </c>
      <c r="E210" s="20" t="str">
        <f t="shared" si="15"/>
        <v>عدد</v>
      </c>
      <c r="F210" s="20">
        <v>65</v>
      </c>
      <c r="G210" s="24">
        <v>70000</v>
      </c>
      <c r="H210" s="18">
        <f t="shared" si="14"/>
        <v>4550000</v>
      </c>
    </row>
    <row r="211" spans="1:8" s="26" customFormat="1" ht="33" customHeight="1">
      <c r="A211" s="20">
        <v>209</v>
      </c>
      <c r="B211" s="20" t="str">
        <f>"2100000327"</f>
        <v>2100000327</v>
      </c>
      <c r="C211" s="21" t="str">
        <f>"سمباده انگشتي-P60"</f>
        <v>سمباده انگشتي-P60</v>
      </c>
      <c r="D211" s="20" t="str">
        <f>"P60-40*30*6mm"</f>
        <v>P60-40*30*6mm</v>
      </c>
      <c r="E211" s="20" t="str">
        <f t="shared" si="15"/>
        <v>عدد</v>
      </c>
      <c r="F211" s="20">
        <v>71</v>
      </c>
      <c r="G211" s="24">
        <v>70000</v>
      </c>
      <c r="H211" s="24">
        <f t="shared" si="14"/>
        <v>4970000</v>
      </c>
    </row>
    <row r="212" spans="1:8" s="26" customFormat="1" ht="33" customHeight="1">
      <c r="A212" s="20">
        <v>210</v>
      </c>
      <c r="B212" s="20" t="str">
        <f>"2100000266"</f>
        <v>2100000266</v>
      </c>
      <c r="C212" s="21" t="str">
        <f>"واير برس خورشيدي افشان-ميني سنگ"</f>
        <v>واير برس خورشيدي افشان-ميني سنگ</v>
      </c>
      <c r="D212" s="20" t="str">
        <f>""</f>
        <v/>
      </c>
      <c r="E212" s="20" t="str">
        <f t="shared" si="15"/>
        <v>عدد</v>
      </c>
      <c r="F212" s="20">
        <v>5</v>
      </c>
      <c r="G212" s="24">
        <v>60000</v>
      </c>
      <c r="H212" s="24">
        <f t="shared" si="14"/>
        <v>300000</v>
      </c>
    </row>
    <row r="213" spans="1:8" s="26" customFormat="1" ht="33" customHeight="1">
      <c r="A213" s="20">
        <v>211</v>
      </c>
      <c r="B213" s="20" t="str">
        <f>"2100000328"</f>
        <v>2100000328</v>
      </c>
      <c r="C213" s="21" t="str">
        <f>"سوکت کابل شبکه"</f>
        <v>سوکت کابل شبکه</v>
      </c>
      <c r="D213" s="20" t="str">
        <f>""</f>
        <v/>
      </c>
      <c r="E213" s="20" t="str">
        <f t="shared" si="15"/>
        <v>عدد</v>
      </c>
      <c r="F213" s="20">
        <v>10</v>
      </c>
      <c r="G213" s="24">
        <v>5000</v>
      </c>
      <c r="H213" s="18">
        <f t="shared" si="14"/>
        <v>50000</v>
      </c>
    </row>
    <row r="214" spans="1:8" s="26" customFormat="1" ht="33" customHeight="1">
      <c r="A214" s="20">
        <v>212</v>
      </c>
      <c r="B214" s="20" t="str">
        <f>"2100000330"</f>
        <v>2100000330</v>
      </c>
      <c r="C214" s="21" t="str">
        <f>"بوک مارک-برچسب"</f>
        <v>بوک مارک-برچسب</v>
      </c>
      <c r="D214" s="20" t="str">
        <f>""</f>
        <v/>
      </c>
      <c r="E214" s="20" t="str">
        <f>"دست"</f>
        <v>دست</v>
      </c>
      <c r="F214" s="20">
        <v>10</v>
      </c>
      <c r="G214" s="24">
        <v>15000</v>
      </c>
      <c r="H214" s="24">
        <f t="shared" si="14"/>
        <v>150000</v>
      </c>
    </row>
    <row r="215" spans="1:8" s="26" customFormat="1" ht="33" customHeight="1">
      <c r="A215" s="20">
        <v>213</v>
      </c>
      <c r="B215" s="20" t="str">
        <f>"2100000332"</f>
        <v>2100000332</v>
      </c>
      <c r="C215" s="21" t="str">
        <f>"کاور شيت A4"</f>
        <v>کاور شيت A4</v>
      </c>
      <c r="D215" s="20" t="str">
        <f>"بسته 100 تايي"</f>
        <v>بسته 100 تايي</v>
      </c>
      <c r="E215" s="20" t="str">
        <f>"عدد"</f>
        <v>عدد</v>
      </c>
      <c r="F215" s="20">
        <v>2663</v>
      </c>
      <c r="G215" s="24">
        <v>1000</v>
      </c>
      <c r="H215" s="24">
        <f t="shared" si="14"/>
        <v>2663000</v>
      </c>
    </row>
    <row r="216" spans="1:8" s="26" customFormat="1" ht="33" customHeight="1">
      <c r="A216" s="20">
        <v>214</v>
      </c>
      <c r="B216" s="20" t="str">
        <f>"1100000305"</f>
        <v>1100000305</v>
      </c>
      <c r="C216" s="21" t="str">
        <f>"پارچه تنظيف لانه زنبوري30*30"</f>
        <v>پارچه تنظيف لانه زنبوري30*30</v>
      </c>
      <c r="D216" s="20" t="str">
        <f>""</f>
        <v/>
      </c>
      <c r="E216" s="20" t="str">
        <f t="shared" ref="E216:E217" si="16">"عدد"</f>
        <v>عدد</v>
      </c>
      <c r="F216" s="20">
        <v>3</v>
      </c>
      <c r="G216" s="24">
        <v>2000000</v>
      </c>
      <c r="H216" s="18">
        <f t="shared" si="14"/>
        <v>6000000</v>
      </c>
    </row>
    <row r="217" spans="1:8" s="26" customFormat="1" ht="33" customHeight="1">
      <c r="A217" s="20">
        <v>215</v>
      </c>
      <c r="B217" s="20" t="str">
        <f>"2100000343"</f>
        <v>2100000343</v>
      </c>
      <c r="C217" s="21" t="str">
        <f>"پرده حمام بزرگ"</f>
        <v>پرده حمام بزرگ</v>
      </c>
      <c r="D217" s="20" t="str">
        <f>""</f>
        <v/>
      </c>
      <c r="E217" s="20" t="str">
        <f t="shared" si="16"/>
        <v>عدد</v>
      </c>
      <c r="F217" s="20">
        <v>4</v>
      </c>
      <c r="G217" s="24">
        <v>350000</v>
      </c>
      <c r="H217" s="24">
        <f t="shared" si="14"/>
        <v>1400000</v>
      </c>
    </row>
    <row r="218" spans="1:8" s="26" customFormat="1" ht="33" customHeight="1">
      <c r="A218" s="20">
        <v>216</v>
      </c>
      <c r="B218" s="20" t="str">
        <f>"2100000345"</f>
        <v>2100000345</v>
      </c>
      <c r="C218" s="21" t="str">
        <f>"دفتر انديکاتور"</f>
        <v>دفتر انديکاتور</v>
      </c>
      <c r="D218" s="20" t="str">
        <f>""</f>
        <v/>
      </c>
      <c r="E218" s="20" t="str">
        <f>"جلد"</f>
        <v>جلد</v>
      </c>
      <c r="F218" s="20">
        <v>2</v>
      </c>
      <c r="G218" s="24">
        <v>120000</v>
      </c>
      <c r="H218" s="24">
        <f t="shared" si="14"/>
        <v>240000</v>
      </c>
    </row>
    <row r="219" spans="1:8" s="26" customFormat="1" ht="33" customHeight="1">
      <c r="A219" s="20">
        <v>217</v>
      </c>
      <c r="B219" s="20" t="str">
        <f>"2100000346"</f>
        <v>2100000346</v>
      </c>
      <c r="C219" s="21" t="str">
        <f>"قفل ميز تحرير"</f>
        <v>قفل ميز تحرير</v>
      </c>
      <c r="D219" s="20" t="str">
        <f>""</f>
        <v/>
      </c>
      <c r="E219" s="20" t="str">
        <f>"عدد"</f>
        <v>عدد</v>
      </c>
      <c r="F219" s="20">
        <v>2</v>
      </c>
      <c r="G219" s="24">
        <v>35000</v>
      </c>
      <c r="H219" s="18">
        <f t="shared" si="14"/>
        <v>70000</v>
      </c>
    </row>
    <row r="220" spans="1:8" s="26" customFormat="1" ht="33" customHeight="1">
      <c r="A220" s="20">
        <v>218</v>
      </c>
      <c r="B220" s="20" t="str">
        <f>"2100000347"</f>
        <v>2100000347</v>
      </c>
      <c r="C220" s="21" t="str">
        <f>"چسب 5سانتي پارچه اي"</f>
        <v>چسب 5سانتي پارچه اي</v>
      </c>
      <c r="D220" s="20" t="str">
        <f>""</f>
        <v/>
      </c>
      <c r="E220" s="20" t="str">
        <f>"عدد"</f>
        <v>عدد</v>
      </c>
      <c r="F220" s="20">
        <v>27</v>
      </c>
      <c r="G220" s="24">
        <v>150000</v>
      </c>
      <c r="H220" s="24">
        <f t="shared" si="14"/>
        <v>4050000</v>
      </c>
    </row>
    <row r="221" spans="1:8" s="26" customFormat="1" ht="33" customHeight="1">
      <c r="A221" s="20">
        <v>219</v>
      </c>
      <c r="B221" s="20" t="str">
        <f>"2100000350"</f>
        <v>2100000350</v>
      </c>
      <c r="C221" s="21" t="str">
        <f>"مايع پاك كننده دست 500گرمي"</f>
        <v>مايع پاك كننده دست 500گرمي</v>
      </c>
      <c r="D221" s="20" t="str">
        <f>""</f>
        <v/>
      </c>
      <c r="E221" s="20" t="str">
        <f>"عدد"</f>
        <v>عدد</v>
      </c>
      <c r="F221" s="20">
        <v>46</v>
      </c>
      <c r="G221" s="24">
        <v>35000</v>
      </c>
      <c r="H221" s="24">
        <f t="shared" si="14"/>
        <v>1610000</v>
      </c>
    </row>
    <row r="222" spans="1:8" s="26" customFormat="1" ht="33" customHeight="1">
      <c r="A222" s="20">
        <v>220</v>
      </c>
      <c r="B222" s="20" t="str">
        <f>"2100000351"</f>
        <v>2100000351</v>
      </c>
      <c r="C222" s="21" t="str">
        <f>"چسب دو جزئي کيميا بِرد"</f>
        <v>چسب دو جزئي کيميا بِرد</v>
      </c>
      <c r="D222" s="20" t="str">
        <f>""</f>
        <v/>
      </c>
      <c r="E222" s="20" t="str">
        <f>"سري"</f>
        <v>سري</v>
      </c>
      <c r="F222" s="20">
        <v>10</v>
      </c>
      <c r="G222" s="24">
        <v>50000</v>
      </c>
      <c r="H222" s="18">
        <f t="shared" si="14"/>
        <v>500000</v>
      </c>
    </row>
    <row r="223" spans="1:8" s="26" customFormat="1" ht="33" customHeight="1">
      <c r="A223" s="20">
        <v>221</v>
      </c>
      <c r="B223" s="20" t="str">
        <f>"2100000352"</f>
        <v>2100000352</v>
      </c>
      <c r="C223" s="21" t="str">
        <f>"فيلتر خشك كننده هوا (اطلس كپكوي آلمان)"</f>
        <v>فيلتر خشك كننده هوا (اطلس كپكوي آلمان)</v>
      </c>
      <c r="D223" s="20" t="str">
        <f>""</f>
        <v/>
      </c>
      <c r="E223" s="20" t="str">
        <f>"عدد"</f>
        <v>عدد</v>
      </c>
      <c r="F223" s="20">
        <v>1</v>
      </c>
      <c r="G223" s="24">
        <v>9500000</v>
      </c>
      <c r="H223" s="24">
        <f t="shared" si="14"/>
        <v>9500000</v>
      </c>
    </row>
    <row r="224" spans="1:8" s="26" customFormat="1" ht="33" customHeight="1">
      <c r="A224" s="20">
        <v>222</v>
      </c>
      <c r="B224" s="20" t="str">
        <f>"2100000355"</f>
        <v>2100000355</v>
      </c>
      <c r="C224" s="21" t="str">
        <f>"باطري متوسط"</f>
        <v>باطري متوسط</v>
      </c>
      <c r="D224" s="20" t="str">
        <f>""</f>
        <v/>
      </c>
      <c r="E224" s="20" t="str">
        <f>"عدد"</f>
        <v>عدد</v>
      </c>
      <c r="F224" s="20">
        <v>10</v>
      </c>
      <c r="G224" s="24">
        <v>15000</v>
      </c>
      <c r="H224" s="24">
        <f t="shared" si="14"/>
        <v>150000</v>
      </c>
    </row>
    <row r="225" spans="1:8" s="26" customFormat="1" ht="33" customHeight="1">
      <c r="A225" s="20">
        <v>223</v>
      </c>
      <c r="B225" s="20" t="str">
        <f>"2100000356"</f>
        <v>2100000356</v>
      </c>
      <c r="C225" s="21" t="str">
        <f>"سمباده روليP200"</f>
        <v>سمباده روليP200</v>
      </c>
      <c r="D225" s="20" t="str">
        <f>" روليp200"</f>
        <v xml:space="preserve"> روليp200</v>
      </c>
      <c r="E225" s="20" t="str">
        <f>"متر"</f>
        <v>متر</v>
      </c>
      <c r="F225" s="20">
        <v>200</v>
      </c>
      <c r="G225" s="24">
        <v>50000</v>
      </c>
      <c r="H225" s="18">
        <f t="shared" si="14"/>
        <v>10000000</v>
      </c>
    </row>
    <row r="226" spans="1:8" s="26" customFormat="1" ht="33" customHeight="1">
      <c r="A226" s="20">
        <v>224</v>
      </c>
      <c r="B226" s="20" t="str">
        <f>"2100000357"</f>
        <v>2100000357</v>
      </c>
      <c r="C226" s="21" t="str">
        <f>"سمباده رولي P600"</f>
        <v>سمباده رولي P600</v>
      </c>
      <c r="D226" s="20" t="str">
        <f>""</f>
        <v/>
      </c>
      <c r="E226" s="20" t="str">
        <f>"متر"</f>
        <v>متر</v>
      </c>
      <c r="F226" s="20">
        <v>83</v>
      </c>
      <c r="G226" s="24">
        <v>50000</v>
      </c>
      <c r="H226" s="24">
        <f t="shared" si="14"/>
        <v>4150000</v>
      </c>
    </row>
    <row r="227" spans="1:8" ht="36.75" customHeight="1">
      <c r="H227" s="38">
        <f>SUM(H3:H226)</f>
        <v>1981535500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rightToLeft="1" topLeftCell="A10" workbookViewId="0">
      <selection activeCell="H26" sqref="H26"/>
    </sheetView>
  </sheetViews>
  <sheetFormatPr defaultRowHeight="14.25"/>
  <cols>
    <col min="1" max="1" width="9.140625" style="1" customWidth="1"/>
    <col min="2" max="2" width="15.85546875" style="1" customWidth="1"/>
    <col min="3" max="3" width="50.85546875" style="3" customWidth="1"/>
    <col min="4" max="4" width="48.7109375" style="1" customWidth="1"/>
    <col min="5" max="5" width="15.140625" style="1" customWidth="1"/>
    <col min="6" max="6" width="13.140625" style="1" customWidth="1"/>
    <col min="7" max="7" width="16.28515625" style="25" customWidth="1"/>
    <col min="8" max="8" width="20.5703125" style="25" customWidth="1"/>
    <col min="9" max="16384" width="9.140625" style="1"/>
  </cols>
  <sheetData>
    <row r="1" spans="1:14" ht="36.75" thickBot="1">
      <c r="A1" s="51" t="s">
        <v>38</v>
      </c>
      <c r="B1" s="52"/>
      <c r="C1" s="52"/>
      <c r="D1" s="52"/>
      <c r="E1" s="52"/>
      <c r="F1" s="52"/>
      <c r="G1" s="52"/>
      <c r="H1" s="53"/>
    </row>
    <row r="2" spans="1:14" ht="27" thickBot="1">
      <c r="A2" s="7" t="s">
        <v>19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25</v>
      </c>
      <c r="G2" s="9" t="s">
        <v>39</v>
      </c>
      <c r="H2" s="9" t="s">
        <v>23</v>
      </c>
    </row>
    <row r="3" spans="1:14" ht="22.5">
      <c r="A3" s="14">
        <v>1</v>
      </c>
      <c r="B3" s="14" t="str">
        <f>"3100000005"</f>
        <v>3100000005</v>
      </c>
      <c r="C3" s="15" t="str">
        <f>"گريس کاسپين"</f>
        <v>گريس کاسپين</v>
      </c>
      <c r="D3" s="14" t="str">
        <f>"1kg-150c--کاسپين"</f>
        <v>1kg-150c--کاسپين</v>
      </c>
      <c r="E3" s="14" t="str">
        <f>"عدد"</f>
        <v>عدد</v>
      </c>
      <c r="F3" s="14">
        <v>12</v>
      </c>
      <c r="G3" s="18">
        <v>100000</v>
      </c>
      <c r="H3" s="18">
        <f>G3*F3</f>
        <v>1200000</v>
      </c>
    </row>
    <row r="4" spans="1:14" ht="22.5">
      <c r="A4" s="20">
        <v>2</v>
      </c>
      <c r="B4" s="20" t="str">
        <f>"3100000006"</f>
        <v>3100000006</v>
      </c>
      <c r="C4" s="21" t="str">
        <f>"گريسSKF"</f>
        <v>گريسSKF</v>
      </c>
      <c r="D4" s="20" t="str">
        <f>"1kg-LGMT3/1--SKF"</f>
        <v>1kg-LGMT3/1--SKF</v>
      </c>
      <c r="E4" s="20" t="str">
        <f>"عدد"</f>
        <v>عدد</v>
      </c>
      <c r="F4" s="20">
        <v>25</v>
      </c>
      <c r="G4" s="24">
        <v>150000</v>
      </c>
      <c r="H4" s="24">
        <f>G4*F4</f>
        <v>3750000</v>
      </c>
    </row>
    <row r="5" spans="1:14" ht="22.5">
      <c r="A5" s="20">
        <v>3</v>
      </c>
      <c r="B5" s="20" t="str">
        <f>"3100000007"</f>
        <v>3100000007</v>
      </c>
      <c r="C5" s="21" t="str">
        <f>"گريس گرافيتي232"</f>
        <v>گريس گرافيتي232</v>
      </c>
      <c r="D5" s="20" t="str">
        <f>"H11232 1kg--گرافيتي"</f>
        <v>H11232 1kg--گرافيتي</v>
      </c>
      <c r="E5" s="20" t="str">
        <f>"عدد"</f>
        <v>عدد</v>
      </c>
      <c r="F5" s="20">
        <v>1</v>
      </c>
      <c r="G5" s="24">
        <v>250000</v>
      </c>
      <c r="H5" s="24">
        <f>G5*F5</f>
        <v>250000</v>
      </c>
    </row>
    <row r="6" spans="1:14" ht="22.5">
      <c r="A6" s="14">
        <v>4</v>
      </c>
      <c r="B6" s="20" t="str">
        <f>"3100000009"</f>
        <v>3100000009</v>
      </c>
      <c r="C6" s="21" t="str">
        <f>"گريس مخصوص"</f>
        <v>گريس مخصوص</v>
      </c>
      <c r="D6" s="20" t="str">
        <f>"800gr TYP80--SIEMENS"</f>
        <v>800gr TYP80--SIEMENS</v>
      </c>
      <c r="E6" s="20" t="str">
        <f>"عدد"</f>
        <v>عدد</v>
      </c>
      <c r="F6" s="20">
        <v>4</v>
      </c>
      <c r="G6" s="24">
        <v>350000</v>
      </c>
      <c r="H6" s="18">
        <f t="shared" ref="H6:H24" si="0">G6*F6</f>
        <v>1400000</v>
      </c>
      <c r="N6" s="28"/>
    </row>
    <row r="7" spans="1:14" ht="22.5">
      <c r="A7" s="20">
        <v>5</v>
      </c>
      <c r="B7" s="20" t="str">
        <f>"3100000010"</f>
        <v>3100000010</v>
      </c>
      <c r="C7" s="21" t="s">
        <v>40</v>
      </c>
      <c r="D7" s="20" t="str">
        <f>""</f>
        <v/>
      </c>
      <c r="E7" s="20" t="str">
        <f>"متر"</f>
        <v>متر</v>
      </c>
      <c r="F7" s="20">
        <v>12</v>
      </c>
      <c r="G7" s="24">
        <v>30000</v>
      </c>
      <c r="H7" s="24">
        <f t="shared" si="0"/>
        <v>360000</v>
      </c>
    </row>
    <row r="8" spans="1:14" ht="22.5">
      <c r="A8" s="20">
        <v>6</v>
      </c>
      <c r="B8" s="20" t="str">
        <f>"3100000012"</f>
        <v>3100000012</v>
      </c>
      <c r="C8" s="21" t="s">
        <v>41</v>
      </c>
      <c r="D8" s="20" t="str">
        <f>"G-TECH"</f>
        <v>G-TECH</v>
      </c>
      <c r="E8" s="20" t="str">
        <f>"متر"</f>
        <v>متر</v>
      </c>
      <c r="F8" s="20">
        <v>30</v>
      </c>
      <c r="G8" s="24">
        <v>18000</v>
      </c>
      <c r="H8" s="24">
        <f t="shared" si="0"/>
        <v>540000</v>
      </c>
    </row>
    <row r="9" spans="1:14" ht="22.5">
      <c r="A9" s="14">
        <v>7</v>
      </c>
      <c r="B9" s="20" t="str">
        <f>"3100000001"</f>
        <v>3100000001</v>
      </c>
      <c r="C9" s="21" t="str">
        <f>"پمپ چسب سيليکوني"</f>
        <v>پمپ چسب سيليکوني</v>
      </c>
      <c r="D9" s="20" t="str">
        <f>""</f>
        <v/>
      </c>
      <c r="E9" s="20" t="str">
        <f>"عدد"</f>
        <v>عدد</v>
      </c>
      <c r="F9" s="20">
        <v>12</v>
      </c>
      <c r="G9" s="24">
        <v>250000</v>
      </c>
      <c r="H9" s="18">
        <f t="shared" si="0"/>
        <v>3000000</v>
      </c>
    </row>
    <row r="10" spans="1:14" ht="22.5">
      <c r="A10" s="20">
        <v>8</v>
      </c>
      <c r="B10" s="20" t="str">
        <f>"3100000002"</f>
        <v>3100000002</v>
      </c>
      <c r="C10" s="21" t="str">
        <f>"گريس پمپ"</f>
        <v>گريس پمپ</v>
      </c>
      <c r="D10" s="20" t="str">
        <f>"500cc--ALTAS"</f>
        <v>500cc--ALTAS</v>
      </c>
      <c r="E10" s="20" t="str">
        <f>"عدد"</f>
        <v>عدد</v>
      </c>
      <c r="F10" s="20">
        <v>10</v>
      </c>
      <c r="G10" s="24">
        <v>800000</v>
      </c>
      <c r="H10" s="24">
        <f t="shared" si="0"/>
        <v>8000000</v>
      </c>
    </row>
    <row r="11" spans="1:14" ht="22.5">
      <c r="A11" s="20">
        <v>9</v>
      </c>
      <c r="B11" s="20" t="str">
        <f>"3100000003"</f>
        <v>3100000003</v>
      </c>
      <c r="C11" s="21" t="str">
        <f>"پمپ دستي روغن"</f>
        <v>پمپ دستي روغن</v>
      </c>
      <c r="D11" s="20" t="str">
        <f>"GNB---GROZ"</f>
        <v>GNB---GROZ</v>
      </c>
      <c r="E11" s="20" t="str">
        <f>"عدد"</f>
        <v>عدد</v>
      </c>
      <c r="F11" s="20">
        <v>2</v>
      </c>
      <c r="G11" s="24">
        <v>800000</v>
      </c>
      <c r="H11" s="24">
        <f t="shared" si="0"/>
        <v>1600000</v>
      </c>
    </row>
    <row r="12" spans="1:14" ht="22.5">
      <c r="A12" s="14">
        <v>10</v>
      </c>
      <c r="B12" s="20" t="str">
        <f>"3100000004"</f>
        <v>3100000004</v>
      </c>
      <c r="C12" s="21" t="str">
        <f>"روغن دان"</f>
        <v>روغن دان</v>
      </c>
      <c r="D12" s="20" t="str">
        <f>"500ml--GROZ"</f>
        <v>500ml--GROZ</v>
      </c>
      <c r="E12" s="20" t="str">
        <f>"عدد"</f>
        <v>عدد</v>
      </c>
      <c r="F12" s="20">
        <v>27</v>
      </c>
      <c r="G12" s="24">
        <v>100000</v>
      </c>
      <c r="H12" s="18">
        <f t="shared" si="0"/>
        <v>2700000</v>
      </c>
    </row>
    <row r="13" spans="1:14" ht="22.5">
      <c r="A13" s="20">
        <v>11</v>
      </c>
      <c r="B13" s="20" t="str">
        <f>"3100000014"</f>
        <v>3100000014</v>
      </c>
      <c r="C13" s="21" t="str">
        <f>"گريس زيمنس"</f>
        <v>گريس زيمنس</v>
      </c>
      <c r="D13" s="20" t="str">
        <f>"450 گرمي--PROTOLIN   زيمنس"</f>
        <v>450 گرمي--PROTOLIN   زيمنس</v>
      </c>
      <c r="E13" s="20" t="str">
        <f>"قوطي"</f>
        <v>قوطي</v>
      </c>
      <c r="F13" s="20">
        <v>4</v>
      </c>
      <c r="G13" s="24">
        <v>200000</v>
      </c>
      <c r="H13" s="24">
        <f t="shared" si="0"/>
        <v>800000</v>
      </c>
    </row>
    <row r="14" spans="1:14" ht="22.5">
      <c r="A14" s="20">
        <v>12</v>
      </c>
      <c r="B14" s="20" t="str">
        <f>"3100000015"</f>
        <v>3100000015</v>
      </c>
      <c r="C14" s="21" t="str">
        <f>"گريس مخصوص آببندي"</f>
        <v>گريس مخصوص آببندي</v>
      </c>
      <c r="D14" s="20" t="str">
        <f>"HEMICO"</f>
        <v>HEMICO</v>
      </c>
      <c r="E14" s="20" t="str">
        <f>"قوطي"</f>
        <v>قوطي</v>
      </c>
      <c r="F14" s="20">
        <v>32</v>
      </c>
      <c r="G14" s="24">
        <v>150000</v>
      </c>
      <c r="H14" s="24">
        <f t="shared" si="0"/>
        <v>4800000</v>
      </c>
    </row>
    <row r="15" spans="1:14" ht="22.5">
      <c r="A15" s="14">
        <v>13</v>
      </c>
      <c r="B15" s="20" t="str">
        <f>"3100000022"</f>
        <v>3100000022</v>
      </c>
      <c r="C15" s="21" t="str">
        <f>"لوله مسي  1/2"</f>
        <v>لوله مسي  1/2</v>
      </c>
      <c r="D15" s="20" t="str">
        <f>""</f>
        <v/>
      </c>
      <c r="E15" s="20" t="str">
        <f>"متر"</f>
        <v>متر</v>
      </c>
      <c r="F15" s="20">
        <v>20</v>
      </c>
      <c r="G15" s="24">
        <v>75000</v>
      </c>
      <c r="H15" s="18">
        <f t="shared" si="0"/>
        <v>1500000</v>
      </c>
    </row>
    <row r="16" spans="1:14" ht="22.5">
      <c r="A16" s="20">
        <v>14</v>
      </c>
      <c r="B16" s="20" t="str">
        <f>"3100000023"</f>
        <v>3100000023</v>
      </c>
      <c r="C16" s="21" t="str">
        <f>"لوله مسي 3/8"</f>
        <v>لوله مسي 3/8</v>
      </c>
      <c r="D16" s="20" t="str">
        <f>""</f>
        <v/>
      </c>
      <c r="E16" s="20" t="str">
        <f>"متر"</f>
        <v>متر</v>
      </c>
      <c r="F16" s="20">
        <v>50</v>
      </c>
      <c r="G16" s="24">
        <v>65000</v>
      </c>
      <c r="H16" s="24">
        <f t="shared" si="0"/>
        <v>3250000</v>
      </c>
    </row>
    <row r="17" spans="1:8" ht="22.5">
      <c r="A17" s="20">
        <v>15</v>
      </c>
      <c r="B17" s="20" t="str">
        <f>"3100000024"</f>
        <v>3100000024</v>
      </c>
      <c r="C17" s="21" t="str">
        <f>"لوله مسي 1/4"</f>
        <v>لوله مسي 1/4</v>
      </c>
      <c r="D17" s="20" t="str">
        <f>""</f>
        <v/>
      </c>
      <c r="E17" s="20" t="str">
        <f>"متر"</f>
        <v>متر</v>
      </c>
      <c r="F17" s="20">
        <v>50</v>
      </c>
      <c r="G17" s="24">
        <v>55000</v>
      </c>
      <c r="H17" s="24">
        <f t="shared" si="0"/>
        <v>2750000</v>
      </c>
    </row>
    <row r="18" spans="1:8" ht="22.5">
      <c r="A18" s="14">
        <v>16</v>
      </c>
      <c r="B18" s="20" t="str">
        <f>"3100000025"</f>
        <v>3100000025</v>
      </c>
      <c r="C18" s="21" t="str">
        <f>"لوله مسي 5/8"</f>
        <v>لوله مسي 5/8</v>
      </c>
      <c r="D18" s="20" t="str">
        <f>""</f>
        <v/>
      </c>
      <c r="E18" s="20" t="str">
        <f>"متر"</f>
        <v>متر</v>
      </c>
      <c r="F18" s="20">
        <v>20</v>
      </c>
      <c r="G18" s="24">
        <v>100000</v>
      </c>
      <c r="H18" s="18">
        <f t="shared" si="0"/>
        <v>2000000</v>
      </c>
    </row>
    <row r="19" spans="1:8" ht="22.5">
      <c r="A19" s="20">
        <v>17</v>
      </c>
      <c r="B19" s="20" t="str">
        <f>"3100000026"</f>
        <v>3100000026</v>
      </c>
      <c r="C19" s="21" t="str">
        <f>"رگلاتورپرسي فشار قوي"</f>
        <v>رگلاتورپرسي فشار قوي</v>
      </c>
      <c r="D19" s="20" t="str">
        <f>""</f>
        <v/>
      </c>
      <c r="E19" s="20" t="str">
        <f>"عدد"</f>
        <v>عدد</v>
      </c>
      <c r="F19" s="20">
        <v>1</v>
      </c>
      <c r="G19" s="24">
        <v>200000</v>
      </c>
      <c r="H19" s="24">
        <f t="shared" si="0"/>
        <v>200000</v>
      </c>
    </row>
    <row r="20" spans="1:8" ht="22.5">
      <c r="A20" s="20">
        <v>18</v>
      </c>
      <c r="B20" s="20" t="str">
        <f>"3100000027"</f>
        <v>3100000027</v>
      </c>
      <c r="C20" s="21" t="str">
        <f>"رگلاتور توربوتان فشار قوي"</f>
        <v>رگلاتور توربوتان فشار قوي</v>
      </c>
      <c r="D20" s="20" t="str">
        <f>""</f>
        <v/>
      </c>
      <c r="E20" s="20" t="str">
        <f>"عدد"</f>
        <v>عدد</v>
      </c>
      <c r="F20" s="20">
        <v>1</v>
      </c>
      <c r="G20" s="24">
        <v>150000</v>
      </c>
      <c r="H20" s="24">
        <f t="shared" si="0"/>
        <v>150000</v>
      </c>
    </row>
    <row r="21" spans="1:8" ht="22.5">
      <c r="A21" s="14">
        <v>19</v>
      </c>
      <c r="B21" s="20" t="str">
        <f>"3100000029"</f>
        <v>3100000029</v>
      </c>
      <c r="C21" s="21" t="str">
        <f>"تينرفوري"</f>
        <v>تينرفوري</v>
      </c>
      <c r="D21" s="20" t="str">
        <f>"20000"</f>
        <v>20000</v>
      </c>
      <c r="E21" s="20" t="str">
        <f>"ليتر"</f>
        <v>ليتر</v>
      </c>
      <c r="F21" s="20">
        <v>5</v>
      </c>
      <c r="G21" s="24">
        <v>100000</v>
      </c>
      <c r="H21" s="18">
        <f t="shared" si="0"/>
        <v>500000</v>
      </c>
    </row>
    <row r="22" spans="1:8" ht="22.5">
      <c r="A22" s="20">
        <v>20</v>
      </c>
      <c r="B22" s="20" t="str">
        <f>"3100000044"</f>
        <v>3100000044</v>
      </c>
      <c r="C22" s="21" t="str">
        <f>"پمپ آب كولر"</f>
        <v>پمپ آب كولر</v>
      </c>
      <c r="D22" s="20" t="str">
        <f>"S.N-48370-48362"</f>
        <v>S.N-48370-48362</v>
      </c>
      <c r="E22" s="20" t="str">
        <f>"دستگاه"</f>
        <v>دستگاه</v>
      </c>
      <c r="F22" s="20">
        <v>2</v>
      </c>
      <c r="G22" s="24">
        <v>350000</v>
      </c>
      <c r="H22" s="24">
        <f t="shared" si="0"/>
        <v>700000</v>
      </c>
    </row>
    <row r="23" spans="1:8" ht="22.5">
      <c r="A23" s="20">
        <v>21</v>
      </c>
      <c r="B23" s="20" t="str">
        <f>"3100000047"</f>
        <v>3100000047</v>
      </c>
      <c r="C23" s="21" t="str">
        <f>"شيلنگ 1/2-دولا همراه بامهره دنباله وسري پرس"</f>
        <v>شيلنگ 1/2-دولا همراه بامهره دنباله وسري پرس</v>
      </c>
      <c r="D23" s="20" t="str">
        <f>""</f>
        <v/>
      </c>
      <c r="E23" s="20" t="str">
        <f>"رول"</f>
        <v>رول</v>
      </c>
      <c r="F23" s="20">
        <v>1</v>
      </c>
      <c r="G23" s="24">
        <v>500000</v>
      </c>
      <c r="H23" s="24">
        <f t="shared" si="0"/>
        <v>500000</v>
      </c>
    </row>
    <row r="24" spans="1:8" ht="22.5">
      <c r="A24" s="14">
        <v>22</v>
      </c>
      <c r="B24" s="20" t="str">
        <f>"3100000054"</f>
        <v>3100000054</v>
      </c>
      <c r="C24" s="21" t="str">
        <f>"خار RESINING RING"</f>
        <v>خار RESINING RING</v>
      </c>
      <c r="D24" s="20" t="str">
        <f>""</f>
        <v/>
      </c>
      <c r="E24" s="20" t="str">
        <f>"عدد"</f>
        <v>عدد</v>
      </c>
      <c r="F24" s="20">
        <v>2</v>
      </c>
      <c r="G24" s="24">
        <v>27500</v>
      </c>
      <c r="H24" s="18">
        <f t="shared" si="0"/>
        <v>55000</v>
      </c>
    </row>
    <row r="25" spans="1:8" ht="22.5">
      <c r="A25" s="20">
        <v>23</v>
      </c>
      <c r="B25" s="20" t="str">
        <f>"3100000058"</f>
        <v>3100000058</v>
      </c>
      <c r="C25" s="21" t="str">
        <f>"سيم لحيم کاري"</f>
        <v>سيم لحيم کاري</v>
      </c>
      <c r="D25" s="20" t="str">
        <f>""</f>
        <v/>
      </c>
      <c r="E25" s="20" t="str">
        <f>"کلاف"</f>
        <v>کلاف</v>
      </c>
      <c r="F25" s="20">
        <v>3</v>
      </c>
      <c r="G25" s="24">
        <v>200000</v>
      </c>
      <c r="H25" s="18">
        <f>G25*F25</f>
        <v>600000</v>
      </c>
    </row>
    <row r="26" spans="1:8" ht="29.25" customHeight="1">
      <c r="A26" s="27"/>
      <c r="H26" s="38">
        <f>SUM(H3:H25)</f>
        <v>40605000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rightToLeft="1" topLeftCell="A10" workbookViewId="0">
      <selection activeCell="H24" sqref="H24"/>
    </sheetView>
  </sheetViews>
  <sheetFormatPr defaultRowHeight="14.25"/>
  <cols>
    <col min="1" max="1" width="7.28515625" style="1" customWidth="1"/>
    <col min="2" max="2" width="14.140625" style="1" customWidth="1"/>
    <col min="3" max="3" width="51.140625" style="1" customWidth="1"/>
    <col min="4" max="4" width="51.7109375" style="1" customWidth="1"/>
    <col min="5" max="5" width="15.140625" style="1" customWidth="1"/>
    <col min="6" max="6" width="13.28515625" style="1" customWidth="1"/>
    <col min="7" max="7" width="16" style="25" customWidth="1"/>
    <col min="8" max="8" width="20.85546875" style="25" customWidth="1"/>
    <col min="9" max="16384" width="9.140625" style="1"/>
  </cols>
  <sheetData>
    <row r="1" spans="1:8" ht="36.75" thickBot="1">
      <c r="A1" s="51" t="s">
        <v>42</v>
      </c>
      <c r="B1" s="52"/>
      <c r="C1" s="52"/>
      <c r="D1" s="52"/>
      <c r="E1" s="52"/>
      <c r="F1" s="52"/>
      <c r="G1" s="52"/>
      <c r="H1" s="53"/>
    </row>
    <row r="2" spans="1:8" ht="27" thickBot="1">
      <c r="A2" s="7" t="s">
        <v>19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25</v>
      </c>
      <c r="G2" s="9" t="s">
        <v>21</v>
      </c>
      <c r="H2" s="9" t="s">
        <v>43</v>
      </c>
    </row>
    <row r="3" spans="1:8" s="32" customFormat="1" ht="18.75">
      <c r="A3" s="6">
        <v>1</v>
      </c>
      <c r="B3" s="6" t="str">
        <f>"5100000001"</f>
        <v>5100000001</v>
      </c>
      <c r="C3" s="29" t="str">
        <f>"مانيتور LG"</f>
        <v>مانيتور LG</v>
      </c>
      <c r="D3" s="6" t="str">
        <f>"20IN  LED--LG-"</f>
        <v>20IN  LED--LG-</v>
      </c>
      <c r="E3" s="6" t="str">
        <f>"دستگاه"</f>
        <v>دستگاه</v>
      </c>
      <c r="F3" s="6">
        <v>12</v>
      </c>
      <c r="G3" s="30">
        <v>5500000</v>
      </c>
      <c r="H3" s="30">
        <f>G3*F3</f>
        <v>66000000</v>
      </c>
    </row>
    <row r="4" spans="1:8" s="32" customFormat="1" ht="18.75">
      <c r="A4" s="4">
        <v>2</v>
      </c>
      <c r="B4" s="4" t="str">
        <f>"5100000002"</f>
        <v>5100000002</v>
      </c>
      <c r="C4" s="5" t="str">
        <f>"کيس کامپيوتر"</f>
        <v>کيس کامپيوتر</v>
      </c>
      <c r="D4" s="4" t="str">
        <f>"-GREEN-REDMAX"</f>
        <v>-GREEN-REDMAX</v>
      </c>
      <c r="E4" s="4" t="str">
        <f>"دستگاه"</f>
        <v>دستگاه</v>
      </c>
      <c r="F4" s="4">
        <v>8</v>
      </c>
      <c r="G4" s="10">
        <v>15000000</v>
      </c>
      <c r="H4" s="10">
        <f>G4*F4</f>
        <v>120000000</v>
      </c>
    </row>
    <row r="5" spans="1:8" s="32" customFormat="1" ht="18.75">
      <c r="A5" s="4">
        <v>3</v>
      </c>
      <c r="B5" s="4" t="str">
        <f>"5100000004"</f>
        <v>5100000004</v>
      </c>
      <c r="C5" s="5" t="str">
        <f>"موس کامپيوتر"</f>
        <v>موس کامپيوتر</v>
      </c>
      <c r="D5" s="4" t="str">
        <f>"FCM 6140FARASSOO--USB"</f>
        <v>FCM 6140FARASSOO--USB</v>
      </c>
      <c r="E5" s="4" t="str">
        <f>"عدد"</f>
        <v>عدد</v>
      </c>
      <c r="F5" s="4">
        <v>9</v>
      </c>
      <c r="G5" s="10">
        <v>350000</v>
      </c>
      <c r="H5" s="10">
        <f>G5*F5</f>
        <v>3150000</v>
      </c>
    </row>
    <row r="6" spans="1:8" s="32" customFormat="1" ht="18.75">
      <c r="A6" s="6">
        <v>4</v>
      </c>
      <c r="B6" s="4" t="str">
        <f>"5100000007"</f>
        <v>5100000007</v>
      </c>
      <c r="C6" s="5" t="str">
        <f>"دستگاه حکاکي cncبامکانيزمOIL FREE"</f>
        <v>دستگاه حکاکي cncبامکانيزمOIL FREE</v>
      </c>
      <c r="D6" s="4" t="str">
        <f>"مدل HFM 702"</f>
        <v>مدل HFM 702</v>
      </c>
      <c r="E6" s="4" t="str">
        <f>"دستگاه"</f>
        <v>دستگاه</v>
      </c>
      <c r="F6" s="4">
        <v>1</v>
      </c>
      <c r="G6" s="10">
        <v>256000000</v>
      </c>
      <c r="H6" s="30">
        <f t="shared" ref="H6:H23" si="0">G6*F6</f>
        <v>256000000</v>
      </c>
    </row>
    <row r="7" spans="1:8" s="32" customFormat="1" ht="18.75">
      <c r="A7" s="4">
        <v>5</v>
      </c>
      <c r="B7" s="4" t="str">
        <f>"5100000003"</f>
        <v>5100000003</v>
      </c>
      <c r="C7" s="5" t="str">
        <f>"کيبرد کامپيوتر"</f>
        <v>کيبرد کامپيوتر</v>
      </c>
      <c r="D7" s="4" t="str">
        <f>"FCM 6140--farassoo"</f>
        <v>FCM 6140--farassoo</v>
      </c>
      <c r="E7" s="4" t="str">
        <f>"دستگاه"</f>
        <v>دستگاه</v>
      </c>
      <c r="F7" s="4">
        <v>14</v>
      </c>
      <c r="G7" s="10">
        <v>550000</v>
      </c>
      <c r="H7" s="10">
        <f t="shared" si="0"/>
        <v>7700000</v>
      </c>
    </row>
    <row r="8" spans="1:8" s="32" customFormat="1" ht="18.75">
      <c r="A8" s="4">
        <v>6</v>
      </c>
      <c r="B8" s="4" t="str">
        <f>"5100000009"</f>
        <v>5100000009</v>
      </c>
      <c r="C8" s="5" t="str">
        <f>"کپسول انفرادي اکسيژن گيج دار بامتعلقات"</f>
        <v>کپسول انفرادي اکسيژن گيج دار بامتعلقات</v>
      </c>
      <c r="D8" s="31" t="str">
        <f>"DRAGER-BRFJ--3398-4186-3883-3890-3594-3880-3881-3978-3874-3597"</f>
        <v>DRAGER-BRFJ--3398-4186-3883-3890-3594-3880-3881-3978-3874-3597</v>
      </c>
      <c r="E8" s="4" t="str">
        <f>"سيلندر"</f>
        <v>سيلندر</v>
      </c>
      <c r="F8" s="4">
        <v>10</v>
      </c>
      <c r="G8" s="10">
        <v>53000000</v>
      </c>
      <c r="H8" s="10">
        <f t="shared" si="0"/>
        <v>530000000</v>
      </c>
    </row>
    <row r="9" spans="1:8" s="32" customFormat="1" ht="18.75">
      <c r="A9" s="6">
        <v>7</v>
      </c>
      <c r="B9" s="4" t="str">
        <f>"5100000010"</f>
        <v>5100000010</v>
      </c>
      <c r="C9" s="5" t="str">
        <f>"سويچر شبکه  D-LINK"</f>
        <v>سويچر شبکه  D-LINK</v>
      </c>
      <c r="D9" s="4" t="str">
        <f>"5پورت - 10/100"</f>
        <v>5پورت - 10/100</v>
      </c>
      <c r="E9" s="4" t="str">
        <f>"دستگاه"</f>
        <v>دستگاه</v>
      </c>
      <c r="F9" s="4">
        <v>1</v>
      </c>
      <c r="G9" s="10">
        <v>22000000</v>
      </c>
      <c r="H9" s="30">
        <f t="shared" si="0"/>
        <v>22000000</v>
      </c>
    </row>
    <row r="10" spans="1:8" s="32" customFormat="1" ht="18.75">
      <c r="A10" s="4">
        <v>8</v>
      </c>
      <c r="B10" s="4" t="str">
        <f>"5100000012"</f>
        <v>5100000012</v>
      </c>
      <c r="C10" s="5" t="str">
        <f>"کپسول آتش نشاني"</f>
        <v>کپسول آتش نشاني</v>
      </c>
      <c r="D10" s="4" t="str">
        <f>" کيلويي6     پودر گاز"</f>
        <v xml:space="preserve"> کيلويي6     پودر گاز</v>
      </c>
      <c r="E10" s="4" t="str">
        <f>"سيلندر"</f>
        <v>سيلندر</v>
      </c>
      <c r="F10" s="4">
        <v>27</v>
      </c>
      <c r="G10" s="10">
        <v>700000</v>
      </c>
      <c r="H10" s="10">
        <f t="shared" si="0"/>
        <v>18900000</v>
      </c>
    </row>
    <row r="11" spans="1:8" s="32" customFormat="1" ht="18.75">
      <c r="A11" s="4">
        <v>9</v>
      </c>
      <c r="B11" s="4" t="str">
        <f>"5100000013"</f>
        <v>5100000013</v>
      </c>
      <c r="C11" s="5" t="str">
        <f>"کپسول آتش نشاني co2"</f>
        <v>کپسول آتش نشاني co2</v>
      </c>
      <c r="D11" s="4" t="str">
        <f>"کيلويي6"</f>
        <v>کيلويي6</v>
      </c>
      <c r="E11" s="4" t="str">
        <f>"سيلندر"</f>
        <v>سيلندر</v>
      </c>
      <c r="F11" s="4">
        <v>9</v>
      </c>
      <c r="G11" s="10">
        <v>1500000</v>
      </c>
      <c r="H11" s="10">
        <f t="shared" si="0"/>
        <v>13500000</v>
      </c>
    </row>
    <row r="12" spans="1:8" s="32" customFormat="1" ht="18.75">
      <c r="A12" s="6">
        <v>10</v>
      </c>
      <c r="B12" s="4" t="str">
        <f>"5100000015"</f>
        <v>5100000015</v>
      </c>
      <c r="C12" s="5" t="str">
        <f>"پرينترHP"</f>
        <v>پرينترHP</v>
      </c>
      <c r="D12" s="4" t="str">
        <f>"HP"</f>
        <v>HP</v>
      </c>
      <c r="E12" s="4" t="str">
        <f>"دستگاه"</f>
        <v>دستگاه</v>
      </c>
      <c r="F12" s="4">
        <v>2</v>
      </c>
      <c r="G12" s="10">
        <v>9500000</v>
      </c>
      <c r="H12" s="30">
        <f t="shared" si="0"/>
        <v>19000000</v>
      </c>
    </row>
    <row r="13" spans="1:8" s="32" customFormat="1" ht="18.75">
      <c r="A13" s="4">
        <v>11</v>
      </c>
      <c r="B13" s="4" t="str">
        <f>"5100000033"</f>
        <v>5100000033</v>
      </c>
      <c r="C13" s="5" t="str">
        <f>"فن صنعتي 60×60"</f>
        <v>فن صنعتي 60×60</v>
      </c>
      <c r="D13" s="4" t="str">
        <f>""</f>
        <v/>
      </c>
      <c r="E13" s="4" t="str">
        <f t="shared" ref="E13:E14" si="1">"دستگاه"</f>
        <v>دستگاه</v>
      </c>
      <c r="F13" s="4">
        <v>2</v>
      </c>
      <c r="G13" s="10">
        <v>3850000</v>
      </c>
      <c r="H13" s="10">
        <f t="shared" si="0"/>
        <v>7700000</v>
      </c>
    </row>
    <row r="14" spans="1:8" s="32" customFormat="1" ht="18.75">
      <c r="A14" s="4">
        <v>12</v>
      </c>
      <c r="B14" s="4" t="str">
        <f>"5100000034"</f>
        <v>5100000034</v>
      </c>
      <c r="C14" s="5" t="str">
        <f>"فن صنعتي70*70سانتيمتر"</f>
        <v>فن صنعتي70*70سانتيمتر</v>
      </c>
      <c r="D14" s="4" t="str">
        <f>""</f>
        <v/>
      </c>
      <c r="E14" s="4" t="str">
        <f t="shared" si="1"/>
        <v>دستگاه</v>
      </c>
      <c r="F14" s="4">
        <v>1</v>
      </c>
      <c r="G14" s="10">
        <v>3850000</v>
      </c>
      <c r="H14" s="10">
        <f t="shared" si="0"/>
        <v>3850000</v>
      </c>
    </row>
    <row r="15" spans="1:8" s="32" customFormat="1" ht="18.75">
      <c r="A15" s="6">
        <v>13</v>
      </c>
      <c r="B15" s="4" t="str">
        <f>"5100000046"</f>
        <v>5100000046</v>
      </c>
      <c r="C15" s="5" t="str">
        <f>"ماسين حساب"</f>
        <v>ماسين حساب</v>
      </c>
      <c r="D15" s="4" t="str">
        <f>""</f>
        <v/>
      </c>
      <c r="E15" s="4" t="str">
        <f>"دستگاه"</f>
        <v>دستگاه</v>
      </c>
      <c r="F15" s="4">
        <v>1</v>
      </c>
      <c r="G15" s="10">
        <v>750000</v>
      </c>
      <c r="H15" s="30">
        <f t="shared" si="0"/>
        <v>750000</v>
      </c>
    </row>
    <row r="16" spans="1:8" s="32" customFormat="1" ht="18.75">
      <c r="A16" s="4">
        <v>14</v>
      </c>
      <c r="B16" s="4" t="str">
        <f>"5100000047"</f>
        <v>5100000047</v>
      </c>
      <c r="C16" s="5" t="str">
        <f>"سي دي رم-اکسترنال"</f>
        <v>سي دي رم-اکسترنال</v>
      </c>
      <c r="D16" s="4" t="str">
        <f>"SN:6283084115313747208072"</f>
        <v>SN:6283084115313747208072</v>
      </c>
      <c r="E16" s="4" t="str">
        <f>"دستگاه"</f>
        <v>دستگاه</v>
      </c>
      <c r="F16" s="4">
        <v>1</v>
      </c>
      <c r="G16" s="10">
        <v>1700000</v>
      </c>
      <c r="H16" s="10">
        <f t="shared" si="0"/>
        <v>1700000</v>
      </c>
    </row>
    <row r="17" spans="1:8" s="32" customFormat="1" ht="18.75">
      <c r="A17" s="4">
        <v>15</v>
      </c>
      <c r="B17" s="4" t="str">
        <f>"5100000049"</f>
        <v>5100000049</v>
      </c>
      <c r="C17" s="5" t="str">
        <f>"تلفن پاناسونيك"</f>
        <v>تلفن پاناسونيك</v>
      </c>
      <c r="D17" s="4" t="str">
        <f>""</f>
        <v/>
      </c>
      <c r="E17" s="4" t="str">
        <f>"دستگاه"</f>
        <v>دستگاه</v>
      </c>
      <c r="F17" s="4">
        <v>2</v>
      </c>
      <c r="G17" s="10">
        <v>1200000</v>
      </c>
      <c r="H17" s="10">
        <f t="shared" si="0"/>
        <v>2400000</v>
      </c>
    </row>
    <row r="18" spans="1:8" s="32" customFormat="1" ht="18.75">
      <c r="A18" s="6">
        <v>16</v>
      </c>
      <c r="B18" s="4" t="str">
        <f>"5100000051"</f>
        <v>5100000051</v>
      </c>
      <c r="C18" s="5" t="str">
        <f>"چاپگر hb125"</f>
        <v>چاپگر hb125</v>
      </c>
      <c r="D18" s="4" t="str">
        <f>""</f>
        <v/>
      </c>
      <c r="E18" s="4" t="str">
        <f t="shared" ref="E18:E20" si="2">"دستگاه"</f>
        <v>دستگاه</v>
      </c>
      <c r="F18" s="4">
        <v>1</v>
      </c>
      <c r="G18" s="10">
        <v>9500000</v>
      </c>
      <c r="H18" s="30">
        <f t="shared" si="0"/>
        <v>9500000</v>
      </c>
    </row>
    <row r="19" spans="1:8" s="32" customFormat="1" ht="18.75">
      <c r="A19" s="4">
        <v>17</v>
      </c>
      <c r="B19" s="4" t="str">
        <f>"5100000054"</f>
        <v>5100000054</v>
      </c>
      <c r="C19" s="5" t="str">
        <f>"تلفن بيسيم دو گوشي"</f>
        <v>تلفن بيسيم دو گوشي</v>
      </c>
      <c r="D19" s="4" t="str">
        <f>""</f>
        <v/>
      </c>
      <c r="E19" s="4" t="str">
        <f t="shared" si="2"/>
        <v>دستگاه</v>
      </c>
      <c r="F19" s="4">
        <v>1</v>
      </c>
      <c r="G19" s="10">
        <v>1500000</v>
      </c>
      <c r="H19" s="10">
        <f t="shared" si="0"/>
        <v>1500000</v>
      </c>
    </row>
    <row r="20" spans="1:8" s="32" customFormat="1" ht="18.75">
      <c r="A20" s="4">
        <v>18</v>
      </c>
      <c r="B20" s="4" t="str">
        <f>"5100000058"</f>
        <v>5100000058</v>
      </c>
      <c r="C20" s="5" t="str">
        <f>"دستگاه تصفيه آب-گيج دار 5فيلتره"</f>
        <v>دستگاه تصفيه آب-گيج دار 5فيلتره</v>
      </c>
      <c r="D20" s="4" t="str">
        <f>"پايه دار-5فيلتره"</f>
        <v>پايه دار-5فيلتره</v>
      </c>
      <c r="E20" s="4" t="str">
        <f t="shared" si="2"/>
        <v>دستگاه</v>
      </c>
      <c r="F20" s="4">
        <v>1</v>
      </c>
      <c r="G20" s="10">
        <v>6000000</v>
      </c>
      <c r="H20" s="10">
        <f t="shared" si="0"/>
        <v>6000000</v>
      </c>
    </row>
    <row r="21" spans="1:8" s="32" customFormat="1" ht="18.75">
      <c r="A21" s="6">
        <v>19</v>
      </c>
      <c r="B21" s="4" t="str">
        <f>"5100000060"</f>
        <v>5100000060</v>
      </c>
      <c r="C21" s="5" t="str">
        <f>"سماور 20ليتري-جام جم"</f>
        <v>سماور 20ليتري-جام جم</v>
      </c>
      <c r="D21" s="4" t="str">
        <f>""</f>
        <v/>
      </c>
      <c r="E21" s="4" t="str">
        <f>"عدد"</f>
        <v>عدد</v>
      </c>
      <c r="F21" s="4">
        <v>1</v>
      </c>
      <c r="G21" s="10">
        <v>2800000</v>
      </c>
      <c r="H21" s="30">
        <f t="shared" si="0"/>
        <v>2800000</v>
      </c>
    </row>
    <row r="22" spans="1:8" s="32" customFormat="1" ht="18.75">
      <c r="A22" s="4">
        <v>20</v>
      </c>
      <c r="B22" s="4" t="str">
        <f>"5100000061"</f>
        <v>5100000061</v>
      </c>
      <c r="C22" s="5" t="str">
        <f>"مانيتور ال-جي-22اينچ"</f>
        <v>مانيتور ال-جي-22اينچ</v>
      </c>
      <c r="D22" s="4" t="str">
        <f>""</f>
        <v/>
      </c>
      <c r="E22" s="4" t="str">
        <f>"دستگاه"</f>
        <v>دستگاه</v>
      </c>
      <c r="F22" s="4">
        <v>1</v>
      </c>
      <c r="G22" s="10">
        <v>6500000</v>
      </c>
      <c r="H22" s="10">
        <f t="shared" si="0"/>
        <v>6500000</v>
      </c>
    </row>
    <row r="23" spans="1:8" s="32" customFormat="1" ht="18.75">
      <c r="A23" s="4">
        <v>21</v>
      </c>
      <c r="B23" s="4" t="str">
        <f>"5100000065"</f>
        <v>5100000065</v>
      </c>
      <c r="C23" s="5" t="str">
        <f>"صندلي مديريتي"</f>
        <v>صندلي مديريتي</v>
      </c>
      <c r="D23" s="4" t="str">
        <f>""</f>
        <v/>
      </c>
      <c r="E23" s="4" t="str">
        <f>"عدد"</f>
        <v>عدد</v>
      </c>
      <c r="F23" s="4">
        <v>1</v>
      </c>
      <c r="G23" s="10">
        <v>8800000</v>
      </c>
      <c r="H23" s="10">
        <f t="shared" si="0"/>
        <v>8800000</v>
      </c>
    </row>
    <row r="24" spans="1:8" ht="28.5" customHeight="1">
      <c r="H24" s="38">
        <f>SUM(H3:H23)</f>
        <v>1107750000</v>
      </c>
    </row>
    <row r="25" spans="1:8">
      <c r="H25" s="37"/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rightToLeft="1" tabSelected="1" zoomScale="85" zoomScaleNormal="85" zoomScaleSheetLayoutView="115" workbookViewId="0">
      <selection activeCell="B8" sqref="B8"/>
    </sheetView>
  </sheetViews>
  <sheetFormatPr defaultRowHeight="15"/>
  <cols>
    <col min="1" max="1" width="25.7109375" customWidth="1"/>
    <col min="2" max="2" width="33.140625" customWidth="1"/>
  </cols>
  <sheetData>
    <row r="2" spans="1:2" ht="56.25" customHeight="1">
      <c r="A2" s="33" t="s">
        <v>44</v>
      </c>
      <c r="B2" s="33" t="s">
        <v>45</v>
      </c>
    </row>
    <row r="3" spans="1:2" ht="44.25" customHeight="1">
      <c r="A3" s="40" t="s">
        <v>46</v>
      </c>
      <c r="B3" s="41">
        <v>24875040000</v>
      </c>
    </row>
    <row r="4" spans="1:2" ht="44.25" customHeight="1">
      <c r="A4" s="40" t="s">
        <v>47</v>
      </c>
      <c r="B4" s="41">
        <v>1875684000</v>
      </c>
    </row>
    <row r="5" spans="1:2" ht="44.25" customHeight="1">
      <c r="A5" s="40" t="s">
        <v>48</v>
      </c>
      <c r="B5" s="41">
        <v>1981535500</v>
      </c>
    </row>
    <row r="6" spans="1:2" ht="44.25" customHeight="1">
      <c r="A6" s="40" t="s">
        <v>49</v>
      </c>
      <c r="B6" s="41">
        <v>40605000</v>
      </c>
    </row>
    <row r="7" spans="1:2" ht="44.25" customHeight="1">
      <c r="A7" s="40" t="s">
        <v>50</v>
      </c>
      <c r="B7" s="41">
        <v>1107750000</v>
      </c>
    </row>
    <row r="8" spans="1:2" ht="46.5" customHeight="1">
      <c r="A8" s="40" t="s">
        <v>23</v>
      </c>
      <c r="B8" s="54">
        <f>SUM(B3:B7)</f>
        <v>29880614500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ابزارآلات</vt:lpstr>
      <vt:lpstr>مصرفی</vt:lpstr>
      <vt:lpstr>ملزومات </vt:lpstr>
      <vt:lpstr>قطعات یدکی</vt:lpstr>
      <vt:lpstr>اموال</vt:lpstr>
      <vt:lpstr>جمع کل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Mihandoost, Mohammadreza</dc:creator>
  <cp:lastModifiedBy>Jalilnejad, Shahram</cp:lastModifiedBy>
  <cp:lastPrinted>2017-04-15T11:08:45Z</cp:lastPrinted>
  <dcterms:created xsi:type="dcterms:W3CDTF">2017-04-15T05:48:42Z</dcterms:created>
  <dcterms:modified xsi:type="dcterms:W3CDTF">2017-05-04T10:13:00Z</dcterms:modified>
</cp:coreProperties>
</file>