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903" sheetId="1" r:id="rId1"/>
  </sheets>
  <calcPr calcId="145621"/>
</workbook>
</file>

<file path=xl/calcChain.xml><?xml version="1.0" encoding="utf-8"?>
<calcChain xmlns="http://schemas.openxmlformats.org/spreadsheetml/2006/main">
  <c r="AT1143" i="1" l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2" i="1"/>
  <c r="A1129" i="1" l="1"/>
  <c r="B1129" i="1"/>
  <c r="C1129" i="1"/>
  <c r="D1129" i="1"/>
  <c r="E1129" i="1"/>
  <c r="A373" i="1"/>
  <c r="B373" i="1"/>
  <c r="C373" i="1"/>
  <c r="D373" i="1"/>
  <c r="E373" i="1"/>
  <c r="A358" i="1"/>
  <c r="B358" i="1"/>
  <c r="C358" i="1"/>
  <c r="D358" i="1"/>
  <c r="E358" i="1"/>
  <c r="A359" i="1"/>
  <c r="B359" i="1"/>
  <c r="C359" i="1"/>
  <c r="D359" i="1"/>
  <c r="E359" i="1"/>
  <c r="A492" i="1"/>
  <c r="B492" i="1"/>
  <c r="C492" i="1"/>
  <c r="D492" i="1"/>
  <c r="E492" i="1"/>
  <c r="A498" i="1"/>
  <c r="B498" i="1"/>
  <c r="C498" i="1"/>
  <c r="D498" i="1"/>
  <c r="E498" i="1"/>
  <c r="A501" i="1"/>
  <c r="B501" i="1"/>
  <c r="C501" i="1"/>
  <c r="D501" i="1"/>
  <c r="E501" i="1"/>
  <c r="A512" i="1"/>
  <c r="B512" i="1"/>
  <c r="C512" i="1"/>
  <c r="D512" i="1"/>
  <c r="E512" i="1"/>
  <c r="A640" i="1"/>
  <c r="B640" i="1"/>
  <c r="C640" i="1"/>
  <c r="D640" i="1"/>
  <c r="E640" i="1"/>
  <c r="A638" i="1"/>
  <c r="B638" i="1"/>
  <c r="C638" i="1"/>
  <c r="D638" i="1"/>
  <c r="E638" i="1"/>
  <c r="A749" i="1"/>
  <c r="B749" i="1"/>
  <c r="C749" i="1"/>
  <c r="D749" i="1"/>
  <c r="E749" i="1"/>
  <c r="A740" i="1"/>
  <c r="B740" i="1"/>
  <c r="C740" i="1"/>
  <c r="D740" i="1"/>
  <c r="E740" i="1"/>
  <c r="A418" i="1"/>
  <c r="B418" i="1"/>
  <c r="C418" i="1"/>
  <c r="D418" i="1"/>
  <c r="E418" i="1"/>
  <c r="A399" i="1"/>
  <c r="B399" i="1"/>
  <c r="C399" i="1"/>
  <c r="D399" i="1"/>
  <c r="E399" i="1"/>
  <c r="A396" i="1"/>
  <c r="B396" i="1"/>
  <c r="C396" i="1"/>
  <c r="D396" i="1"/>
  <c r="E396" i="1"/>
  <c r="A446" i="1"/>
  <c r="B446" i="1"/>
  <c r="C446" i="1"/>
  <c r="D446" i="1"/>
  <c r="E446" i="1"/>
  <c r="A381" i="1"/>
  <c r="B381" i="1"/>
  <c r="C381" i="1"/>
  <c r="D381" i="1"/>
  <c r="E381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2" i="1"/>
  <c r="B2" i="1"/>
  <c r="C2" i="1"/>
  <c r="D2" i="1"/>
  <c r="E2" i="1"/>
  <c r="A47" i="1"/>
  <c r="B47" i="1"/>
  <c r="C47" i="1"/>
  <c r="D47" i="1"/>
  <c r="E47" i="1"/>
  <c r="A24" i="1"/>
  <c r="B24" i="1"/>
  <c r="C24" i="1"/>
  <c r="D24" i="1"/>
  <c r="E24" i="1"/>
  <c r="A488" i="1"/>
  <c r="B488" i="1"/>
  <c r="C488" i="1"/>
  <c r="D488" i="1"/>
  <c r="E488" i="1"/>
  <c r="A544" i="1"/>
  <c r="B544" i="1"/>
  <c r="C544" i="1"/>
  <c r="D544" i="1"/>
  <c r="E544" i="1"/>
  <c r="A764" i="1"/>
  <c r="B764" i="1"/>
  <c r="C764" i="1"/>
  <c r="D764" i="1"/>
  <c r="E764" i="1"/>
  <c r="A752" i="1"/>
  <c r="B752" i="1"/>
  <c r="C752" i="1"/>
  <c r="D752" i="1"/>
  <c r="E752" i="1"/>
  <c r="A1034" i="1"/>
  <c r="B1034" i="1"/>
  <c r="C1034" i="1"/>
  <c r="D1034" i="1"/>
  <c r="E1034" i="1"/>
  <c r="A1012" i="1"/>
  <c r="B1012" i="1"/>
  <c r="C1012" i="1"/>
  <c r="D1012" i="1"/>
  <c r="E1012" i="1"/>
  <c r="A928" i="1"/>
  <c r="B928" i="1"/>
  <c r="C928" i="1"/>
  <c r="D928" i="1"/>
  <c r="E928" i="1"/>
  <c r="A1084" i="1"/>
  <c r="B1084" i="1"/>
  <c r="C1084" i="1"/>
  <c r="D1084" i="1"/>
  <c r="E1084" i="1"/>
  <c r="A931" i="1"/>
  <c r="B931" i="1"/>
  <c r="C931" i="1"/>
  <c r="D931" i="1"/>
  <c r="E931" i="1"/>
  <c r="A908" i="1"/>
  <c r="B908" i="1"/>
  <c r="C908" i="1"/>
  <c r="D908" i="1"/>
  <c r="E908" i="1"/>
  <c r="A772" i="1"/>
  <c r="B772" i="1"/>
  <c r="C772" i="1"/>
  <c r="D772" i="1"/>
  <c r="E772" i="1"/>
  <c r="A773" i="1"/>
  <c r="B773" i="1"/>
  <c r="C773" i="1"/>
  <c r="D773" i="1"/>
  <c r="E773" i="1"/>
  <c r="A495" i="1"/>
  <c r="B495" i="1"/>
  <c r="C495" i="1"/>
  <c r="D495" i="1"/>
  <c r="E495" i="1"/>
  <c r="A497" i="1"/>
  <c r="B497" i="1"/>
  <c r="C497" i="1"/>
  <c r="D497" i="1"/>
  <c r="E497" i="1"/>
  <c r="A509" i="1"/>
  <c r="B509" i="1"/>
  <c r="C509" i="1"/>
  <c r="D509" i="1"/>
  <c r="E509" i="1"/>
  <c r="A450" i="1"/>
  <c r="B450" i="1"/>
  <c r="C450" i="1"/>
  <c r="D450" i="1"/>
  <c r="E450" i="1"/>
  <c r="A50" i="1"/>
  <c r="B50" i="1"/>
  <c r="C50" i="1"/>
  <c r="D50" i="1"/>
  <c r="E50" i="1"/>
  <c r="A565" i="1"/>
  <c r="B565" i="1"/>
  <c r="C565" i="1"/>
  <c r="D565" i="1"/>
  <c r="E565" i="1"/>
  <c r="A870" i="1"/>
  <c r="B870" i="1"/>
  <c r="C870" i="1"/>
  <c r="D870" i="1"/>
  <c r="E870" i="1"/>
  <c r="A727" i="1"/>
  <c r="B727" i="1"/>
  <c r="C727" i="1"/>
  <c r="D727" i="1"/>
  <c r="E727" i="1"/>
  <c r="A726" i="1"/>
  <c r="B726" i="1"/>
  <c r="C726" i="1"/>
  <c r="D726" i="1"/>
  <c r="E726" i="1"/>
  <c r="A724" i="1"/>
  <c r="B724" i="1"/>
  <c r="C724" i="1"/>
  <c r="D724" i="1"/>
  <c r="E724" i="1"/>
  <c r="A1008" i="1"/>
  <c r="B1008" i="1"/>
  <c r="C1008" i="1"/>
  <c r="D1008" i="1"/>
  <c r="E1008" i="1"/>
  <c r="A1032" i="1"/>
  <c r="B1032" i="1"/>
  <c r="C1032" i="1"/>
  <c r="D1032" i="1"/>
  <c r="E1032" i="1"/>
  <c r="A1049" i="1"/>
  <c r="B1049" i="1"/>
  <c r="C1049" i="1"/>
  <c r="D1049" i="1"/>
  <c r="E1049" i="1"/>
  <c r="A1086" i="1"/>
  <c r="B1086" i="1"/>
  <c r="C1086" i="1"/>
  <c r="D1086" i="1"/>
  <c r="E1086" i="1"/>
  <c r="A1118" i="1"/>
  <c r="B1118" i="1"/>
  <c r="C1118" i="1"/>
  <c r="D1118" i="1"/>
  <c r="E1118" i="1"/>
  <c r="A569" i="1"/>
  <c r="B569" i="1"/>
  <c r="C569" i="1"/>
  <c r="D569" i="1"/>
  <c r="E569" i="1"/>
  <c r="A593" i="1"/>
  <c r="B593" i="1"/>
  <c r="C593" i="1"/>
  <c r="D593" i="1"/>
  <c r="E593" i="1"/>
  <c r="A506" i="1"/>
  <c r="B506" i="1"/>
  <c r="C506" i="1"/>
  <c r="D506" i="1"/>
  <c r="E506" i="1"/>
  <c r="A489" i="1"/>
  <c r="B489" i="1"/>
  <c r="C489" i="1"/>
  <c r="D489" i="1"/>
  <c r="E489" i="1"/>
  <c r="A326" i="1"/>
  <c r="B326" i="1"/>
  <c r="C326" i="1"/>
  <c r="D326" i="1"/>
  <c r="E326" i="1"/>
  <c r="A494" i="1"/>
  <c r="B494" i="1"/>
  <c r="C494" i="1"/>
  <c r="D494" i="1"/>
  <c r="E494" i="1"/>
  <c r="A602" i="1"/>
  <c r="B602" i="1"/>
  <c r="C602" i="1"/>
  <c r="D602" i="1"/>
  <c r="E602" i="1"/>
  <c r="A589" i="1"/>
  <c r="B589" i="1"/>
  <c r="C589" i="1"/>
  <c r="D589" i="1"/>
  <c r="E589" i="1"/>
  <c r="A564" i="1"/>
  <c r="B564" i="1"/>
  <c r="C564" i="1"/>
  <c r="D564" i="1"/>
  <c r="E564" i="1"/>
  <c r="A543" i="1"/>
  <c r="B543" i="1"/>
  <c r="C543" i="1"/>
  <c r="D543" i="1"/>
  <c r="E543" i="1"/>
  <c r="A664" i="1"/>
  <c r="B664" i="1"/>
  <c r="C664" i="1"/>
  <c r="D664" i="1"/>
  <c r="E664" i="1"/>
  <c r="A619" i="1"/>
  <c r="B619" i="1"/>
  <c r="C619" i="1"/>
  <c r="D619" i="1"/>
  <c r="E619" i="1"/>
  <c r="A643" i="1"/>
  <c r="B643" i="1"/>
  <c r="C643" i="1"/>
  <c r="D643" i="1"/>
  <c r="E643" i="1"/>
  <c r="A720" i="1"/>
  <c r="B720" i="1"/>
  <c r="C720" i="1"/>
  <c r="D720" i="1"/>
  <c r="E720" i="1"/>
  <c r="A717" i="1"/>
  <c r="B717" i="1"/>
  <c r="C717" i="1"/>
  <c r="D717" i="1"/>
  <c r="E717" i="1"/>
  <c r="A725" i="1"/>
  <c r="B725" i="1"/>
  <c r="C725" i="1"/>
  <c r="D725" i="1"/>
  <c r="E725" i="1"/>
  <c r="A709" i="1"/>
  <c r="B709" i="1"/>
  <c r="C709" i="1"/>
  <c r="D709" i="1"/>
  <c r="E709" i="1"/>
  <c r="A729" i="1"/>
  <c r="B729" i="1"/>
  <c r="C729" i="1"/>
  <c r="D729" i="1"/>
  <c r="E729" i="1"/>
  <c r="A770" i="1"/>
  <c r="B770" i="1"/>
  <c r="C770" i="1"/>
  <c r="D770" i="1"/>
  <c r="E770" i="1"/>
  <c r="A771" i="1"/>
  <c r="B771" i="1"/>
  <c r="C771" i="1"/>
  <c r="D771" i="1"/>
  <c r="E771" i="1"/>
  <c r="A708" i="1"/>
  <c r="B708" i="1"/>
  <c r="C708" i="1"/>
  <c r="D708" i="1"/>
  <c r="E708" i="1"/>
  <c r="A718" i="1"/>
  <c r="B718" i="1"/>
  <c r="C718" i="1"/>
  <c r="D718" i="1"/>
  <c r="E718" i="1"/>
  <c r="A719" i="1"/>
  <c r="B719" i="1"/>
  <c r="C719" i="1"/>
  <c r="D719" i="1"/>
  <c r="E719" i="1"/>
  <c r="A661" i="1"/>
  <c r="B661" i="1"/>
  <c r="C661" i="1"/>
  <c r="D661" i="1"/>
  <c r="E661" i="1"/>
  <c r="A645" i="1"/>
  <c r="B645" i="1"/>
  <c r="C645" i="1"/>
  <c r="D645" i="1"/>
  <c r="E645" i="1"/>
  <c r="A1020" i="1"/>
  <c r="B1020" i="1"/>
  <c r="C1020" i="1"/>
  <c r="D1020" i="1"/>
  <c r="E1020" i="1"/>
  <c r="A1014" i="1"/>
  <c r="B1014" i="1"/>
  <c r="C1014" i="1"/>
  <c r="D1014" i="1"/>
  <c r="E1014" i="1"/>
  <c r="A978" i="1"/>
  <c r="B978" i="1"/>
  <c r="C978" i="1"/>
  <c r="D978" i="1"/>
  <c r="E978" i="1"/>
  <c r="A979" i="1"/>
  <c r="B979" i="1"/>
  <c r="C979" i="1"/>
  <c r="D979" i="1"/>
  <c r="E979" i="1"/>
  <c r="A980" i="1"/>
  <c r="B980" i="1"/>
  <c r="C980" i="1"/>
  <c r="D980" i="1"/>
  <c r="E980" i="1"/>
  <c r="A768" i="1"/>
  <c r="B768" i="1"/>
  <c r="C768" i="1"/>
  <c r="D768" i="1"/>
  <c r="E768" i="1"/>
  <c r="A862" i="1"/>
  <c r="B862" i="1"/>
  <c r="C862" i="1"/>
  <c r="D862" i="1"/>
  <c r="E862" i="1"/>
  <c r="A568" i="1"/>
  <c r="B568" i="1"/>
  <c r="C568" i="1"/>
  <c r="D568" i="1"/>
  <c r="E568" i="1"/>
  <c r="A305" i="1"/>
  <c r="B305" i="1"/>
  <c r="C305" i="1"/>
  <c r="D305" i="1"/>
  <c r="E305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44" i="1"/>
  <c r="B44" i="1"/>
  <c r="C44" i="1"/>
  <c r="D44" i="1"/>
  <c r="E44" i="1"/>
  <c r="A23" i="1"/>
  <c r="B23" i="1"/>
  <c r="C23" i="1"/>
  <c r="D23" i="1"/>
  <c r="E23" i="1"/>
  <c r="A769" i="1"/>
  <c r="B769" i="1"/>
  <c r="C769" i="1"/>
  <c r="D769" i="1"/>
  <c r="E769" i="1"/>
  <c r="A505" i="1"/>
  <c r="B505" i="1"/>
  <c r="C505" i="1"/>
  <c r="D505" i="1"/>
  <c r="E505" i="1"/>
  <c r="A491" i="1"/>
  <c r="B491" i="1"/>
  <c r="C491" i="1"/>
  <c r="D491" i="1"/>
  <c r="E491" i="1"/>
  <c r="A496" i="1"/>
  <c r="B496" i="1"/>
  <c r="C496" i="1"/>
  <c r="D496" i="1"/>
  <c r="E496" i="1"/>
  <c r="A360" i="1"/>
  <c r="B360" i="1"/>
  <c r="C360" i="1"/>
  <c r="D360" i="1"/>
  <c r="E360" i="1"/>
  <c r="A445" i="1"/>
  <c r="B445" i="1"/>
  <c r="C445" i="1"/>
  <c r="D445" i="1"/>
  <c r="E445" i="1"/>
  <c r="A577" i="1"/>
  <c r="B577" i="1"/>
  <c r="C577" i="1"/>
  <c r="D577" i="1"/>
  <c r="E577" i="1"/>
  <c r="A710" i="1"/>
  <c r="B710" i="1"/>
  <c r="C710" i="1"/>
  <c r="D710" i="1"/>
  <c r="E710" i="1"/>
  <c r="A713" i="1"/>
  <c r="B713" i="1"/>
  <c r="C713" i="1"/>
  <c r="D713" i="1"/>
  <c r="E713" i="1"/>
  <c r="A714" i="1"/>
  <c r="B714" i="1"/>
  <c r="C714" i="1"/>
  <c r="D714" i="1"/>
  <c r="E714" i="1"/>
  <c r="A715" i="1"/>
  <c r="B715" i="1"/>
  <c r="C715" i="1"/>
  <c r="D715" i="1"/>
  <c r="E715" i="1"/>
  <c r="A245" i="1"/>
  <c r="B245" i="1"/>
  <c r="C245" i="1"/>
  <c r="D245" i="1"/>
  <c r="E245" i="1"/>
  <c r="A240" i="1"/>
  <c r="B240" i="1"/>
  <c r="C240" i="1"/>
  <c r="D240" i="1"/>
  <c r="E240" i="1"/>
  <c r="A239" i="1"/>
  <c r="B239" i="1"/>
  <c r="C239" i="1"/>
  <c r="D239" i="1"/>
  <c r="E239" i="1"/>
  <c r="A313" i="1"/>
  <c r="B313" i="1"/>
  <c r="C313" i="1"/>
  <c r="D313" i="1"/>
  <c r="E313" i="1"/>
  <c r="A606" i="1"/>
  <c r="B606" i="1"/>
  <c r="C606" i="1"/>
  <c r="D606" i="1"/>
  <c r="E606" i="1"/>
  <c r="A507" i="1"/>
  <c r="B507" i="1"/>
  <c r="C507" i="1"/>
  <c r="D507" i="1"/>
  <c r="E507" i="1"/>
  <c r="A510" i="1"/>
  <c r="B510" i="1"/>
  <c r="C510" i="1"/>
  <c r="D510" i="1"/>
  <c r="E510" i="1"/>
  <c r="A511" i="1"/>
  <c r="B511" i="1"/>
  <c r="C511" i="1"/>
  <c r="D511" i="1"/>
  <c r="E511" i="1"/>
  <c r="A503" i="1"/>
  <c r="B503" i="1"/>
  <c r="C503" i="1"/>
  <c r="D503" i="1"/>
  <c r="E503" i="1"/>
  <c r="A504" i="1"/>
  <c r="B504" i="1"/>
  <c r="C504" i="1"/>
  <c r="D504" i="1"/>
  <c r="E504" i="1"/>
  <c r="A362" i="1"/>
  <c r="B362" i="1"/>
  <c r="C362" i="1"/>
  <c r="D362" i="1"/>
  <c r="E362" i="1"/>
  <c r="A597" i="1"/>
  <c r="B597" i="1"/>
  <c r="C597" i="1"/>
  <c r="D597" i="1"/>
  <c r="E597" i="1"/>
  <c r="A578" i="1"/>
  <c r="B578" i="1"/>
  <c r="C578" i="1"/>
  <c r="D578" i="1"/>
  <c r="E578" i="1"/>
  <c r="A591" i="1"/>
  <c r="B591" i="1"/>
  <c r="C591" i="1"/>
  <c r="D591" i="1"/>
  <c r="E591" i="1"/>
  <c r="A592" i="1"/>
  <c r="B592" i="1"/>
  <c r="C592" i="1"/>
  <c r="D592" i="1"/>
  <c r="E592" i="1"/>
  <c r="A599" i="1"/>
  <c r="B599" i="1"/>
  <c r="C599" i="1"/>
  <c r="D599" i="1"/>
  <c r="E599" i="1"/>
  <c r="A609" i="1"/>
  <c r="B609" i="1"/>
  <c r="C609" i="1"/>
  <c r="D609" i="1"/>
  <c r="E609" i="1"/>
  <c r="A607" i="1"/>
  <c r="B607" i="1"/>
  <c r="C607" i="1"/>
  <c r="D607" i="1"/>
  <c r="E607" i="1"/>
  <c r="A8" i="1"/>
  <c r="B8" i="1"/>
  <c r="C8" i="1"/>
  <c r="D8" i="1"/>
  <c r="E8" i="1"/>
  <c r="A35" i="1"/>
  <c r="B35" i="1"/>
  <c r="C35" i="1"/>
  <c r="D35" i="1"/>
  <c r="E35" i="1"/>
  <c r="A766" i="1"/>
  <c r="B766" i="1"/>
  <c r="C766" i="1"/>
  <c r="D766" i="1"/>
  <c r="E766" i="1"/>
  <c r="A767" i="1"/>
  <c r="B767" i="1"/>
  <c r="C767" i="1"/>
  <c r="D767" i="1"/>
  <c r="E767" i="1"/>
  <c r="A868" i="1"/>
  <c r="B868" i="1"/>
  <c r="C868" i="1"/>
  <c r="D868" i="1"/>
  <c r="E868" i="1"/>
  <c r="A735" i="1"/>
  <c r="B735" i="1"/>
  <c r="C735" i="1"/>
  <c r="D735" i="1"/>
  <c r="E735" i="1"/>
  <c r="A753" i="1"/>
  <c r="B753" i="1"/>
  <c r="C753" i="1"/>
  <c r="D753" i="1"/>
  <c r="E753" i="1"/>
  <c r="A629" i="1"/>
  <c r="B629" i="1"/>
  <c r="C629" i="1"/>
  <c r="D629" i="1"/>
  <c r="E629" i="1"/>
  <c r="A612" i="1"/>
  <c r="B612" i="1"/>
  <c r="C612" i="1"/>
  <c r="D612" i="1"/>
  <c r="E612" i="1"/>
  <c r="A613" i="1"/>
  <c r="B613" i="1"/>
  <c r="C613" i="1"/>
  <c r="D613" i="1"/>
  <c r="E613" i="1"/>
  <c r="A1123" i="1"/>
  <c r="B1123" i="1"/>
  <c r="C1123" i="1"/>
  <c r="D1123" i="1"/>
  <c r="E1123" i="1"/>
  <c r="A1128" i="1"/>
  <c r="B1128" i="1"/>
  <c r="C1128" i="1"/>
  <c r="D1128" i="1"/>
  <c r="E1128" i="1"/>
  <c r="A758" i="1"/>
  <c r="B758" i="1"/>
  <c r="C758" i="1"/>
  <c r="D758" i="1"/>
  <c r="E758" i="1"/>
  <c r="A744" i="1"/>
  <c r="B744" i="1"/>
  <c r="C744" i="1"/>
  <c r="D744" i="1"/>
  <c r="E744" i="1"/>
  <c r="A742" i="1"/>
  <c r="B742" i="1"/>
  <c r="C742" i="1"/>
  <c r="D742" i="1"/>
  <c r="E742" i="1"/>
  <c r="A739" i="1"/>
  <c r="B739" i="1"/>
  <c r="C739" i="1"/>
  <c r="D739" i="1"/>
  <c r="E739" i="1"/>
  <c r="A736" i="1"/>
  <c r="B736" i="1"/>
  <c r="C736" i="1"/>
  <c r="D736" i="1"/>
  <c r="E736" i="1"/>
  <c r="A737" i="1"/>
  <c r="B737" i="1"/>
  <c r="C737" i="1"/>
  <c r="D737" i="1"/>
  <c r="E737" i="1"/>
  <c r="A731" i="1"/>
  <c r="B731" i="1"/>
  <c r="C731" i="1"/>
  <c r="D731" i="1"/>
  <c r="E731" i="1"/>
  <c r="A861" i="1"/>
  <c r="B861" i="1"/>
  <c r="C861" i="1"/>
  <c r="D861" i="1"/>
  <c r="E861" i="1"/>
  <c r="A864" i="1"/>
  <c r="B864" i="1"/>
  <c r="C864" i="1"/>
  <c r="D864" i="1"/>
  <c r="E864" i="1"/>
  <c r="A763" i="1"/>
  <c r="B763" i="1"/>
  <c r="C763" i="1"/>
  <c r="D763" i="1"/>
  <c r="E763" i="1"/>
  <c r="A1035" i="1"/>
  <c r="B1035" i="1"/>
  <c r="C1035" i="1"/>
  <c r="D1035" i="1"/>
  <c r="E1035" i="1"/>
  <c r="A1041" i="1"/>
  <c r="B1041" i="1"/>
  <c r="C1041" i="1"/>
  <c r="D1041" i="1"/>
  <c r="E1041" i="1"/>
  <c r="A1027" i="1"/>
  <c r="B1027" i="1"/>
  <c r="C1027" i="1"/>
  <c r="D1027" i="1"/>
  <c r="E1027" i="1"/>
  <c r="A611" i="1"/>
  <c r="B611" i="1"/>
  <c r="C611" i="1"/>
  <c r="D611" i="1"/>
  <c r="E611" i="1"/>
  <c r="A580" i="1"/>
  <c r="B580" i="1"/>
  <c r="C580" i="1"/>
  <c r="D580" i="1"/>
  <c r="E580" i="1"/>
  <c r="A581" i="1"/>
  <c r="B581" i="1"/>
  <c r="C581" i="1"/>
  <c r="D581" i="1"/>
  <c r="E581" i="1"/>
  <c r="A628" i="1"/>
  <c r="B628" i="1"/>
  <c r="C628" i="1"/>
  <c r="D628" i="1"/>
  <c r="E628" i="1"/>
  <c r="A716" i="1"/>
  <c r="B716" i="1"/>
  <c r="C716" i="1"/>
  <c r="D716" i="1"/>
  <c r="E716" i="1"/>
  <c r="A761" i="1"/>
  <c r="B761" i="1"/>
  <c r="C761" i="1"/>
  <c r="D761" i="1"/>
  <c r="E761" i="1"/>
  <c r="A757" i="1"/>
  <c r="B757" i="1"/>
  <c r="C757" i="1"/>
  <c r="D757" i="1"/>
  <c r="E757" i="1"/>
  <c r="A1000" i="1"/>
  <c r="B1000" i="1"/>
  <c r="C1000" i="1"/>
  <c r="D1000" i="1"/>
  <c r="E1000" i="1"/>
  <c r="A1024" i="1"/>
  <c r="B1024" i="1"/>
  <c r="C1024" i="1"/>
  <c r="D1024" i="1"/>
  <c r="E1024" i="1"/>
  <c r="A1022" i="1"/>
  <c r="B1022" i="1"/>
  <c r="C1022" i="1"/>
  <c r="D1022" i="1"/>
  <c r="E1022" i="1"/>
  <c r="A1037" i="1"/>
  <c r="B1037" i="1"/>
  <c r="C1037" i="1"/>
  <c r="D1037" i="1"/>
  <c r="E1037" i="1"/>
  <c r="A1039" i="1"/>
  <c r="B1039" i="1"/>
  <c r="C1039" i="1"/>
  <c r="D1039" i="1"/>
  <c r="E1039" i="1"/>
  <c r="A1040" i="1"/>
  <c r="B1040" i="1"/>
  <c r="C1040" i="1"/>
  <c r="D1040" i="1"/>
  <c r="E1040" i="1"/>
  <c r="A1007" i="1"/>
  <c r="B1007" i="1"/>
  <c r="C1007" i="1"/>
  <c r="D1007" i="1"/>
  <c r="E1007" i="1"/>
  <c r="A1005" i="1"/>
  <c r="B1005" i="1"/>
  <c r="C1005" i="1"/>
  <c r="D1005" i="1"/>
  <c r="E1005" i="1"/>
  <c r="A1013" i="1"/>
  <c r="B1013" i="1"/>
  <c r="C1013" i="1"/>
  <c r="D1013" i="1"/>
  <c r="E1013" i="1"/>
  <c r="A1018" i="1"/>
  <c r="B1018" i="1"/>
  <c r="C1018" i="1"/>
  <c r="D1018" i="1"/>
  <c r="E1018" i="1"/>
  <c r="A549" i="1"/>
  <c r="B549" i="1"/>
  <c r="C549" i="1"/>
  <c r="D549" i="1"/>
  <c r="E549" i="1"/>
  <c r="A515" i="1"/>
  <c r="B515" i="1"/>
  <c r="C515" i="1"/>
  <c r="D515" i="1"/>
  <c r="E515" i="1"/>
  <c r="A346" i="1"/>
  <c r="B346" i="1"/>
  <c r="C346" i="1"/>
  <c r="D346" i="1"/>
  <c r="E346" i="1"/>
  <c r="A449" i="1"/>
  <c r="B449" i="1"/>
  <c r="C449" i="1"/>
  <c r="D449" i="1"/>
  <c r="E449" i="1"/>
  <c r="A935" i="1"/>
  <c r="B935" i="1"/>
  <c r="C935" i="1"/>
  <c r="D935" i="1"/>
  <c r="E935" i="1"/>
  <c r="A971" i="1"/>
  <c r="B971" i="1"/>
  <c r="C971" i="1"/>
  <c r="D971" i="1"/>
  <c r="E971" i="1"/>
  <c r="A968" i="1"/>
  <c r="B968" i="1"/>
  <c r="C968" i="1"/>
  <c r="D968" i="1"/>
  <c r="E968" i="1"/>
  <c r="A964" i="1"/>
  <c r="B964" i="1"/>
  <c r="C964" i="1"/>
  <c r="D964" i="1"/>
  <c r="E964" i="1"/>
  <c r="A992" i="1"/>
  <c r="B992" i="1"/>
  <c r="C992" i="1"/>
  <c r="D992" i="1"/>
  <c r="E992" i="1"/>
  <c r="A993" i="1"/>
  <c r="B993" i="1"/>
  <c r="C993" i="1"/>
  <c r="D993" i="1"/>
  <c r="E993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605" i="1"/>
  <c r="B605" i="1"/>
  <c r="C605" i="1"/>
  <c r="D605" i="1"/>
  <c r="E605" i="1"/>
  <c r="A608" i="1"/>
  <c r="B608" i="1"/>
  <c r="C608" i="1"/>
  <c r="D608" i="1"/>
  <c r="E608" i="1"/>
  <c r="A598" i="1"/>
  <c r="B598" i="1"/>
  <c r="C598" i="1"/>
  <c r="D598" i="1"/>
  <c r="E598" i="1"/>
  <c r="A600" i="1"/>
  <c r="B600" i="1"/>
  <c r="C600" i="1"/>
  <c r="D600" i="1"/>
  <c r="E600" i="1"/>
  <c r="A601" i="1"/>
  <c r="B601" i="1"/>
  <c r="C601" i="1"/>
  <c r="D601" i="1"/>
  <c r="E601" i="1"/>
  <c r="A586" i="1"/>
  <c r="B586" i="1"/>
  <c r="C586" i="1"/>
  <c r="D586" i="1"/>
  <c r="E586" i="1"/>
  <c r="A572" i="1"/>
  <c r="B572" i="1"/>
  <c r="C572" i="1"/>
  <c r="D572" i="1"/>
  <c r="E572" i="1"/>
  <c r="A314" i="1"/>
  <c r="B314" i="1"/>
  <c r="C314" i="1"/>
  <c r="D314" i="1"/>
  <c r="E314" i="1"/>
  <c r="A312" i="1"/>
  <c r="B312" i="1"/>
  <c r="C312" i="1"/>
  <c r="D312" i="1"/>
  <c r="E312" i="1"/>
  <c r="A311" i="1"/>
  <c r="B311" i="1"/>
  <c r="C311" i="1"/>
  <c r="D311" i="1"/>
  <c r="E311" i="1"/>
  <c r="A267" i="1"/>
  <c r="B267" i="1"/>
  <c r="C267" i="1"/>
  <c r="D267" i="1"/>
  <c r="E267" i="1"/>
  <c r="A246" i="1"/>
  <c r="B246" i="1"/>
  <c r="C246" i="1"/>
  <c r="D246" i="1"/>
  <c r="E246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169" i="1"/>
  <c r="B169" i="1"/>
  <c r="C169" i="1"/>
  <c r="D169" i="1"/>
  <c r="E169" i="1"/>
  <c r="A123" i="1"/>
  <c r="B123" i="1"/>
  <c r="C123" i="1"/>
  <c r="D123" i="1"/>
  <c r="E123" i="1"/>
  <c r="A604" i="1"/>
  <c r="B604" i="1"/>
  <c r="C604" i="1"/>
  <c r="D604" i="1"/>
  <c r="E604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49" i="1"/>
  <c r="B49" i="1"/>
  <c r="C49" i="1"/>
  <c r="D49" i="1"/>
  <c r="E49" i="1"/>
  <c r="A29" i="1"/>
  <c r="B29" i="1"/>
  <c r="C29" i="1"/>
  <c r="D29" i="1"/>
  <c r="E29" i="1"/>
  <c r="A165" i="1"/>
  <c r="B165" i="1"/>
  <c r="C165" i="1"/>
  <c r="D165" i="1"/>
  <c r="E165" i="1"/>
  <c r="A299" i="1"/>
  <c r="B299" i="1"/>
  <c r="C299" i="1"/>
  <c r="D299" i="1"/>
  <c r="E299" i="1"/>
  <c r="A241" i="1"/>
  <c r="B241" i="1"/>
  <c r="C241" i="1"/>
  <c r="D241" i="1"/>
  <c r="E241" i="1"/>
  <c r="A1121" i="1"/>
  <c r="B1121" i="1"/>
  <c r="C1121" i="1"/>
  <c r="D1121" i="1"/>
  <c r="E1121" i="1"/>
  <c r="A1122" i="1"/>
  <c r="B1122" i="1"/>
  <c r="C1122" i="1"/>
  <c r="D1122" i="1"/>
  <c r="E1122" i="1"/>
  <c r="A1124" i="1"/>
  <c r="B1124" i="1"/>
  <c r="C1124" i="1"/>
  <c r="D1124" i="1"/>
  <c r="E1124" i="1"/>
  <c r="A1125" i="1"/>
  <c r="B1125" i="1"/>
  <c r="C1125" i="1"/>
  <c r="D1125" i="1"/>
  <c r="E1125" i="1"/>
  <c r="A1083" i="1"/>
  <c r="B1083" i="1"/>
  <c r="C1083" i="1"/>
  <c r="D1083" i="1"/>
  <c r="E1083" i="1"/>
  <c r="A393" i="1"/>
  <c r="B393" i="1"/>
  <c r="C393" i="1"/>
  <c r="D393" i="1"/>
  <c r="E393" i="1"/>
  <c r="A345" i="1"/>
  <c r="B345" i="1"/>
  <c r="C345" i="1"/>
  <c r="D345" i="1"/>
  <c r="E345" i="1"/>
  <c r="A522" i="1"/>
  <c r="B522" i="1"/>
  <c r="C522" i="1"/>
  <c r="D522" i="1"/>
  <c r="E522" i="1"/>
  <c r="A595" i="1"/>
  <c r="B595" i="1"/>
  <c r="C595" i="1"/>
  <c r="D595" i="1"/>
  <c r="E595" i="1"/>
  <c r="A596" i="1"/>
  <c r="B596" i="1"/>
  <c r="C596" i="1"/>
  <c r="D596" i="1"/>
  <c r="E596" i="1"/>
  <c r="A977" i="1"/>
  <c r="B977" i="1"/>
  <c r="C977" i="1"/>
  <c r="D977" i="1"/>
  <c r="E977" i="1"/>
  <c r="A981" i="1"/>
  <c r="B981" i="1"/>
  <c r="C981" i="1"/>
  <c r="D981" i="1"/>
  <c r="E981" i="1"/>
  <c r="A961" i="1"/>
  <c r="B961" i="1"/>
  <c r="C961" i="1"/>
  <c r="D961" i="1"/>
  <c r="E961" i="1"/>
  <c r="A974" i="1"/>
  <c r="B974" i="1"/>
  <c r="C974" i="1"/>
  <c r="D974" i="1"/>
  <c r="E974" i="1"/>
  <c r="A970" i="1"/>
  <c r="B970" i="1"/>
  <c r="C970" i="1"/>
  <c r="D970" i="1"/>
  <c r="E970" i="1"/>
  <c r="A932" i="1"/>
  <c r="B932" i="1"/>
  <c r="C932" i="1"/>
  <c r="D932" i="1"/>
  <c r="E932" i="1"/>
  <c r="A929" i="1"/>
  <c r="B929" i="1"/>
  <c r="C929" i="1"/>
  <c r="D929" i="1"/>
  <c r="E929" i="1"/>
  <c r="A934" i="1"/>
  <c r="B934" i="1"/>
  <c r="C934" i="1"/>
  <c r="D934" i="1"/>
  <c r="E934" i="1"/>
  <c r="A933" i="1"/>
  <c r="B933" i="1"/>
  <c r="C933" i="1"/>
  <c r="D933" i="1"/>
  <c r="E933" i="1"/>
  <c r="A930" i="1"/>
  <c r="B930" i="1"/>
  <c r="C930" i="1"/>
  <c r="D930" i="1"/>
  <c r="E930" i="1"/>
  <c r="A994" i="1"/>
  <c r="B994" i="1"/>
  <c r="C994" i="1"/>
  <c r="D994" i="1"/>
  <c r="E994" i="1"/>
  <c r="A995" i="1"/>
  <c r="B995" i="1"/>
  <c r="C995" i="1"/>
  <c r="D995" i="1"/>
  <c r="E995" i="1"/>
  <c r="A990" i="1"/>
  <c r="B990" i="1"/>
  <c r="C990" i="1"/>
  <c r="D990" i="1"/>
  <c r="E990" i="1"/>
  <c r="A986" i="1"/>
  <c r="B986" i="1"/>
  <c r="C986" i="1"/>
  <c r="D986" i="1"/>
  <c r="E986" i="1"/>
  <c r="A984" i="1"/>
  <c r="B984" i="1"/>
  <c r="C984" i="1"/>
  <c r="D984" i="1"/>
  <c r="E984" i="1"/>
  <c r="A983" i="1"/>
  <c r="B983" i="1"/>
  <c r="C983" i="1"/>
  <c r="D983" i="1"/>
  <c r="E983" i="1"/>
  <c r="A985" i="1"/>
  <c r="B985" i="1"/>
  <c r="C985" i="1"/>
  <c r="D985" i="1"/>
  <c r="E985" i="1"/>
  <c r="A963" i="1"/>
  <c r="B963" i="1"/>
  <c r="C963" i="1"/>
  <c r="D963" i="1"/>
  <c r="E963" i="1"/>
  <c r="A965" i="1"/>
  <c r="B965" i="1"/>
  <c r="C965" i="1"/>
  <c r="D965" i="1"/>
  <c r="E965" i="1"/>
  <c r="A966" i="1"/>
  <c r="B966" i="1"/>
  <c r="C966" i="1"/>
  <c r="D966" i="1"/>
  <c r="E966" i="1"/>
  <c r="A584" i="1"/>
  <c r="B584" i="1"/>
  <c r="C584" i="1"/>
  <c r="D584" i="1"/>
  <c r="E584" i="1"/>
  <c r="A585" i="1"/>
  <c r="B585" i="1"/>
  <c r="C585" i="1"/>
  <c r="D585" i="1"/>
  <c r="E585" i="1"/>
  <c r="A1004" i="1"/>
  <c r="B1004" i="1"/>
  <c r="C1004" i="1"/>
  <c r="D1004" i="1"/>
  <c r="E1004" i="1"/>
  <c r="A1009" i="1"/>
  <c r="B1009" i="1"/>
  <c r="C1009" i="1"/>
  <c r="D1009" i="1"/>
  <c r="E1009" i="1"/>
  <c r="A1010" i="1"/>
  <c r="B1010" i="1"/>
  <c r="C1010" i="1"/>
  <c r="D1010" i="1"/>
  <c r="E1010" i="1"/>
  <c r="A1033" i="1"/>
  <c r="B1033" i="1"/>
  <c r="C1033" i="1"/>
  <c r="D1033" i="1"/>
  <c r="E1033" i="1"/>
  <c r="A1029" i="1"/>
  <c r="B1029" i="1"/>
  <c r="C1029" i="1"/>
  <c r="D1029" i="1"/>
  <c r="E1029" i="1"/>
  <c r="A1030" i="1"/>
  <c r="B1030" i="1"/>
  <c r="C1030" i="1"/>
  <c r="D1030" i="1"/>
  <c r="E1030" i="1"/>
  <c r="A1023" i="1"/>
  <c r="B1023" i="1"/>
  <c r="C1023" i="1"/>
  <c r="D1023" i="1"/>
  <c r="E1023" i="1"/>
  <c r="A997" i="1"/>
  <c r="B997" i="1"/>
  <c r="C997" i="1"/>
  <c r="D997" i="1"/>
  <c r="E997" i="1"/>
  <c r="A743" i="1"/>
  <c r="B743" i="1"/>
  <c r="C743" i="1"/>
  <c r="D743" i="1"/>
  <c r="E743" i="1"/>
  <c r="A760" i="1"/>
  <c r="B760" i="1"/>
  <c r="C760" i="1"/>
  <c r="D760" i="1"/>
  <c r="E760" i="1"/>
  <c r="A721" i="1"/>
  <c r="B721" i="1"/>
  <c r="C721" i="1"/>
  <c r="D721" i="1"/>
  <c r="E721" i="1"/>
  <c r="A722" i="1"/>
  <c r="B722" i="1"/>
  <c r="C722" i="1"/>
  <c r="D722" i="1"/>
  <c r="E722" i="1"/>
  <c r="A677" i="1"/>
  <c r="B677" i="1"/>
  <c r="C677" i="1"/>
  <c r="D677" i="1"/>
  <c r="E677" i="1"/>
  <c r="A587" i="1"/>
  <c r="B587" i="1"/>
  <c r="C587" i="1"/>
  <c r="D587" i="1"/>
  <c r="E587" i="1"/>
  <c r="A610" i="1"/>
  <c r="B610" i="1"/>
  <c r="C610" i="1"/>
  <c r="D610" i="1"/>
  <c r="E610" i="1"/>
  <c r="A579" i="1"/>
  <c r="B579" i="1"/>
  <c r="C579" i="1"/>
  <c r="D579" i="1"/>
  <c r="E579" i="1"/>
  <c r="A582" i="1"/>
  <c r="B582" i="1"/>
  <c r="C582" i="1"/>
  <c r="D582" i="1"/>
  <c r="E582" i="1"/>
  <c r="A583" i="1"/>
  <c r="B583" i="1"/>
  <c r="C583" i="1"/>
  <c r="D583" i="1"/>
  <c r="E583" i="1"/>
  <c r="A751" i="1"/>
  <c r="B751" i="1"/>
  <c r="C751" i="1"/>
  <c r="D751" i="1"/>
  <c r="E751" i="1"/>
  <c r="A747" i="1"/>
  <c r="B747" i="1"/>
  <c r="C747" i="1"/>
  <c r="D747" i="1"/>
  <c r="E747" i="1"/>
  <c r="A732" i="1"/>
  <c r="B732" i="1"/>
  <c r="C732" i="1"/>
  <c r="D732" i="1"/>
  <c r="E732" i="1"/>
  <c r="A762" i="1"/>
  <c r="B762" i="1"/>
  <c r="C762" i="1"/>
  <c r="D762" i="1"/>
  <c r="E762" i="1"/>
  <c r="A909" i="1"/>
  <c r="B909" i="1"/>
  <c r="C909" i="1"/>
  <c r="D909" i="1"/>
  <c r="E909" i="1"/>
  <c r="A733" i="1"/>
  <c r="B733" i="1"/>
  <c r="C733" i="1"/>
  <c r="D733" i="1"/>
  <c r="E733" i="1"/>
  <c r="A730" i="1"/>
  <c r="B730" i="1"/>
  <c r="C730" i="1"/>
  <c r="D730" i="1"/>
  <c r="E730" i="1"/>
  <c r="A741" i="1"/>
  <c r="B741" i="1"/>
  <c r="C741" i="1"/>
  <c r="D741" i="1"/>
  <c r="E741" i="1"/>
  <c r="A748" i="1"/>
  <c r="B748" i="1"/>
  <c r="C748" i="1"/>
  <c r="D748" i="1"/>
  <c r="E748" i="1"/>
  <c r="A746" i="1"/>
  <c r="B746" i="1"/>
  <c r="C746" i="1"/>
  <c r="D746" i="1"/>
  <c r="E746" i="1"/>
  <c r="A759" i="1"/>
  <c r="B759" i="1"/>
  <c r="C759" i="1"/>
  <c r="D759" i="1"/>
  <c r="E759" i="1"/>
  <c r="A962" i="1"/>
  <c r="B962" i="1"/>
  <c r="C962" i="1"/>
  <c r="D962" i="1"/>
  <c r="E962" i="1"/>
  <c r="A959" i="1"/>
  <c r="B959" i="1"/>
  <c r="C959" i="1"/>
  <c r="D959" i="1"/>
  <c r="E959" i="1"/>
  <c r="A1131" i="1"/>
  <c r="B1131" i="1"/>
  <c r="C1131" i="1"/>
  <c r="D1131" i="1"/>
  <c r="E1131" i="1"/>
  <c r="A998" i="1"/>
  <c r="B998" i="1"/>
  <c r="C998" i="1"/>
  <c r="D998" i="1"/>
  <c r="E998" i="1"/>
  <c r="A999" i="1"/>
  <c r="B999" i="1"/>
  <c r="C999" i="1"/>
  <c r="D999" i="1"/>
  <c r="E999" i="1"/>
  <c r="A1017" i="1"/>
  <c r="B1017" i="1"/>
  <c r="C1017" i="1"/>
  <c r="D1017" i="1"/>
  <c r="E1017" i="1"/>
  <c r="A1011" i="1"/>
  <c r="B1011" i="1"/>
  <c r="C1011" i="1"/>
  <c r="D1011" i="1"/>
  <c r="E1011" i="1"/>
  <c r="A1003" i="1"/>
  <c r="B1003" i="1"/>
  <c r="C1003" i="1"/>
  <c r="D1003" i="1"/>
  <c r="E1003" i="1"/>
  <c r="A1015" i="1"/>
  <c r="B1015" i="1"/>
  <c r="C1015" i="1"/>
  <c r="D1015" i="1"/>
  <c r="E1015" i="1"/>
  <c r="A5" i="1"/>
  <c r="B5" i="1"/>
  <c r="C5" i="1"/>
  <c r="D5" i="1"/>
  <c r="E5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42" i="1"/>
  <c r="B342" i="1"/>
  <c r="C342" i="1"/>
  <c r="D342" i="1"/>
  <c r="E342" i="1"/>
  <c r="A319" i="1"/>
  <c r="B319" i="1"/>
  <c r="C319" i="1"/>
  <c r="D319" i="1"/>
  <c r="E319" i="1"/>
  <c r="A320" i="1"/>
  <c r="B320" i="1"/>
  <c r="C320" i="1"/>
  <c r="D320" i="1"/>
  <c r="E320" i="1"/>
  <c r="A379" i="1"/>
  <c r="B379" i="1"/>
  <c r="C379" i="1"/>
  <c r="D379" i="1"/>
  <c r="E379" i="1"/>
  <c r="A380" i="1"/>
  <c r="B380" i="1"/>
  <c r="C380" i="1"/>
  <c r="D380" i="1"/>
  <c r="E380" i="1"/>
  <c r="A660" i="1"/>
  <c r="B660" i="1"/>
  <c r="C660" i="1"/>
  <c r="D660" i="1"/>
  <c r="E660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298" i="1"/>
  <c r="B298" i="1"/>
  <c r="C298" i="1"/>
  <c r="D298" i="1"/>
  <c r="E298" i="1"/>
  <c r="A55" i="1"/>
  <c r="B55" i="1"/>
  <c r="C55" i="1"/>
  <c r="D55" i="1"/>
  <c r="E55" i="1"/>
  <c r="A297" i="1"/>
  <c r="B297" i="1"/>
  <c r="C297" i="1"/>
  <c r="D297" i="1"/>
  <c r="E297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205" i="1"/>
  <c r="B205" i="1"/>
  <c r="C205" i="1"/>
  <c r="D205" i="1"/>
  <c r="E205" i="1"/>
  <c r="A202" i="1"/>
  <c r="B202" i="1"/>
  <c r="C202" i="1"/>
  <c r="D202" i="1"/>
  <c r="E202" i="1"/>
  <c r="A232" i="1"/>
  <c r="B232" i="1"/>
  <c r="C232" i="1"/>
  <c r="D232" i="1"/>
  <c r="E232" i="1"/>
  <c r="A204" i="1"/>
  <c r="B204" i="1"/>
  <c r="C204" i="1"/>
  <c r="D204" i="1"/>
  <c r="E204" i="1"/>
  <c r="A203" i="1"/>
  <c r="B203" i="1"/>
  <c r="C203" i="1"/>
  <c r="D203" i="1"/>
  <c r="E203" i="1"/>
  <c r="A201" i="1"/>
  <c r="B201" i="1"/>
  <c r="C201" i="1"/>
  <c r="D201" i="1"/>
  <c r="E201" i="1"/>
  <c r="A186" i="1"/>
  <c r="B186" i="1"/>
  <c r="C186" i="1"/>
  <c r="D186" i="1"/>
  <c r="E186" i="1"/>
  <c r="A185" i="1"/>
  <c r="B185" i="1"/>
  <c r="C185" i="1"/>
  <c r="D185" i="1"/>
  <c r="E185" i="1"/>
  <c r="A182" i="1"/>
  <c r="B182" i="1"/>
  <c r="C182" i="1"/>
  <c r="D182" i="1"/>
  <c r="E182" i="1"/>
  <c r="A187" i="1"/>
  <c r="B187" i="1"/>
  <c r="C187" i="1"/>
  <c r="D187" i="1"/>
  <c r="E187" i="1"/>
  <c r="A621" i="1"/>
  <c r="B621" i="1"/>
  <c r="C621" i="1"/>
  <c r="D621" i="1"/>
  <c r="E621" i="1"/>
  <c r="A622" i="1"/>
  <c r="B622" i="1"/>
  <c r="C622" i="1"/>
  <c r="D622" i="1"/>
  <c r="E622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46" i="1"/>
  <c r="B646" i="1"/>
  <c r="C646" i="1"/>
  <c r="D646" i="1"/>
  <c r="E646" i="1"/>
  <c r="A939" i="1"/>
  <c r="B939" i="1"/>
  <c r="C939" i="1"/>
  <c r="D939" i="1"/>
  <c r="E939" i="1"/>
  <c r="A199" i="1"/>
  <c r="B199" i="1"/>
  <c r="C199" i="1"/>
  <c r="D199" i="1"/>
  <c r="E199" i="1"/>
  <c r="A200" i="1"/>
  <c r="B200" i="1"/>
  <c r="C200" i="1"/>
  <c r="D200" i="1"/>
  <c r="E200" i="1"/>
  <c r="A926" i="1"/>
  <c r="B926" i="1"/>
  <c r="C926" i="1"/>
  <c r="D926" i="1"/>
  <c r="E926" i="1"/>
  <c r="A1120" i="1"/>
  <c r="B1120" i="1"/>
  <c r="C1120" i="1"/>
  <c r="D1120" i="1"/>
  <c r="E1120" i="1"/>
  <c r="A641" i="1"/>
  <c r="B641" i="1"/>
  <c r="C641" i="1"/>
  <c r="D641" i="1"/>
  <c r="E641" i="1"/>
  <c r="A642" i="1"/>
  <c r="B642" i="1"/>
  <c r="C642" i="1"/>
  <c r="D642" i="1"/>
  <c r="E642" i="1"/>
  <c r="A707" i="1"/>
  <c r="B707" i="1"/>
  <c r="C707" i="1"/>
  <c r="D707" i="1"/>
  <c r="E707" i="1"/>
  <c r="A738" i="1"/>
  <c r="B738" i="1"/>
  <c r="C738" i="1"/>
  <c r="D738" i="1"/>
  <c r="E738" i="1"/>
  <c r="A860" i="1"/>
  <c r="B860" i="1"/>
  <c r="C860" i="1"/>
  <c r="D860" i="1"/>
  <c r="E860" i="1"/>
  <c r="A658" i="1"/>
  <c r="B658" i="1"/>
  <c r="C658" i="1"/>
  <c r="D658" i="1"/>
  <c r="E658" i="1"/>
  <c r="A639" i="1"/>
  <c r="B639" i="1"/>
  <c r="C639" i="1"/>
  <c r="D639" i="1"/>
  <c r="E639" i="1"/>
  <c r="A620" i="1"/>
  <c r="B620" i="1"/>
  <c r="C620" i="1"/>
  <c r="D620" i="1"/>
  <c r="E620" i="1"/>
  <c r="A357" i="1"/>
  <c r="B357" i="1"/>
  <c r="C357" i="1"/>
  <c r="D357" i="1"/>
  <c r="E357" i="1"/>
  <c r="A331" i="1"/>
  <c r="B331" i="1"/>
  <c r="C331" i="1"/>
  <c r="D331" i="1"/>
  <c r="E331" i="1"/>
  <c r="A329" i="1"/>
  <c r="B329" i="1"/>
  <c r="C329" i="1"/>
  <c r="D329" i="1"/>
  <c r="E329" i="1"/>
  <c r="A590" i="1"/>
  <c r="B590" i="1"/>
  <c r="C590" i="1"/>
  <c r="D590" i="1"/>
  <c r="E590" i="1"/>
  <c r="A558" i="1"/>
  <c r="B558" i="1"/>
  <c r="C558" i="1"/>
  <c r="D558" i="1"/>
  <c r="E558" i="1"/>
  <c r="A457" i="1"/>
  <c r="B457" i="1"/>
  <c r="C457" i="1"/>
  <c r="D457" i="1"/>
  <c r="E457" i="1"/>
  <c r="A174" i="1"/>
  <c r="B174" i="1"/>
  <c r="C174" i="1"/>
  <c r="D174" i="1"/>
  <c r="E174" i="1"/>
  <c r="A175" i="1"/>
  <c r="B175" i="1"/>
  <c r="C175" i="1"/>
  <c r="D175" i="1"/>
  <c r="E175" i="1"/>
  <c r="A231" i="1"/>
  <c r="B231" i="1"/>
  <c r="C231" i="1"/>
  <c r="D231" i="1"/>
  <c r="E231" i="1"/>
  <c r="A987" i="1"/>
  <c r="B987" i="1"/>
  <c r="C987" i="1"/>
  <c r="D987" i="1"/>
  <c r="E987" i="1"/>
  <c r="A1025" i="1"/>
  <c r="B1025" i="1"/>
  <c r="C1025" i="1"/>
  <c r="D1025" i="1"/>
  <c r="E1025" i="1"/>
  <c r="A1028" i="1"/>
  <c r="B1028" i="1"/>
  <c r="C1028" i="1"/>
  <c r="D1028" i="1"/>
  <c r="E1028" i="1"/>
  <c r="A1031" i="1"/>
  <c r="B1031" i="1"/>
  <c r="C1031" i="1"/>
  <c r="D1031" i="1"/>
  <c r="E1031" i="1"/>
  <c r="A1036" i="1"/>
  <c r="B1036" i="1"/>
  <c r="C1036" i="1"/>
  <c r="D1036" i="1"/>
  <c r="E1036" i="1"/>
  <c r="A361" i="1"/>
  <c r="B361" i="1"/>
  <c r="C361" i="1"/>
  <c r="D361" i="1"/>
  <c r="E361" i="1"/>
  <c r="A363" i="1"/>
  <c r="B363" i="1"/>
  <c r="C363" i="1"/>
  <c r="D363" i="1"/>
  <c r="E363" i="1"/>
  <c r="A364" i="1"/>
  <c r="B364" i="1"/>
  <c r="C364" i="1"/>
  <c r="D364" i="1"/>
  <c r="E364" i="1"/>
  <c r="A383" i="1"/>
  <c r="B383" i="1"/>
  <c r="C383" i="1"/>
  <c r="D383" i="1"/>
  <c r="E383" i="1"/>
  <c r="A447" i="1"/>
  <c r="B447" i="1"/>
  <c r="C447" i="1"/>
  <c r="D447" i="1"/>
  <c r="E447" i="1"/>
  <c r="A448" i="1"/>
  <c r="B448" i="1"/>
  <c r="C448" i="1"/>
  <c r="D448" i="1"/>
  <c r="E448" i="1"/>
  <c r="A969" i="1"/>
  <c r="B969" i="1"/>
  <c r="C969" i="1"/>
  <c r="D969" i="1"/>
  <c r="E969" i="1"/>
  <c r="A972" i="1"/>
  <c r="B972" i="1"/>
  <c r="C972" i="1"/>
  <c r="D972" i="1"/>
  <c r="E972" i="1"/>
  <c r="A973" i="1"/>
  <c r="B973" i="1"/>
  <c r="C973" i="1"/>
  <c r="D973" i="1"/>
  <c r="E973" i="1"/>
  <c r="A975" i="1"/>
  <c r="B975" i="1"/>
  <c r="C975" i="1"/>
  <c r="D975" i="1"/>
  <c r="E975" i="1"/>
  <c r="A1026" i="1"/>
  <c r="B1026" i="1"/>
  <c r="C1026" i="1"/>
  <c r="D1026" i="1"/>
  <c r="E1026" i="1"/>
  <c r="A1038" i="1"/>
  <c r="B1038" i="1"/>
  <c r="C1038" i="1"/>
  <c r="D1038" i="1"/>
  <c r="E1038" i="1"/>
  <c r="A1006" i="1"/>
  <c r="B1006" i="1"/>
  <c r="C1006" i="1"/>
  <c r="D1006" i="1"/>
  <c r="E1006" i="1"/>
  <c r="A1016" i="1"/>
  <c r="B1016" i="1"/>
  <c r="C1016" i="1"/>
  <c r="D1016" i="1"/>
  <c r="E1016" i="1"/>
  <c r="A1019" i="1"/>
  <c r="B1019" i="1"/>
  <c r="C1019" i="1"/>
  <c r="D1019" i="1"/>
  <c r="E1019" i="1"/>
  <c r="A1021" i="1"/>
  <c r="B1021" i="1"/>
  <c r="C1021" i="1"/>
  <c r="D1021" i="1"/>
  <c r="E1021" i="1"/>
  <c r="A633" i="1"/>
  <c r="B633" i="1"/>
  <c r="C633" i="1"/>
  <c r="D633" i="1"/>
  <c r="E633" i="1"/>
  <c r="A634" i="1"/>
  <c r="B634" i="1"/>
  <c r="C634" i="1"/>
  <c r="D634" i="1"/>
  <c r="E634" i="1"/>
  <c r="A637" i="1"/>
  <c r="B637" i="1"/>
  <c r="C637" i="1"/>
  <c r="D637" i="1"/>
  <c r="E637" i="1"/>
  <c r="A635" i="1"/>
  <c r="B635" i="1"/>
  <c r="C635" i="1"/>
  <c r="D635" i="1"/>
  <c r="E635" i="1"/>
  <c r="A636" i="1"/>
  <c r="B636" i="1"/>
  <c r="C636" i="1"/>
  <c r="D636" i="1"/>
  <c r="E636" i="1"/>
  <c r="A991" i="1"/>
  <c r="B991" i="1"/>
  <c r="C991" i="1"/>
  <c r="D991" i="1"/>
  <c r="E991" i="1"/>
  <c r="A1001" i="1"/>
  <c r="B1001" i="1"/>
  <c r="C1001" i="1"/>
  <c r="D1001" i="1"/>
  <c r="E1001" i="1"/>
  <c r="A996" i="1"/>
  <c r="B996" i="1"/>
  <c r="C996" i="1"/>
  <c r="D996" i="1"/>
  <c r="E996" i="1"/>
  <c r="A960" i="1"/>
  <c r="B960" i="1"/>
  <c r="C960" i="1"/>
  <c r="D960" i="1"/>
  <c r="E960" i="1"/>
  <c r="A967" i="1"/>
  <c r="B967" i="1"/>
  <c r="C967" i="1"/>
  <c r="D967" i="1"/>
  <c r="E967" i="1"/>
  <c r="A513" i="1"/>
  <c r="B513" i="1"/>
  <c r="C513" i="1"/>
  <c r="D513" i="1"/>
  <c r="E513" i="1"/>
  <c r="A514" i="1"/>
  <c r="B514" i="1"/>
  <c r="C514" i="1"/>
  <c r="D514" i="1"/>
  <c r="E514" i="1"/>
  <c r="A350" i="1"/>
  <c r="B350" i="1"/>
  <c r="C350" i="1"/>
  <c r="D350" i="1"/>
  <c r="E350" i="1"/>
  <c r="A322" i="1"/>
  <c r="B322" i="1"/>
  <c r="C322" i="1"/>
  <c r="D322" i="1"/>
  <c r="E322" i="1"/>
  <c r="A594" i="1"/>
  <c r="B594" i="1"/>
  <c r="C594" i="1"/>
  <c r="D594" i="1"/>
  <c r="E594" i="1"/>
  <c r="A566" i="1"/>
  <c r="B566" i="1"/>
  <c r="C566" i="1"/>
  <c r="D566" i="1"/>
  <c r="E566" i="1"/>
  <c r="A871" i="1"/>
  <c r="B871" i="1"/>
  <c r="C871" i="1"/>
  <c r="D871" i="1"/>
  <c r="E871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173" i="1"/>
  <c r="B173" i="1"/>
  <c r="C173" i="1"/>
  <c r="D173" i="1"/>
  <c r="E173" i="1"/>
  <c r="A34" i="1"/>
  <c r="B34" i="1"/>
  <c r="C34" i="1"/>
  <c r="D34" i="1"/>
  <c r="E34" i="1"/>
  <c r="A4" i="1"/>
  <c r="B4" i="1"/>
  <c r="C4" i="1"/>
  <c r="D4" i="1"/>
  <c r="E4" i="1"/>
  <c r="A7" i="1"/>
  <c r="B7" i="1"/>
  <c r="C7" i="1"/>
  <c r="D7" i="1"/>
  <c r="E7" i="1"/>
  <c r="A38" i="1"/>
  <c r="B38" i="1"/>
  <c r="C38" i="1"/>
  <c r="D38" i="1"/>
  <c r="E38" i="1"/>
  <c r="A919" i="1"/>
  <c r="B919" i="1"/>
  <c r="C919" i="1"/>
  <c r="D919" i="1"/>
  <c r="E919" i="1"/>
  <c r="A14" i="1"/>
  <c r="B14" i="1"/>
  <c r="C14" i="1"/>
  <c r="D14" i="1"/>
  <c r="E14" i="1"/>
  <c r="A184" i="1"/>
  <c r="B184" i="1"/>
  <c r="C184" i="1"/>
  <c r="D184" i="1"/>
  <c r="E184" i="1"/>
  <c r="A499" i="1"/>
  <c r="B499" i="1"/>
  <c r="C499" i="1"/>
  <c r="D499" i="1"/>
  <c r="E499" i="1"/>
  <c r="A502" i="1"/>
  <c r="B502" i="1"/>
  <c r="C502" i="1"/>
  <c r="D502" i="1"/>
  <c r="E502" i="1"/>
  <c r="A783" i="1"/>
  <c r="B783" i="1"/>
  <c r="C783" i="1"/>
  <c r="D783" i="1"/>
  <c r="E783" i="1"/>
  <c r="A778" i="1"/>
  <c r="B778" i="1"/>
  <c r="C778" i="1"/>
  <c r="D778" i="1"/>
  <c r="E778" i="1"/>
  <c r="A814" i="1"/>
  <c r="B814" i="1"/>
  <c r="C814" i="1"/>
  <c r="D814" i="1"/>
  <c r="E814" i="1"/>
  <c r="A691" i="1"/>
  <c r="B691" i="1"/>
  <c r="C691" i="1"/>
  <c r="D691" i="1"/>
  <c r="E691" i="1"/>
  <c r="A666" i="1"/>
  <c r="B666" i="1"/>
  <c r="C666" i="1"/>
  <c r="D666" i="1"/>
  <c r="E666" i="1"/>
  <c r="A684" i="1"/>
  <c r="B684" i="1"/>
  <c r="C684" i="1"/>
  <c r="D684" i="1"/>
  <c r="E684" i="1"/>
  <c r="A685" i="1"/>
  <c r="B685" i="1"/>
  <c r="C685" i="1"/>
  <c r="D685" i="1"/>
  <c r="E685" i="1"/>
  <c r="A686" i="1"/>
  <c r="B686" i="1"/>
  <c r="C686" i="1"/>
  <c r="D686" i="1"/>
  <c r="E686" i="1"/>
  <c r="A679" i="1"/>
  <c r="B679" i="1"/>
  <c r="C679" i="1"/>
  <c r="D679" i="1"/>
  <c r="E679" i="1"/>
  <c r="A1085" i="1"/>
  <c r="B1085" i="1"/>
  <c r="C1085" i="1"/>
  <c r="D1085" i="1"/>
  <c r="E1085" i="1"/>
  <c r="A282" i="1"/>
  <c r="B282" i="1"/>
  <c r="C282" i="1"/>
  <c r="D282" i="1"/>
  <c r="E282" i="1"/>
  <c r="A1070" i="1"/>
  <c r="B1070" i="1"/>
  <c r="C1070" i="1"/>
  <c r="D1070" i="1"/>
  <c r="E1070" i="1"/>
  <c r="A1060" i="1"/>
  <c r="B1060" i="1"/>
  <c r="C1060" i="1"/>
  <c r="D1060" i="1"/>
  <c r="E1060" i="1"/>
  <c r="A1063" i="1"/>
  <c r="B1063" i="1"/>
  <c r="C1063" i="1"/>
  <c r="D1063" i="1"/>
  <c r="E1063" i="1"/>
  <c r="A1064" i="1"/>
  <c r="B1064" i="1"/>
  <c r="C1064" i="1"/>
  <c r="D1064" i="1"/>
  <c r="E1064" i="1"/>
  <c r="A1055" i="1"/>
  <c r="B1055" i="1"/>
  <c r="C1055" i="1"/>
  <c r="D1055" i="1"/>
  <c r="E1055" i="1"/>
  <c r="A947" i="1"/>
  <c r="B947" i="1"/>
  <c r="C947" i="1"/>
  <c r="D947" i="1"/>
  <c r="E947" i="1"/>
  <c r="A790" i="1"/>
  <c r="B790" i="1"/>
  <c r="C790" i="1"/>
  <c r="D790" i="1"/>
  <c r="E790" i="1"/>
  <c r="A785" i="1"/>
  <c r="B785" i="1"/>
  <c r="C785" i="1"/>
  <c r="D785" i="1"/>
  <c r="E785" i="1"/>
  <c r="A782" i="1"/>
  <c r="B782" i="1"/>
  <c r="C782" i="1"/>
  <c r="D782" i="1"/>
  <c r="E782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138" i="1"/>
  <c r="B138" i="1"/>
  <c r="C138" i="1"/>
  <c r="D138" i="1"/>
  <c r="E138" i="1"/>
  <c r="A264" i="1"/>
  <c r="B264" i="1"/>
  <c r="C264" i="1"/>
  <c r="D264" i="1"/>
  <c r="E264" i="1"/>
  <c r="A251" i="1"/>
  <c r="B251" i="1"/>
  <c r="C251" i="1"/>
  <c r="D251" i="1"/>
  <c r="E251" i="1"/>
  <c r="A255" i="1"/>
  <c r="B255" i="1"/>
  <c r="C255" i="1"/>
  <c r="D255" i="1"/>
  <c r="E255" i="1"/>
  <c r="A163" i="1"/>
  <c r="B163" i="1"/>
  <c r="C163" i="1"/>
  <c r="D163" i="1"/>
  <c r="E163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40" i="1"/>
  <c r="B140" i="1"/>
  <c r="C140" i="1"/>
  <c r="D140" i="1"/>
  <c r="E140" i="1"/>
  <c r="A145" i="1"/>
  <c r="B145" i="1"/>
  <c r="C145" i="1"/>
  <c r="D145" i="1"/>
  <c r="E145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397" i="1"/>
  <c r="B397" i="1"/>
  <c r="C397" i="1"/>
  <c r="D397" i="1"/>
  <c r="E397" i="1"/>
  <c r="A403" i="1"/>
  <c r="B403" i="1"/>
  <c r="C403" i="1"/>
  <c r="D403" i="1"/>
  <c r="E403" i="1"/>
  <c r="A404" i="1"/>
  <c r="B404" i="1"/>
  <c r="C404" i="1"/>
  <c r="D404" i="1"/>
  <c r="E404" i="1"/>
  <c r="A408" i="1"/>
  <c r="B408" i="1"/>
  <c r="C408" i="1"/>
  <c r="D408" i="1"/>
  <c r="E408" i="1"/>
  <c r="A410" i="1"/>
  <c r="B410" i="1"/>
  <c r="C410" i="1"/>
  <c r="D410" i="1"/>
  <c r="E410" i="1"/>
  <c r="A466" i="1"/>
  <c r="B466" i="1"/>
  <c r="C466" i="1"/>
  <c r="D466" i="1"/>
  <c r="E466" i="1"/>
  <c r="A469" i="1"/>
  <c r="B469" i="1"/>
  <c r="C469" i="1"/>
  <c r="D469" i="1"/>
  <c r="E469" i="1"/>
  <c r="A476" i="1"/>
  <c r="B476" i="1"/>
  <c r="C476" i="1"/>
  <c r="D476" i="1"/>
  <c r="E476" i="1"/>
  <c r="A487" i="1"/>
  <c r="B487" i="1"/>
  <c r="C487" i="1"/>
  <c r="D487" i="1"/>
  <c r="E487" i="1"/>
  <c r="A166" i="1"/>
  <c r="B166" i="1"/>
  <c r="C166" i="1"/>
  <c r="D166" i="1"/>
  <c r="E166" i="1"/>
  <c r="A1048" i="1"/>
  <c r="B1048" i="1"/>
  <c r="C1048" i="1"/>
  <c r="D1048" i="1"/>
  <c r="E1048" i="1"/>
  <c r="A129" i="1"/>
  <c r="B129" i="1"/>
  <c r="C129" i="1"/>
  <c r="D129" i="1"/>
  <c r="E129" i="1"/>
  <c r="A374" i="1"/>
  <c r="B374" i="1"/>
  <c r="C374" i="1"/>
  <c r="D374" i="1"/>
  <c r="E374" i="1"/>
  <c r="A437" i="1"/>
  <c r="B437" i="1"/>
  <c r="C437" i="1"/>
  <c r="D437" i="1"/>
  <c r="E437" i="1"/>
  <c r="A433" i="1"/>
  <c r="B433" i="1"/>
  <c r="C433" i="1"/>
  <c r="D433" i="1"/>
  <c r="E433" i="1"/>
  <c r="A439" i="1"/>
  <c r="B439" i="1"/>
  <c r="C439" i="1"/>
  <c r="D439" i="1"/>
  <c r="E439" i="1"/>
  <c r="A415" i="1"/>
  <c r="B415" i="1"/>
  <c r="C415" i="1"/>
  <c r="D415" i="1"/>
  <c r="E415" i="1"/>
  <c r="A400" i="1"/>
  <c r="B400" i="1"/>
  <c r="C400" i="1"/>
  <c r="D400" i="1"/>
  <c r="E400" i="1"/>
  <c r="A413" i="1"/>
  <c r="B413" i="1"/>
  <c r="C413" i="1"/>
  <c r="D413" i="1"/>
  <c r="E413" i="1"/>
  <c r="A423" i="1"/>
  <c r="B423" i="1"/>
  <c r="C423" i="1"/>
  <c r="D423" i="1"/>
  <c r="E423" i="1"/>
  <c r="A936" i="1"/>
  <c r="B936" i="1"/>
  <c r="C936" i="1"/>
  <c r="D936" i="1"/>
  <c r="E936" i="1"/>
  <c r="A937" i="1"/>
  <c r="B937" i="1"/>
  <c r="C937" i="1"/>
  <c r="D937" i="1"/>
  <c r="E937" i="1"/>
  <c r="A920" i="1"/>
  <c r="B920" i="1"/>
  <c r="C920" i="1"/>
  <c r="D920" i="1"/>
  <c r="E920" i="1"/>
  <c r="A921" i="1"/>
  <c r="B921" i="1"/>
  <c r="C921" i="1"/>
  <c r="D921" i="1"/>
  <c r="E921" i="1"/>
  <c r="A922" i="1"/>
  <c r="B922" i="1"/>
  <c r="C922" i="1"/>
  <c r="D922" i="1"/>
  <c r="E922" i="1"/>
  <c r="A923" i="1"/>
  <c r="B923" i="1"/>
  <c r="C923" i="1"/>
  <c r="D923" i="1"/>
  <c r="E923" i="1"/>
  <c r="A924" i="1"/>
  <c r="B924" i="1"/>
  <c r="C924" i="1"/>
  <c r="D924" i="1"/>
  <c r="E924" i="1"/>
  <c r="A925" i="1"/>
  <c r="B925" i="1"/>
  <c r="C925" i="1"/>
  <c r="D925" i="1"/>
  <c r="E925" i="1"/>
  <c r="A982" i="1"/>
  <c r="B982" i="1"/>
  <c r="C982" i="1"/>
  <c r="D982" i="1"/>
  <c r="E982" i="1"/>
  <c r="A1047" i="1"/>
  <c r="B1047" i="1"/>
  <c r="C1047" i="1"/>
  <c r="D1047" i="1"/>
  <c r="E1047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794" i="1"/>
  <c r="B794" i="1"/>
  <c r="C794" i="1"/>
  <c r="D794" i="1"/>
  <c r="E794" i="1"/>
  <c r="A795" i="1"/>
  <c r="B795" i="1"/>
  <c r="C795" i="1"/>
  <c r="D795" i="1"/>
  <c r="E795" i="1"/>
  <c r="A796" i="1"/>
  <c r="B796" i="1"/>
  <c r="C796" i="1"/>
  <c r="D796" i="1"/>
  <c r="E796" i="1"/>
  <c r="A797" i="1"/>
  <c r="B797" i="1"/>
  <c r="C797" i="1"/>
  <c r="D797" i="1"/>
  <c r="E797" i="1"/>
  <c r="A798" i="1"/>
  <c r="B798" i="1"/>
  <c r="C798" i="1"/>
  <c r="D798" i="1"/>
  <c r="E798" i="1"/>
  <c r="A1094" i="1"/>
  <c r="B1094" i="1"/>
  <c r="C1094" i="1"/>
  <c r="D1094" i="1"/>
  <c r="E1094" i="1"/>
  <c r="A955" i="1"/>
  <c r="B955" i="1"/>
  <c r="C955" i="1"/>
  <c r="D955" i="1"/>
  <c r="E955" i="1"/>
  <c r="A801" i="1"/>
  <c r="B801" i="1"/>
  <c r="C801" i="1"/>
  <c r="D801" i="1"/>
  <c r="E801" i="1"/>
  <c r="A802" i="1"/>
  <c r="B802" i="1"/>
  <c r="C802" i="1"/>
  <c r="D802" i="1"/>
  <c r="E802" i="1"/>
  <c r="A803" i="1"/>
  <c r="B803" i="1"/>
  <c r="C803" i="1"/>
  <c r="D803" i="1"/>
  <c r="E803" i="1"/>
  <c r="A804" i="1"/>
  <c r="B804" i="1"/>
  <c r="C804" i="1"/>
  <c r="D804" i="1"/>
  <c r="E804" i="1"/>
  <c r="A805" i="1"/>
  <c r="B805" i="1"/>
  <c r="C805" i="1"/>
  <c r="D805" i="1"/>
  <c r="E805" i="1"/>
  <c r="A822" i="1"/>
  <c r="B822" i="1"/>
  <c r="C822" i="1"/>
  <c r="D822" i="1"/>
  <c r="E822" i="1"/>
  <c r="A823" i="1"/>
  <c r="B823" i="1"/>
  <c r="C823" i="1"/>
  <c r="D823" i="1"/>
  <c r="E823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07" i="1"/>
  <c r="B807" i="1"/>
  <c r="C807" i="1"/>
  <c r="D807" i="1"/>
  <c r="E807" i="1"/>
  <c r="A808" i="1"/>
  <c r="B808" i="1"/>
  <c r="C808" i="1"/>
  <c r="D808" i="1"/>
  <c r="E808" i="1"/>
  <c r="A810" i="1"/>
  <c r="B810" i="1"/>
  <c r="C810" i="1"/>
  <c r="D810" i="1"/>
  <c r="E810" i="1"/>
  <c r="A811" i="1"/>
  <c r="B811" i="1"/>
  <c r="C811" i="1"/>
  <c r="D811" i="1"/>
  <c r="E811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18" i="1"/>
  <c r="B818" i="1"/>
  <c r="C818" i="1"/>
  <c r="D818" i="1"/>
  <c r="E818" i="1"/>
  <c r="A819" i="1"/>
  <c r="B819" i="1"/>
  <c r="C819" i="1"/>
  <c r="D819" i="1"/>
  <c r="E819" i="1"/>
  <c r="A820" i="1"/>
  <c r="B820" i="1"/>
  <c r="C820" i="1"/>
  <c r="D820" i="1"/>
  <c r="E820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918" i="1"/>
  <c r="B918" i="1"/>
  <c r="C918" i="1"/>
  <c r="D918" i="1"/>
  <c r="E918" i="1"/>
  <c r="A813" i="1"/>
  <c r="B813" i="1"/>
  <c r="C813" i="1"/>
  <c r="D813" i="1"/>
  <c r="E813" i="1"/>
  <c r="A831" i="1"/>
  <c r="B831" i="1"/>
  <c r="C831" i="1"/>
  <c r="D831" i="1"/>
  <c r="E831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15" i="1"/>
  <c r="B815" i="1"/>
  <c r="C815" i="1"/>
  <c r="D815" i="1"/>
  <c r="E815" i="1"/>
  <c r="A816" i="1"/>
  <c r="B816" i="1"/>
  <c r="C816" i="1"/>
  <c r="D816" i="1"/>
  <c r="E816" i="1"/>
  <c r="A817" i="1"/>
  <c r="B817" i="1"/>
  <c r="C817" i="1"/>
  <c r="D817" i="1"/>
  <c r="E817" i="1"/>
  <c r="A692" i="1"/>
  <c r="B692" i="1"/>
  <c r="C692" i="1"/>
  <c r="D692" i="1"/>
  <c r="E692" i="1"/>
  <c r="A1065" i="1"/>
  <c r="B1065" i="1"/>
  <c r="C1065" i="1"/>
  <c r="D1065" i="1"/>
  <c r="E1065" i="1"/>
  <c r="A197" i="1"/>
  <c r="B197" i="1"/>
  <c r="C197" i="1"/>
  <c r="D197" i="1"/>
  <c r="E197" i="1"/>
  <c r="A221" i="1"/>
  <c r="B221" i="1"/>
  <c r="C221" i="1"/>
  <c r="D221" i="1"/>
  <c r="E221" i="1"/>
  <c r="A220" i="1"/>
  <c r="B220" i="1"/>
  <c r="C220" i="1"/>
  <c r="D220" i="1"/>
  <c r="E220" i="1"/>
  <c r="A219" i="1"/>
  <c r="B219" i="1"/>
  <c r="C219" i="1"/>
  <c r="D219" i="1"/>
  <c r="E219" i="1"/>
  <c r="A694" i="1"/>
  <c r="B694" i="1"/>
  <c r="C694" i="1"/>
  <c r="D694" i="1"/>
  <c r="E694" i="1"/>
  <c r="A755" i="1"/>
  <c r="B755" i="1"/>
  <c r="C755" i="1"/>
  <c r="D755" i="1"/>
  <c r="E755" i="1"/>
  <c r="A916" i="1"/>
  <c r="B916" i="1"/>
  <c r="C916" i="1"/>
  <c r="D916" i="1"/>
  <c r="E916" i="1"/>
  <c r="A917" i="1"/>
  <c r="B917" i="1"/>
  <c r="C917" i="1"/>
  <c r="D917" i="1"/>
  <c r="E917" i="1"/>
  <c r="A459" i="1"/>
  <c r="B459" i="1"/>
  <c r="C459" i="1"/>
  <c r="D459" i="1"/>
  <c r="E459" i="1"/>
  <c r="A941" i="1"/>
  <c r="B941" i="1"/>
  <c r="C941" i="1"/>
  <c r="D941" i="1"/>
  <c r="E941" i="1"/>
  <c r="A669" i="1"/>
  <c r="B669" i="1"/>
  <c r="C669" i="1"/>
  <c r="D669" i="1"/>
  <c r="E669" i="1"/>
  <c r="A670" i="1"/>
  <c r="B670" i="1"/>
  <c r="C670" i="1"/>
  <c r="D670" i="1"/>
  <c r="E670" i="1"/>
  <c r="A671" i="1"/>
  <c r="B671" i="1"/>
  <c r="C671" i="1"/>
  <c r="D671" i="1"/>
  <c r="E671" i="1"/>
  <c r="A665" i="1"/>
  <c r="B665" i="1"/>
  <c r="C665" i="1"/>
  <c r="D665" i="1"/>
  <c r="E665" i="1"/>
  <c r="A675" i="1"/>
  <c r="B675" i="1"/>
  <c r="C675" i="1"/>
  <c r="D675" i="1"/>
  <c r="E675" i="1"/>
  <c r="A704" i="1"/>
  <c r="B704" i="1"/>
  <c r="C704" i="1"/>
  <c r="D704" i="1"/>
  <c r="E704" i="1"/>
  <c r="A699" i="1"/>
  <c r="B699" i="1"/>
  <c r="C699" i="1"/>
  <c r="D699" i="1"/>
  <c r="E699" i="1"/>
  <c r="A701" i="1"/>
  <c r="B701" i="1"/>
  <c r="C701" i="1"/>
  <c r="D701" i="1"/>
  <c r="E701" i="1"/>
  <c r="A1112" i="1"/>
  <c r="B1112" i="1"/>
  <c r="C1112" i="1"/>
  <c r="D1112" i="1"/>
  <c r="E1112" i="1"/>
  <c r="A1105" i="1"/>
  <c r="B1105" i="1"/>
  <c r="C1105" i="1"/>
  <c r="D1105" i="1"/>
  <c r="E1105" i="1"/>
  <c r="A1106" i="1"/>
  <c r="B1106" i="1"/>
  <c r="C1106" i="1"/>
  <c r="D1106" i="1"/>
  <c r="E1106" i="1"/>
  <c r="A1096" i="1"/>
  <c r="B1096" i="1"/>
  <c r="C1096" i="1"/>
  <c r="D1096" i="1"/>
  <c r="E1096" i="1"/>
  <c r="A1101" i="1"/>
  <c r="B1101" i="1"/>
  <c r="C1101" i="1"/>
  <c r="D1101" i="1"/>
  <c r="E1101" i="1"/>
  <c r="A1117" i="1"/>
  <c r="B1117" i="1"/>
  <c r="C1117" i="1"/>
  <c r="D1117" i="1"/>
  <c r="E1117" i="1"/>
  <c r="A1108" i="1"/>
  <c r="B1108" i="1"/>
  <c r="C1108" i="1"/>
  <c r="D1108" i="1"/>
  <c r="E1108" i="1"/>
  <c r="A1142" i="1"/>
  <c r="B1142" i="1"/>
  <c r="C1142" i="1"/>
  <c r="D1142" i="1"/>
  <c r="E1142" i="1"/>
  <c r="A293" i="1"/>
  <c r="B293" i="1"/>
  <c r="C293" i="1"/>
  <c r="D293" i="1"/>
  <c r="E293" i="1"/>
  <c r="A480" i="1"/>
  <c r="B480" i="1"/>
  <c r="C480" i="1"/>
  <c r="D480" i="1"/>
  <c r="E480" i="1"/>
  <c r="A895" i="1"/>
  <c r="B895" i="1"/>
  <c r="C895" i="1"/>
  <c r="D895" i="1"/>
  <c r="E895" i="1"/>
  <c r="A896" i="1"/>
  <c r="B896" i="1"/>
  <c r="C896" i="1"/>
  <c r="D896" i="1"/>
  <c r="E896" i="1"/>
  <c r="A898" i="1"/>
  <c r="B898" i="1"/>
  <c r="C898" i="1"/>
  <c r="D898" i="1"/>
  <c r="E898" i="1"/>
  <c r="A901" i="1"/>
  <c r="B901" i="1"/>
  <c r="C901" i="1"/>
  <c r="D901" i="1"/>
  <c r="E901" i="1"/>
  <c r="A902" i="1"/>
  <c r="B902" i="1"/>
  <c r="C902" i="1"/>
  <c r="D902" i="1"/>
  <c r="E902" i="1"/>
  <c r="A912" i="1"/>
  <c r="B912" i="1"/>
  <c r="C912" i="1"/>
  <c r="D912" i="1"/>
  <c r="E912" i="1"/>
  <c r="A906" i="1"/>
  <c r="B906" i="1"/>
  <c r="C906" i="1"/>
  <c r="D906" i="1"/>
  <c r="E906" i="1"/>
  <c r="A949" i="1"/>
  <c r="B949" i="1"/>
  <c r="C949" i="1"/>
  <c r="D949" i="1"/>
  <c r="E949" i="1"/>
  <c r="A1069" i="1"/>
  <c r="B1069" i="1"/>
  <c r="C1069" i="1"/>
  <c r="D1069" i="1"/>
  <c r="E1069" i="1"/>
  <c r="A1051" i="1"/>
  <c r="B1051" i="1"/>
  <c r="C1051" i="1"/>
  <c r="D1051" i="1"/>
  <c r="E1051" i="1"/>
  <c r="A263" i="1"/>
  <c r="B263" i="1"/>
  <c r="C263" i="1"/>
  <c r="D263" i="1"/>
  <c r="E263" i="1"/>
  <c r="A259" i="1"/>
  <c r="B259" i="1"/>
  <c r="C259" i="1"/>
  <c r="D259" i="1"/>
  <c r="E259" i="1"/>
  <c r="A257" i="1"/>
  <c r="B257" i="1"/>
  <c r="C257" i="1"/>
  <c r="D257" i="1"/>
  <c r="E257" i="1"/>
  <c r="A254" i="1"/>
  <c r="B254" i="1"/>
  <c r="C254" i="1"/>
  <c r="D254" i="1"/>
  <c r="E254" i="1"/>
  <c r="A273" i="1"/>
  <c r="B273" i="1"/>
  <c r="C273" i="1"/>
  <c r="D273" i="1"/>
  <c r="E273" i="1"/>
  <c r="A836" i="1"/>
  <c r="B836" i="1"/>
  <c r="C836" i="1"/>
  <c r="D836" i="1"/>
  <c r="E836" i="1"/>
  <c r="A880" i="1"/>
  <c r="B880" i="1"/>
  <c r="C880" i="1"/>
  <c r="D880" i="1"/>
  <c r="E880" i="1"/>
  <c r="A886" i="1"/>
  <c r="B886" i="1"/>
  <c r="C886" i="1"/>
  <c r="D886" i="1"/>
  <c r="E886" i="1"/>
  <c r="A892" i="1"/>
  <c r="B892" i="1"/>
  <c r="C892" i="1"/>
  <c r="D892" i="1"/>
  <c r="E892" i="1"/>
  <c r="A894" i="1"/>
  <c r="B894" i="1"/>
  <c r="C894" i="1"/>
  <c r="D894" i="1"/>
  <c r="E894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118" i="1"/>
  <c r="B118" i="1"/>
  <c r="C118" i="1"/>
  <c r="D118" i="1"/>
  <c r="E118" i="1"/>
  <c r="A75" i="1"/>
  <c r="B75" i="1"/>
  <c r="C75" i="1"/>
  <c r="D75" i="1"/>
  <c r="E75" i="1"/>
  <c r="A69" i="1"/>
  <c r="B69" i="1"/>
  <c r="C69" i="1"/>
  <c r="D69" i="1"/>
  <c r="E69" i="1"/>
  <c r="A130" i="1"/>
  <c r="B130" i="1"/>
  <c r="C130" i="1"/>
  <c r="D130" i="1"/>
  <c r="E130" i="1"/>
  <c r="A59" i="1"/>
  <c r="B59" i="1"/>
  <c r="C59" i="1"/>
  <c r="D59" i="1"/>
  <c r="E59" i="1"/>
  <c r="A161" i="1"/>
  <c r="B161" i="1"/>
  <c r="C161" i="1"/>
  <c r="D161" i="1"/>
  <c r="E161" i="1"/>
  <c r="A136" i="1"/>
  <c r="B136" i="1"/>
  <c r="C136" i="1"/>
  <c r="D136" i="1"/>
  <c r="E136" i="1"/>
  <c r="A154" i="1"/>
  <c r="B154" i="1"/>
  <c r="C154" i="1"/>
  <c r="D154" i="1"/>
  <c r="E154" i="1"/>
  <c r="A71" i="1"/>
  <c r="B71" i="1"/>
  <c r="C71" i="1"/>
  <c r="D71" i="1"/>
  <c r="E71" i="1"/>
  <c r="A77" i="1"/>
  <c r="B77" i="1"/>
  <c r="C77" i="1"/>
  <c r="D77" i="1"/>
  <c r="E77" i="1"/>
  <c r="A58" i="1"/>
  <c r="B58" i="1"/>
  <c r="C58" i="1"/>
  <c r="D58" i="1"/>
  <c r="E58" i="1"/>
  <c r="A147" i="1"/>
  <c r="B147" i="1"/>
  <c r="C147" i="1"/>
  <c r="D147" i="1"/>
  <c r="E147" i="1"/>
  <c r="A57" i="1"/>
  <c r="B57" i="1"/>
  <c r="C57" i="1"/>
  <c r="D57" i="1"/>
  <c r="E57" i="1"/>
  <c r="A137" i="1"/>
  <c r="B137" i="1"/>
  <c r="C137" i="1"/>
  <c r="D137" i="1"/>
  <c r="E137" i="1"/>
  <c r="A62" i="1"/>
  <c r="B62" i="1"/>
  <c r="C62" i="1"/>
  <c r="D62" i="1"/>
  <c r="E62" i="1"/>
  <c r="A151" i="1"/>
  <c r="B151" i="1"/>
  <c r="C151" i="1"/>
  <c r="D151" i="1"/>
  <c r="E151" i="1"/>
  <c r="A94" i="1"/>
  <c r="B94" i="1"/>
  <c r="C94" i="1"/>
  <c r="D94" i="1"/>
  <c r="E94" i="1"/>
  <c r="A481" i="1"/>
  <c r="B481" i="1"/>
  <c r="C481" i="1"/>
  <c r="D481" i="1"/>
  <c r="E481" i="1"/>
  <c r="A386" i="1"/>
  <c r="B386" i="1"/>
  <c r="C386" i="1"/>
  <c r="D386" i="1"/>
  <c r="E386" i="1"/>
  <c r="A387" i="1"/>
  <c r="B387" i="1"/>
  <c r="C387" i="1"/>
  <c r="D387" i="1"/>
  <c r="E387" i="1"/>
  <c r="A435" i="1"/>
  <c r="B435" i="1"/>
  <c r="C435" i="1"/>
  <c r="D435" i="1"/>
  <c r="E435" i="1"/>
  <c r="A134" i="1"/>
  <c r="B134" i="1"/>
  <c r="C134" i="1"/>
  <c r="D134" i="1"/>
  <c r="E134" i="1"/>
  <c r="A111" i="1"/>
  <c r="B111" i="1"/>
  <c r="C111" i="1"/>
  <c r="D111" i="1"/>
  <c r="E111" i="1"/>
  <c r="A155" i="1"/>
  <c r="B155" i="1"/>
  <c r="C155" i="1"/>
  <c r="D155" i="1"/>
  <c r="E155" i="1"/>
  <c r="A127" i="1"/>
  <c r="B127" i="1"/>
  <c r="C127" i="1"/>
  <c r="D127" i="1"/>
  <c r="E127" i="1"/>
  <c r="A152" i="1"/>
  <c r="B152" i="1"/>
  <c r="C152" i="1"/>
  <c r="D152" i="1"/>
  <c r="E152" i="1"/>
  <c r="A153" i="1"/>
  <c r="B153" i="1"/>
  <c r="C153" i="1"/>
  <c r="D153" i="1"/>
  <c r="E153" i="1"/>
  <c r="A668" i="1"/>
  <c r="B668" i="1"/>
  <c r="C668" i="1"/>
  <c r="D668" i="1"/>
  <c r="E668" i="1"/>
  <c r="A792" i="1"/>
  <c r="B792" i="1"/>
  <c r="C792" i="1"/>
  <c r="D792" i="1"/>
  <c r="E792" i="1"/>
  <c r="A774" i="1"/>
  <c r="B774" i="1"/>
  <c r="C774" i="1"/>
  <c r="D774" i="1"/>
  <c r="E774" i="1"/>
  <c r="A561" i="1"/>
  <c r="B561" i="1"/>
  <c r="C561" i="1"/>
  <c r="D561" i="1"/>
  <c r="E561" i="1"/>
  <c r="A562" i="1"/>
  <c r="B562" i="1"/>
  <c r="C562" i="1"/>
  <c r="D562" i="1"/>
  <c r="E562" i="1"/>
  <c r="A563" i="1"/>
  <c r="B563" i="1"/>
  <c r="C563" i="1"/>
  <c r="D563" i="1"/>
  <c r="E563" i="1"/>
  <c r="A530" i="1"/>
  <c r="B530" i="1"/>
  <c r="C530" i="1"/>
  <c r="D530" i="1"/>
  <c r="E530" i="1"/>
  <c r="A603" i="1"/>
  <c r="B603" i="1"/>
  <c r="C603" i="1"/>
  <c r="D603" i="1"/>
  <c r="E603" i="1"/>
  <c r="A464" i="1"/>
  <c r="B464" i="1"/>
  <c r="C464" i="1"/>
  <c r="D464" i="1"/>
  <c r="E464" i="1"/>
  <c r="A460" i="1"/>
  <c r="B460" i="1"/>
  <c r="C460" i="1"/>
  <c r="D460" i="1"/>
  <c r="E460" i="1"/>
  <c r="A477" i="1"/>
  <c r="B477" i="1"/>
  <c r="C477" i="1"/>
  <c r="D477" i="1"/>
  <c r="E477" i="1"/>
  <c r="A454" i="1"/>
  <c r="B454" i="1"/>
  <c r="C454" i="1"/>
  <c r="D454" i="1"/>
  <c r="E454" i="1"/>
  <c r="A465" i="1"/>
  <c r="B465" i="1"/>
  <c r="C465" i="1"/>
  <c r="D465" i="1"/>
  <c r="E465" i="1"/>
  <c r="A66" i="1"/>
  <c r="B66" i="1"/>
  <c r="C66" i="1"/>
  <c r="D66" i="1"/>
  <c r="E66" i="1"/>
  <c r="A131" i="1"/>
  <c r="B131" i="1"/>
  <c r="C131" i="1"/>
  <c r="D131" i="1"/>
  <c r="E131" i="1"/>
  <c r="A690" i="1"/>
  <c r="B690" i="1"/>
  <c r="C690" i="1"/>
  <c r="D690" i="1"/>
  <c r="E690" i="1"/>
  <c r="A689" i="1"/>
  <c r="B689" i="1"/>
  <c r="C689" i="1"/>
  <c r="D689" i="1"/>
  <c r="E689" i="1"/>
  <c r="A698" i="1"/>
  <c r="B698" i="1"/>
  <c r="C698" i="1"/>
  <c r="D698" i="1"/>
  <c r="E698" i="1"/>
  <c r="A703" i="1"/>
  <c r="B703" i="1"/>
  <c r="C703" i="1"/>
  <c r="D703" i="1"/>
  <c r="E703" i="1"/>
  <c r="A728" i="1"/>
  <c r="B728" i="1"/>
  <c r="C728" i="1"/>
  <c r="D728" i="1"/>
  <c r="E728" i="1"/>
  <c r="A644" i="1"/>
  <c r="B644" i="1"/>
  <c r="C644" i="1"/>
  <c r="D644" i="1"/>
  <c r="E644" i="1"/>
  <c r="A327" i="1"/>
  <c r="B327" i="1"/>
  <c r="C327" i="1"/>
  <c r="D327" i="1"/>
  <c r="E327" i="1"/>
  <c r="A325" i="1"/>
  <c r="B325" i="1"/>
  <c r="C325" i="1"/>
  <c r="D325" i="1"/>
  <c r="E325" i="1"/>
  <c r="A428" i="1"/>
  <c r="B428" i="1"/>
  <c r="C428" i="1"/>
  <c r="D428" i="1"/>
  <c r="E428" i="1"/>
  <c r="A426" i="1"/>
  <c r="B426" i="1"/>
  <c r="C426" i="1"/>
  <c r="D426" i="1"/>
  <c r="E426" i="1"/>
  <c r="A417" i="1"/>
  <c r="B417" i="1"/>
  <c r="C417" i="1"/>
  <c r="D417" i="1"/>
  <c r="E417" i="1"/>
  <c r="A388" i="1"/>
  <c r="B388" i="1"/>
  <c r="C388" i="1"/>
  <c r="D388" i="1"/>
  <c r="E388" i="1"/>
  <c r="A384" i="1"/>
  <c r="B384" i="1"/>
  <c r="C384" i="1"/>
  <c r="D384" i="1"/>
  <c r="E384" i="1"/>
  <c r="A524" i="1"/>
  <c r="B524" i="1"/>
  <c r="C524" i="1"/>
  <c r="D524" i="1"/>
  <c r="E524" i="1"/>
  <c r="A472" i="1"/>
  <c r="B472" i="1"/>
  <c r="C472" i="1"/>
  <c r="D472" i="1"/>
  <c r="E472" i="1"/>
  <c r="A233" i="1"/>
  <c r="B233" i="1"/>
  <c r="C233" i="1"/>
  <c r="D233" i="1"/>
  <c r="E233" i="1"/>
  <c r="A216" i="1"/>
  <c r="B216" i="1"/>
  <c r="C216" i="1"/>
  <c r="D216" i="1"/>
  <c r="E216" i="1"/>
  <c r="A213" i="1"/>
  <c r="B213" i="1"/>
  <c r="C213" i="1"/>
  <c r="D213" i="1"/>
  <c r="E213" i="1"/>
  <c r="A212" i="1"/>
  <c r="B212" i="1"/>
  <c r="C212" i="1"/>
  <c r="D212" i="1"/>
  <c r="E212" i="1"/>
  <c r="A215" i="1"/>
  <c r="B215" i="1"/>
  <c r="C215" i="1"/>
  <c r="D215" i="1"/>
  <c r="E215" i="1"/>
  <c r="A953" i="1"/>
  <c r="B953" i="1"/>
  <c r="C953" i="1"/>
  <c r="D953" i="1"/>
  <c r="E953" i="1"/>
  <c r="A943" i="1"/>
  <c r="B943" i="1"/>
  <c r="C943" i="1"/>
  <c r="D943" i="1"/>
  <c r="E943" i="1"/>
  <c r="A866" i="1"/>
  <c r="B866" i="1"/>
  <c r="C866" i="1"/>
  <c r="D866" i="1"/>
  <c r="E866" i="1"/>
  <c r="A863" i="1"/>
  <c r="B863" i="1"/>
  <c r="C863" i="1"/>
  <c r="D863" i="1"/>
  <c r="E863" i="1"/>
  <c r="A618" i="1"/>
  <c r="B618" i="1"/>
  <c r="C618" i="1"/>
  <c r="D618" i="1"/>
  <c r="E618" i="1"/>
  <c r="A333" i="1"/>
  <c r="B333" i="1"/>
  <c r="C333" i="1"/>
  <c r="D333" i="1"/>
  <c r="E333" i="1"/>
  <c r="A330" i="1"/>
  <c r="B330" i="1"/>
  <c r="C330" i="1"/>
  <c r="D330" i="1"/>
  <c r="E330" i="1"/>
  <c r="A576" i="1"/>
  <c r="B576" i="1"/>
  <c r="C576" i="1"/>
  <c r="D576" i="1"/>
  <c r="E576" i="1"/>
  <c r="A570" i="1"/>
  <c r="B570" i="1"/>
  <c r="C570" i="1"/>
  <c r="D570" i="1"/>
  <c r="E570" i="1"/>
  <c r="A56" i="1"/>
  <c r="B56" i="1"/>
  <c r="C56" i="1"/>
  <c r="D56" i="1"/>
  <c r="E56" i="1"/>
  <c r="A79" i="1"/>
  <c r="B79" i="1"/>
  <c r="C79" i="1"/>
  <c r="D79" i="1"/>
  <c r="E79" i="1"/>
  <c r="A114" i="1"/>
  <c r="B114" i="1"/>
  <c r="C114" i="1"/>
  <c r="D114" i="1"/>
  <c r="E114" i="1"/>
  <c r="A247" i="1"/>
  <c r="B247" i="1"/>
  <c r="C247" i="1"/>
  <c r="D247" i="1"/>
  <c r="E247" i="1"/>
  <c r="A289" i="1"/>
  <c r="B289" i="1"/>
  <c r="C289" i="1"/>
  <c r="D289" i="1"/>
  <c r="E289" i="1"/>
  <c r="A250" i="1"/>
  <c r="B250" i="1"/>
  <c r="C250" i="1"/>
  <c r="D250" i="1"/>
  <c r="E250" i="1"/>
  <c r="A948" i="1"/>
  <c r="B948" i="1"/>
  <c r="C948" i="1"/>
  <c r="D948" i="1"/>
  <c r="E948" i="1"/>
  <c r="A944" i="1"/>
  <c r="B944" i="1"/>
  <c r="C944" i="1"/>
  <c r="D944" i="1"/>
  <c r="E944" i="1"/>
  <c r="A237" i="1"/>
  <c r="B237" i="1"/>
  <c r="C237" i="1"/>
  <c r="D237" i="1"/>
  <c r="E237" i="1"/>
  <c r="A146" i="1"/>
  <c r="B146" i="1"/>
  <c r="C146" i="1"/>
  <c r="D146" i="1"/>
  <c r="E146" i="1"/>
  <c r="A63" i="1"/>
  <c r="B63" i="1"/>
  <c r="C63" i="1"/>
  <c r="D63" i="1"/>
  <c r="E63" i="1"/>
  <c r="A539" i="1"/>
  <c r="B539" i="1"/>
  <c r="C539" i="1"/>
  <c r="D539" i="1"/>
  <c r="E539" i="1"/>
  <c r="A528" i="1"/>
  <c r="B528" i="1"/>
  <c r="C528" i="1"/>
  <c r="D528" i="1"/>
  <c r="E528" i="1"/>
  <c r="A474" i="1"/>
  <c r="B474" i="1"/>
  <c r="C474" i="1"/>
  <c r="D474" i="1"/>
  <c r="E474" i="1"/>
  <c r="A444" i="1"/>
  <c r="B444" i="1"/>
  <c r="C444" i="1"/>
  <c r="D444" i="1"/>
  <c r="E444" i="1"/>
  <c r="A285" i="1"/>
  <c r="B285" i="1"/>
  <c r="C285" i="1"/>
  <c r="D285" i="1"/>
  <c r="E285" i="1"/>
  <c r="A290" i="1"/>
  <c r="B290" i="1"/>
  <c r="C290" i="1"/>
  <c r="D290" i="1"/>
  <c r="E290" i="1"/>
  <c r="A252" i="1"/>
  <c r="B252" i="1"/>
  <c r="C252" i="1"/>
  <c r="D252" i="1"/>
  <c r="E252" i="1"/>
  <c r="A279" i="1"/>
  <c r="B279" i="1"/>
  <c r="C279" i="1"/>
  <c r="D279" i="1"/>
  <c r="E279" i="1"/>
  <c r="A236" i="1"/>
  <c r="B236" i="1"/>
  <c r="C236" i="1"/>
  <c r="D236" i="1"/>
  <c r="E236" i="1"/>
  <c r="A265" i="1"/>
  <c r="B265" i="1"/>
  <c r="C265" i="1"/>
  <c r="D265" i="1"/>
  <c r="E265" i="1"/>
  <c r="A806" i="1"/>
  <c r="B806" i="1"/>
  <c r="C806" i="1"/>
  <c r="D806" i="1"/>
  <c r="E806" i="1"/>
  <c r="A799" i="1"/>
  <c r="B799" i="1"/>
  <c r="C799" i="1"/>
  <c r="D799" i="1"/>
  <c r="E799" i="1"/>
  <c r="A812" i="1"/>
  <c r="B812" i="1"/>
  <c r="C812" i="1"/>
  <c r="D812" i="1"/>
  <c r="E812" i="1"/>
  <c r="A874" i="1"/>
  <c r="B874" i="1"/>
  <c r="C874" i="1"/>
  <c r="D874" i="1"/>
  <c r="E874" i="1"/>
  <c r="A1074" i="1"/>
  <c r="B1074" i="1"/>
  <c r="C1074" i="1"/>
  <c r="D1074" i="1"/>
  <c r="E1074" i="1"/>
  <c r="A74" i="1"/>
  <c r="B74" i="1"/>
  <c r="C74" i="1"/>
  <c r="D74" i="1"/>
  <c r="E74" i="1"/>
  <c r="A30" i="1"/>
  <c r="B30" i="1"/>
  <c r="C30" i="1"/>
  <c r="D30" i="1"/>
  <c r="E30" i="1"/>
  <c r="A117" i="1"/>
  <c r="B117" i="1"/>
  <c r="C117" i="1"/>
  <c r="D117" i="1"/>
  <c r="E117" i="1"/>
  <c r="A171" i="1"/>
  <c r="B171" i="1"/>
  <c r="C171" i="1"/>
  <c r="D171" i="1"/>
  <c r="E171" i="1"/>
  <c r="A248" i="1"/>
  <c r="B248" i="1"/>
  <c r="C248" i="1"/>
  <c r="D248" i="1"/>
  <c r="E248" i="1"/>
  <c r="A256" i="1"/>
  <c r="B256" i="1"/>
  <c r="C256" i="1"/>
  <c r="D256" i="1"/>
  <c r="E256" i="1"/>
  <c r="A260" i="1"/>
  <c r="B260" i="1"/>
  <c r="C260" i="1"/>
  <c r="D260" i="1"/>
  <c r="E260" i="1"/>
  <c r="A253" i="1"/>
  <c r="B253" i="1"/>
  <c r="C253" i="1"/>
  <c r="D253" i="1"/>
  <c r="E253" i="1"/>
  <c r="A266" i="1"/>
  <c r="B266" i="1"/>
  <c r="C266" i="1"/>
  <c r="D266" i="1"/>
  <c r="E266" i="1"/>
  <c r="A291" i="1"/>
  <c r="B291" i="1"/>
  <c r="C291" i="1"/>
  <c r="D291" i="1"/>
  <c r="E291" i="1"/>
  <c r="A555" i="1"/>
  <c r="B555" i="1"/>
  <c r="C555" i="1"/>
  <c r="D555" i="1"/>
  <c r="E555" i="1"/>
  <c r="A557" i="1"/>
  <c r="B557" i="1"/>
  <c r="C557" i="1"/>
  <c r="D557" i="1"/>
  <c r="E557" i="1"/>
  <c r="A554" i="1"/>
  <c r="B554" i="1"/>
  <c r="C554" i="1"/>
  <c r="D554" i="1"/>
  <c r="E554" i="1"/>
  <c r="A550" i="1"/>
  <c r="B550" i="1"/>
  <c r="C550" i="1"/>
  <c r="D550" i="1"/>
  <c r="E550" i="1"/>
  <c r="A533" i="1"/>
  <c r="B533" i="1"/>
  <c r="C533" i="1"/>
  <c r="D533" i="1"/>
  <c r="E533" i="1"/>
  <c r="A529" i="1"/>
  <c r="B529" i="1"/>
  <c r="C529" i="1"/>
  <c r="D529" i="1"/>
  <c r="E529" i="1"/>
  <c r="A538" i="1"/>
  <c r="B538" i="1"/>
  <c r="C538" i="1"/>
  <c r="D538" i="1"/>
  <c r="E538" i="1"/>
  <c r="A91" i="1"/>
  <c r="B91" i="1"/>
  <c r="C91" i="1"/>
  <c r="D91" i="1"/>
  <c r="E91" i="1"/>
  <c r="A92" i="1"/>
  <c r="B92" i="1"/>
  <c r="C92" i="1"/>
  <c r="D92" i="1"/>
  <c r="E92" i="1"/>
  <c r="A61" i="1"/>
  <c r="B61" i="1"/>
  <c r="C61" i="1"/>
  <c r="D61" i="1"/>
  <c r="E61" i="1"/>
  <c r="A407" i="1"/>
  <c r="B407" i="1"/>
  <c r="C407" i="1"/>
  <c r="D407" i="1"/>
  <c r="E407" i="1"/>
  <c r="A461" i="1"/>
  <c r="B461" i="1"/>
  <c r="C461" i="1"/>
  <c r="D461" i="1"/>
  <c r="E461" i="1"/>
  <c r="A462" i="1"/>
  <c r="B462" i="1"/>
  <c r="C462" i="1"/>
  <c r="D462" i="1"/>
  <c r="E462" i="1"/>
  <c r="A463" i="1"/>
  <c r="B463" i="1"/>
  <c r="C463" i="1"/>
  <c r="D463" i="1"/>
  <c r="E463" i="1"/>
  <c r="A424" i="1"/>
  <c r="B424" i="1"/>
  <c r="C424" i="1"/>
  <c r="D424" i="1"/>
  <c r="E424" i="1"/>
  <c r="A467" i="1"/>
  <c r="B467" i="1"/>
  <c r="C467" i="1"/>
  <c r="D467" i="1"/>
  <c r="E467" i="1"/>
  <c r="A470" i="1"/>
  <c r="B470" i="1"/>
  <c r="C470" i="1"/>
  <c r="D470" i="1"/>
  <c r="E470" i="1"/>
  <c r="A525" i="1"/>
  <c r="B525" i="1"/>
  <c r="C525" i="1"/>
  <c r="D525" i="1"/>
  <c r="E525" i="1"/>
  <c r="A567" i="1"/>
  <c r="B567" i="1"/>
  <c r="C567" i="1"/>
  <c r="D567" i="1"/>
  <c r="E567" i="1"/>
  <c r="A588" i="1"/>
  <c r="B588" i="1"/>
  <c r="C588" i="1"/>
  <c r="D588" i="1"/>
  <c r="E588" i="1"/>
  <c r="A442" i="1"/>
  <c r="B442" i="1"/>
  <c r="C442" i="1"/>
  <c r="D442" i="1"/>
  <c r="E442" i="1"/>
  <c r="A438" i="1"/>
  <c r="B438" i="1"/>
  <c r="C438" i="1"/>
  <c r="D438" i="1"/>
  <c r="E438" i="1"/>
  <c r="A414" i="1"/>
  <c r="B414" i="1"/>
  <c r="C414" i="1"/>
  <c r="D414" i="1"/>
  <c r="E414" i="1"/>
  <c r="A416" i="1"/>
  <c r="B416" i="1"/>
  <c r="C416" i="1"/>
  <c r="D416" i="1"/>
  <c r="E416" i="1"/>
  <c r="A419" i="1"/>
  <c r="B419" i="1"/>
  <c r="C419" i="1"/>
  <c r="D419" i="1"/>
  <c r="E419" i="1"/>
  <c r="A420" i="1"/>
  <c r="B420" i="1"/>
  <c r="C420" i="1"/>
  <c r="D420" i="1"/>
  <c r="E420" i="1"/>
  <c r="A421" i="1"/>
  <c r="B421" i="1"/>
  <c r="C421" i="1"/>
  <c r="D421" i="1"/>
  <c r="E421" i="1"/>
  <c r="A392" i="1"/>
  <c r="B392" i="1"/>
  <c r="C392" i="1"/>
  <c r="D392" i="1"/>
  <c r="E392" i="1"/>
  <c r="A390" i="1"/>
  <c r="B390" i="1"/>
  <c r="C390" i="1"/>
  <c r="D390" i="1"/>
  <c r="E390" i="1"/>
  <c r="A382" i="1"/>
  <c r="B382" i="1"/>
  <c r="C382" i="1"/>
  <c r="D382" i="1"/>
  <c r="E382" i="1"/>
  <c r="A341" i="1"/>
  <c r="B341" i="1"/>
  <c r="C341" i="1"/>
  <c r="D341" i="1"/>
  <c r="E341" i="1"/>
  <c r="A315" i="1"/>
  <c r="B315" i="1"/>
  <c r="C315" i="1"/>
  <c r="D315" i="1"/>
  <c r="E315" i="1"/>
  <c r="A270" i="1"/>
  <c r="B270" i="1"/>
  <c r="C270" i="1"/>
  <c r="D270" i="1"/>
  <c r="E270" i="1"/>
  <c r="A271" i="1"/>
  <c r="B271" i="1"/>
  <c r="C271" i="1"/>
  <c r="D271" i="1"/>
  <c r="E271" i="1"/>
  <c r="A274" i="1"/>
  <c r="B274" i="1"/>
  <c r="C274" i="1"/>
  <c r="D274" i="1"/>
  <c r="E274" i="1"/>
  <c r="A275" i="1"/>
  <c r="B275" i="1"/>
  <c r="C275" i="1"/>
  <c r="D275" i="1"/>
  <c r="E275" i="1"/>
  <c r="A430" i="1"/>
  <c r="B430" i="1"/>
  <c r="C430" i="1"/>
  <c r="D430" i="1"/>
  <c r="E430" i="1"/>
  <c r="A431" i="1"/>
  <c r="B431" i="1"/>
  <c r="C431" i="1"/>
  <c r="D431" i="1"/>
  <c r="E431" i="1"/>
  <c r="A432" i="1"/>
  <c r="B432" i="1"/>
  <c r="C432" i="1"/>
  <c r="D432" i="1"/>
  <c r="E432" i="1"/>
  <c r="A441" i="1"/>
  <c r="B441" i="1"/>
  <c r="C441" i="1"/>
  <c r="D441" i="1"/>
  <c r="E441" i="1"/>
  <c r="A779" i="1"/>
  <c r="B779" i="1"/>
  <c r="C779" i="1"/>
  <c r="D779" i="1"/>
  <c r="E779" i="1"/>
  <c r="A780" i="1"/>
  <c r="B780" i="1"/>
  <c r="C780" i="1"/>
  <c r="D780" i="1"/>
  <c r="E780" i="1"/>
  <c r="A776" i="1"/>
  <c r="B776" i="1"/>
  <c r="C776" i="1"/>
  <c r="D776" i="1"/>
  <c r="E776" i="1"/>
  <c r="A821" i="1"/>
  <c r="B821" i="1"/>
  <c r="C821" i="1"/>
  <c r="D821" i="1"/>
  <c r="E821" i="1"/>
  <c r="A693" i="1"/>
  <c r="B693" i="1"/>
  <c r="C693" i="1"/>
  <c r="D693" i="1"/>
  <c r="E693" i="1"/>
  <c r="A662" i="1"/>
  <c r="B662" i="1"/>
  <c r="C662" i="1"/>
  <c r="D662" i="1"/>
  <c r="E662" i="1"/>
  <c r="A663" i="1"/>
  <c r="B663" i="1"/>
  <c r="C663" i="1"/>
  <c r="D663" i="1"/>
  <c r="E663" i="1"/>
  <c r="A683" i="1"/>
  <c r="B683" i="1"/>
  <c r="C683" i="1"/>
  <c r="D683" i="1"/>
  <c r="E683" i="1"/>
  <c r="A347" i="1"/>
  <c r="B347" i="1"/>
  <c r="C347" i="1"/>
  <c r="D347" i="1"/>
  <c r="E347" i="1"/>
  <c r="A348" i="1"/>
  <c r="B348" i="1"/>
  <c r="C348" i="1"/>
  <c r="D348" i="1"/>
  <c r="E348" i="1"/>
  <c r="A910" i="1"/>
  <c r="B910" i="1"/>
  <c r="C910" i="1"/>
  <c r="D910" i="1"/>
  <c r="E910" i="1"/>
  <c r="A1088" i="1"/>
  <c r="B1088" i="1"/>
  <c r="C1088" i="1"/>
  <c r="D1088" i="1"/>
  <c r="E1088" i="1"/>
  <c r="A1091" i="1"/>
  <c r="B1091" i="1"/>
  <c r="C1091" i="1"/>
  <c r="D1091" i="1"/>
  <c r="E1091" i="1"/>
  <c r="A1080" i="1"/>
  <c r="B1080" i="1"/>
  <c r="C1080" i="1"/>
  <c r="D1080" i="1"/>
  <c r="E1080" i="1"/>
  <c r="A883" i="1"/>
  <c r="B883" i="1"/>
  <c r="C883" i="1"/>
  <c r="D883" i="1"/>
  <c r="E883" i="1"/>
  <c r="A884" i="1"/>
  <c r="B884" i="1"/>
  <c r="C884" i="1"/>
  <c r="D884" i="1"/>
  <c r="E884" i="1"/>
  <c r="A885" i="1"/>
  <c r="B885" i="1"/>
  <c r="C885" i="1"/>
  <c r="D885" i="1"/>
  <c r="E885" i="1"/>
  <c r="A830" i="1"/>
  <c r="B830" i="1"/>
  <c r="C830" i="1"/>
  <c r="D830" i="1"/>
  <c r="E830" i="1"/>
  <c r="A904" i="1"/>
  <c r="B904" i="1"/>
  <c r="C904" i="1"/>
  <c r="D904" i="1"/>
  <c r="E904" i="1"/>
  <c r="A888" i="1"/>
  <c r="B888" i="1"/>
  <c r="C888" i="1"/>
  <c r="D888" i="1"/>
  <c r="E888" i="1"/>
  <c r="A958" i="1"/>
  <c r="B958" i="1"/>
  <c r="C958" i="1"/>
  <c r="D958" i="1"/>
  <c r="E958" i="1"/>
  <c r="A954" i="1"/>
  <c r="B954" i="1"/>
  <c r="C954" i="1"/>
  <c r="D954" i="1"/>
  <c r="E954" i="1"/>
  <c r="A940" i="1"/>
  <c r="B940" i="1"/>
  <c r="C940" i="1"/>
  <c r="D940" i="1"/>
  <c r="E940" i="1"/>
  <c r="A927" i="1"/>
  <c r="B927" i="1"/>
  <c r="C927" i="1"/>
  <c r="D927" i="1"/>
  <c r="E927" i="1"/>
  <c r="A1045" i="1"/>
  <c r="B1045" i="1"/>
  <c r="C1045" i="1"/>
  <c r="D1045" i="1"/>
  <c r="E1045" i="1"/>
  <c r="A1046" i="1"/>
  <c r="B1046" i="1"/>
  <c r="C1046" i="1"/>
  <c r="D1046" i="1"/>
  <c r="E1046" i="1"/>
  <c r="A1042" i="1"/>
  <c r="B1042" i="1"/>
  <c r="C1042" i="1"/>
  <c r="D1042" i="1"/>
  <c r="E1042" i="1"/>
  <c r="A1043" i="1"/>
  <c r="B1043" i="1"/>
  <c r="C1043" i="1"/>
  <c r="D1043" i="1"/>
  <c r="E1043" i="1"/>
  <c r="A1062" i="1"/>
  <c r="B1062" i="1"/>
  <c r="C1062" i="1"/>
  <c r="D1062" i="1"/>
  <c r="E1062" i="1"/>
  <c r="A950" i="1"/>
  <c r="B950" i="1"/>
  <c r="C950" i="1"/>
  <c r="D950" i="1"/>
  <c r="E950" i="1"/>
  <c r="A614" i="1"/>
  <c r="B614" i="1"/>
  <c r="C614" i="1"/>
  <c r="D614" i="1"/>
  <c r="E614" i="1"/>
  <c r="A723" i="1"/>
  <c r="B723" i="1"/>
  <c r="C723" i="1"/>
  <c r="D723" i="1"/>
  <c r="E723" i="1"/>
  <c r="A867" i="1"/>
  <c r="B867" i="1"/>
  <c r="C867" i="1"/>
  <c r="D867" i="1"/>
  <c r="E867" i="1"/>
  <c r="A873" i="1"/>
  <c r="B873" i="1"/>
  <c r="C873" i="1"/>
  <c r="D873" i="1"/>
  <c r="E873" i="1"/>
  <c r="A877" i="1"/>
  <c r="B877" i="1"/>
  <c r="C877" i="1"/>
  <c r="D877" i="1"/>
  <c r="E877" i="1"/>
  <c r="A872" i="1"/>
  <c r="B872" i="1"/>
  <c r="C872" i="1"/>
  <c r="D872" i="1"/>
  <c r="E872" i="1"/>
  <c r="A876" i="1"/>
  <c r="B876" i="1"/>
  <c r="C876" i="1"/>
  <c r="D876" i="1"/>
  <c r="E876" i="1"/>
  <c r="A879" i="1"/>
  <c r="B879" i="1"/>
  <c r="C879" i="1"/>
  <c r="D879" i="1"/>
  <c r="E879" i="1"/>
  <c r="A1111" i="1"/>
  <c r="B1111" i="1"/>
  <c r="C1111" i="1"/>
  <c r="D1111" i="1"/>
  <c r="E1111" i="1"/>
  <c r="A1087" i="1"/>
  <c r="B1087" i="1"/>
  <c r="C1087" i="1"/>
  <c r="D1087" i="1"/>
  <c r="E1087" i="1"/>
  <c r="A518" i="1"/>
  <c r="B518" i="1"/>
  <c r="C518" i="1"/>
  <c r="D518" i="1"/>
  <c r="E518" i="1"/>
  <c r="A521" i="1"/>
  <c r="B521" i="1"/>
  <c r="C521" i="1"/>
  <c r="D521" i="1"/>
  <c r="E521" i="1"/>
  <c r="A516" i="1"/>
  <c r="B516" i="1"/>
  <c r="C516" i="1"/>
  <c r="D516" i="1"/>
  <c r="E516" i="1"/>
  <c r="A517" i="1"/>
  <c r="B517" i="1"/>
  <c r="C517" i="1"/>
  <c r="D517" i="1"/>
  <c r="E517" i="1"/>
  <c r="A519" i="1"/>
  <c r="B519" i="1"/>
  <c r="C519" i="1"/>
  <c r="D519" i="1"/>
  <c r="E519" i="1"/>
  <c r="A468" i="1"/>
  <c r="B468" i="1"/>
  <c r="C468" i="1"/>
  <c r="D468" i="1"/>
  <c r="E468" i="1"/>
  <c r="A452" i="1"/>
  <c r="B452" i="1"/>
  <c r="C452" i="1"/>
  <c r="D452" i="1"/>
  <c r="E452" i="1"/>
  <c r="A443" i="1"/>
  <c r="B443" i="1"/>
  <c r="C443" i="1"/>
  <c r="D443" i="1"/>
  <c r="E443" i="1"/>
  <c r="A429" i="1"/>
  <c r="B429" i="1"/>
  <c r="C429" i="1"/>
  <c r="D429" i="1"/>
  <c r="E429" i="1"/>
  <c r="A338" i="1"/>
  <c r="B338" i="1"/>
  <c r="C338" i="1"/>
  <c r="D338" i="1"/>
  <c r="E338" i="1"/>
  <c r="A125" i="1"/>
  <c r="B125" i="1"/>
  <c r="C125" i="1"/>
  <c r="D125" i="1"/>
  <c r="E125" i="1"/>
  <c r="A99" i="1"/>
  <c r="B99" i="1"/>
  <c r="C99" i="1"/>
  <c r="D99" i="1"/>
  <c r="E99" i="1"/>
  <c r="A124" i="1"/>
  <c r="B124" i="1"/>
  <c r="C124" i="1"/>
  <c r="D124" i="1"/>
  <c r="E124" i="1"/>
  <c r="A157" i="1"/>
  <c r="B157" i="1"/>
  <c r="C157" i="1"/>
  <c r="D157" i="1"/>
  <c r="E157" i="1"/>
  <c r="A60" i="1"/>
  <c r="B60" i="1"/>
  <c r="C60" i="1"/>
  <c r="D60" i="1"/>
  <c r="E60" i="1"/>
  <c r="A149" i="1"/>
  <c r="B149" i="1"/>
  <c r="C149" i="1"/>
  <c r="D149" i="1"/>
  <c r="E149" i="1"/>
  <c r="A556" i="1"/>
  <c r="B556" i="1"/>
  <c r="C556" i="1"/>
  <c r="D556" i="1"/>
  <c r="E556" i="1"/>
  <c r="A559" i="1"/>
  <c r="B559" i="1"/>
  <c r="C559" i="1"/>
  <c r="D559" i="1"/>
  <c r="E559" i="1"/>
  <c r="A560" i="1"/>
  <c r="B560" i="1"/>
  <c r="C560" i="1"/>
  <c r="D560" i="1"/>
  <c r="E560" i="1"/>
  <c r="A573" i="1"/>
  <c r="B573" i="1"/>
  <c r="C573" i="1"/>
  <c r="D573" i="1"/>
  <c r="E573" i="1"/>
  <c r="A68" i="1"/>
  <c r="B68" i="1"/>
  <c r="C68" i="1"/>
  <c r="D68" i="1"/>
  <c r="E68" i="1"/>
  <c r="A81" i="1"/>
  <c r="B81" i="1"/>
  <c r="C81" i="1"/>
  <c r="D81" i="1"/>
  <c r="E81" i="1"/>
  <c r="A83" i="1"/>
  <c r="B83" i="1"/>
  <c r="C83" i="1"/>
  <c r="D83" i="1"/>
  <c r="E83" i="1"/>
  <c r="A222" i="1"/>
  <c r="B222" i="1"/>
  <c r="C222" i="1"/>
  <c r="D222" i="1"/>
  <c r="E222" i="1"/>
  <c r="A218" i="1"/>
  <c r="B218" i="1"/>
  <c r="C218" i="1"/>
  <c r="D218" i="1"/>
  <c r="E218" i="1"/>
  <c r="A223" i="1"/>
  <c r="B223" i="1"/>
  <c r="C223" i="1"/>
  <c r="D223" i="1"/>
  <c r="E223" i="1"/>
  <c r="A211" i="1"/>
  <c r="B211" i="1"/>
  <c r="C211" i="1"/>
  <c r="D211" i="1"/>
  <c r="E211" i="1"/>
  <c r="A80" i="1"/>
  <c r="B80" i="1"/>
  <c r="C80" i="1"/>
  <c r="D80" i="1"/>
  <c r="E80" i="1"/>
  <c r="A93" i="1"/>
  <c r="B93" i="1"/>
  <c r="C93" i="1"/>
  <c r="D93" i="1"/>
  <c r="E93" i="1"/>
  <c r="A67" i="1"/>
  <c r="B67" i="1"/>
  <c r="C67" i="1"/>
  <c r="D67" i="1"/>
  <c r="E67" i="1"/>
  <c r="A113" i="1"/>
  <c r="B113" i="1"/>
  <c r="C113" i="1"/>
  <c r="D113" i="1"/>
  <c r="E113" i="1"/>
  <c r="A72" i="1"/>
  <c r="B72" i="1"/>
  <c r="C72" i="1"/>
  <c r="D72" i="1"/>
  <c r="E72" i="1"/>
  <c r="A115" i="1"/>
  <c r="B115" i="1"/>
  <c r="C115" i="1"/>
  <c r="D115" i="1"/>
  <c r="E115" i="1"/>
  <c r="A65" i="1"/>
  <c r="B65" i="1"/>
  <c r="C65" i="1"/>
  <c r="D65" i="1"/>
  <c r="E65" i="1"/>
  <c r="A238" i="1"/>
  <c r="B238" i="1"/>
  <c r="C238" i="1"/>
  <c r="D238" i="1"/>
  <c r="E238" i="1"/>
  <c r="A301" i="1"/>
  <c r="B301" i="1"/>
  <c r="C301" i="1"/>
  <c r="D301" i="1"/>
  <c r="E301" i="1"/>
  <c r="A280" i="1"/>
  <c r="B280" i="1"/>
  <c r="C280" i="1"/>
  <c r="D280" i="1"/>
  <c r="E280" i="1"/>
  <c r="A272" i="1"/>
  <c r="B272" i="1"/>
  <c r="C272" i="1"/>
  <c r="D272" i="1"/>
  <c r="E272" i="1"/>
  <c r="A302" i="1"/>
  <c r="B302" i="1"/>
  <c r="C302" i="1"/>
  <c r="D302" i="1"/>
  <c r="E302" i="1"/>
  <c r="A132" i="1"/>
  <c r="B132" i="1"/>
  <c r="C132" i="1"/>
  <c r="D132" i="1"/>
  <c r="E132" i="1"/>
  <c r="A575" i="1"/>
  <c r="B575" i="1"/>
  <c r="C575" i="1"/>
  <c r="D575" i="1"/>
  <c r="E575" i="1"/>
  <c r="A536" i="1"/>
  <c r="B536" i="1"/>
  <c r="C536" i="1"/>
  <c r="D536" i="1"/>
  <c r="E536" i="1"/>
  <c r="A534" i="1"/>
  <c r="B534" i="1"/>
  <c r="C534" i="1"/>
  <c r="D534" i="1"/>
  <c r="E534" i="1"/>
  <c r="A551" i="1"/>
  <c r="B551" i="1"/>
  <c r="C551" i="1"/>
  <c r="D551" i="1"/>
  <c r="E551" i="1"/>
  <c r="A552" i="1"/>
  <c r="B552" i="1"/>
  <c r="C552" i="1"/>
  <c r="D552" i="1"/>
  <c r="E552" i="1"/>
  <c r="A553" i="1"/>
  <c r="B553" i="1"/>
  <c r="C553" i="1"/>
  <c r="D553" i="1"/>
  <c r="E553" i="1"/>
  <c r="A133" i="1"/>
  <c r="B133" i="1"/>
  <c r="C133" i="1"/>
  <c r="D133" i="1"/>
  <c r="E133" i="1"/>
  <c r="A101" i="1"/>
  <c r="B101" i="1"/>
  <c r="C101" i="1"/>
  <c r="D101" i="1"/>
  <c r="E101" i="1"/>
  <c r="A143" i="1"/>
  <c r="B143" i="1"/>
  <c r="C143" i="1"/>
  <c r="D143" i="1"/>
  <c r="E143" i="1"/>
  <c r="A103" i="1"/>
  <c r="B103" i="1"/>
  <c r="C103" i="1"/>
  <c r="D103" i="1"/>
  <c r="E103" i="1"/>
  <c r="A394" i="1"/>
  <c r="B394" i="1"/>
  <c r="C394" i="1"/>
  <c r="D394" i="1"/>
  <c r="E394" i="1"/>
  <c r="A395" i="1"/>
  <c r="B395" i="1"/>
  <c r="C395" i="1"/>
  <c r="D395" i="1"/>
  <c r="E395" i="1"/>
  <c r="A453" i="1"/>
  <c r="B453" i="1"/>
  <c r="C453" i="1"/>
  <c r="D453" i="1"/>
  <c r="E453" i="1"/>
  <c r="A482" i="1"/>
  <c r="B482" i="1"/>
  <c r="C482" i="1"/>
  <c r="D482" i="1"/>
  <c r="E482" i="1"/>
  <c r="A484" i="1"/>
  <c r="B484" i="1"/>
  <c r="C484" i="1"/>
  <c r="D484" i="1"/>
  <c r="E484" i="1"/>
  <c r="A479" i="1"/>
  <c r="B479" i="1"/>
  <c r="C479" i="1"/>
  <c r="D479" i="1"/>
  <c r="E479" i="1"/>
  <c r="A473" i="1"/>
  <c r="B473" i="1"/>
  <c r="C473" i="1"/>
  <c r="D473" i="1"/>
  <c r="E473" i="1"/>
  <c r="A471" i="1"/>
  <c r="B471" i="1"/>
  <c r="C471" i="1"/>
  <c r="D471" i="1"/>
  <c r="E471" i="1"/>
  <c r="A523" i="1"/>
  <c r="B523" i="1"/>
  <c r="C523" i="1"/>
  <c r="D523" i="1"/>
  <c r="E523" i="1"/>
  <c r="A520" i="1"/>
  <c r="B520" i="1"/>
  <c r="C520" i="1"/>
  <c r="D520" i="1"/>
  <c r="E520" i="1"/>
  <c r="A335" i="1"/>
  <c r="B335" i="1"/>
  <c r="C335" i="1"/>
  <c r="D335" i="1"/>
  <c r="E335" i="1"/>
  <c r="A343" i="1"/>
  <c r="B343" i="1"/>
  <c r="C343" i="1"/>
  <c r="D343" i="1"/>
  <c r="E343" i="1"/>
  <c r="A425" i="1"/>
  <c r="B425" i="1"/>
  <c r="C425" i="1"/>
  <c r="D425" i="1"/>
  <c r="E425" i="1"/>
  <c r="A427" i="1"/>
  <c r="B427" i="1"/>
  <c r="C427" i="1"/>
  <c r="D427" i="1"/>
  <c r="E427" i="1"/>
  <c r="A411" i="1"/>
  <c r="B411" i="1"/>
  <c r="C411" i="1"/>
  <c r="D411" i="1"/>
  <c r="E411" i="1"/>
  <c r="A434" i="1"/>
  <c r="B434" i="1"/>
  <c r="C434" i="1"/>
  <c r="D434" i="1"/>
  <c r="E434" i="1"/>
  <c r="A436" i="1"/>
  <c r="B436" i="1"/>
  <c r="C436" i="1"/>
  <c r="D436" i="1"/>
  <c r="E436" i="1"/>
  <c r="A440" i="1"/>
  <c r="B440" i="1"/>
  <c r="C440" i="1"/>
  <c r="D440" i="1"/>
  <c r="E440" i="1"/>
  <c r="A409" i="1"/>
  <c r="B409" i="1"/>
  <c r="C409" i="1"/>
  <c r="D409" i="1"/>
  <c r="E409" i="1"/>
  <c r="A406" i="1"/>
  <c r="B406" i="1"/>
  <c r="C406" i="1"/>
  <c r="D406" i="1"/>
  <c r="E406" i="1"/>
  <c r="A680" i="1"/>
  <c r="B680" i="1"/>
  <c r="C680" i="1"/>
  <c r="D680" i="1"/>
  <c r="E680" i="1"/>
  <c r="A681" i="1"/>
  <c r="B681" i="1"/>
  <c r="C681" i="1"/>
  <c r="D681" i="1"/>
  <c r="E681" i="1"/>
  <c r="A674" i="1"/>
  <c r="B674" i="1"/>
  <c r="C674" i="1"/>
  <c r="D674" i="1"/>
  <c r="E674" i="1"/>
  <c r="A676" i="1"/>
  <c r="B676" i="1"/>
  <c r="C676" i="1"/>
  <c r="D676" i="1"/>
  <c r="E676" i="1"/>
  <c r="A667" i="1"/>
  <c r="B667" i="1"/>
  <c r="C667" i="1"/>
  <c r="D667" i="1"/>
  <c r="E667" i="1"/>
  <c r="A292" i="1"/>
  <c r="B292" i="1"/>
  <c r="C292" i="1"/>
  <c r="D292" i="1"/>
  <c r="E292" i="1"/>
  <c r="A316" i="1"/>
  <c r="B316" i="1"/>
  <c r="C316" i="1"/>
  <c r="D316" i="1"/>
  <c r="E316" i="1"/>
  <c r="A287" i="1"/>
  <c r="B287" i="1"/>
  <c r="C287" i="1"/>
  <c r="D287" i="1"/>
  <c r="E287" i="1"/>
  <c r="A318" i="1"/>
  <c r="B318" i="1"/>
  <c r="C318" i="1"/>
  <c r="D318" i="1"/>
  <c r="E318" i="1"/>
  <c r="A317" i="1"/>
  <c r="B317" i="1"/>
  <c r="C317" i="1"/>
  <c r="D317" i="1"/>
  <c r="E317" i="1"/>
  <c r="A786" i="1"/>
  <c r="B786" i="1"/>
  <c r="C786" i="1"/>
  <c r="D786" i="1"/>
  <c r="E786" i="1"/>
  <c r="A775" i="1"/>
  <c r="B775" i="1"/>
  <c r="C775" i="1"/>
  <c r="D775" i="1"/>
  <c r="E775" i="1"/>
  <c r="A777" i="1"/>
  <c r="B777" i="1"/>
  <c r="C777" i="1"/>
  <c r="D777" i="1"/>
  <c r="E777" i="1"/>
  <c r="A696" i="1"/>
  <c r="B696" i="1"/>
  <c r="C696" i="1"/>
  <c r="D696" i="1"/>
  <c r="E696" i="1"/>
  <c r="A697" i="1"/>
  <c r="B697" i="1"/>
  <c r="C697" i="1"/>
  <c r="D697" i="1"/>
  <c r="E697" i="1"/>
  <c r="A687" i="1"/>
  <c r="B687" i="1"/>
  <c r="C687" i="1"/>
  <c r="D687" i="1"/>
  <c r="E687" i="1"/>
  <c r="A688" i="1"/>
  <c r="B688" i="1"/>
  <c r="C688" i="1"/>
  <c r="D688" i="1"/>
  <c r="E688" i="1"/>
  <c r="A705" i="1"/>
  <c r="B705" i="1"/>
  <c r="C705" i="1"/>
  <c r="D705" i="1"/>
  <c r="E705" i="1"/>
  <c r="A706" i="1"/>
  <c r="B706" i="1"/>
  <c r="C706" i="1"/>
  <c r="D706" i="1"/>
  <c r="E706" i="1"/>
  <c r="A678" i="1"/>
  <c r="B678" i="1"/>
  <c r="C678" i="1"/>
  <c r="D678" i="1"/>
  <c r="E678" i="1"/>
  <c r="A942" i="1"/>
  <c r="B942" i="1"/>
  <c r="C942" i="1"/>
  <c r="D942" i="1"/>
  <c r="E942" i="1"/>
  <c r="A1115" i="1"/>
  <c r="B1115" i="1"/>
  <c r="C1115" i="1"/>
  <c r="D1115" i="1"/>
  <c r="E1115" i="1"/>
  <c r="A1102" i="1"/>
  <c r="B1102" i="1"/>
  <c r="C1102" i="1"/>
  <c r="D1102" i="1"/>
  <c r="E1102" i="1"/>
  <c r="A1113" i="1"/>
  <c r="B1113" i="1"/>
  <c r="C1113" i="1"/>
  <c r="D1113" i="1"/>
  <c r="E1113" i="1"/>
  <c r="A1110" i="1"/>
  <c r="B1110" i="1"/>
  <c r="C1110" i="1"/>
  <c r="D1110" i="1"/>
  <c r="E1110" i="1"/>
  <c r="A1093" i="1"/>
  <c r="B1093" i="1"/>
  <c r="C1093" i="1"/>
  <c r="D1093" i="1"/>
  <c r="E1093" i="1"/>
  <c r="A911" i="1"/>
  <c r="B911" i="1"/>
  <c r="C911" i="1"/>
  <c r="D911" i="1"/>
  <c r="E911" i="1"/>
  <c r="A897" i="1"/>
  <c r="B897" i="1"/>
  <c r="C897" i="1"/>
  <c r="D897" i="1"/>
  <c r="E897" i="1"/>
  <c r="A788" i="1"/>
  <c r="B788" i="1"/>
  <c r="C788" i="1"/>
  <c r="D788" i="1"/>
  <c r="E788" i="1"/>
  <c r="A791" i="1"/>
  <c r="B791" i="1"/>
  <c r="C791" i="1"/>
  <c r="D791" i="1"/>
  <c r="E791" i="1"/>
  <c r="A951" i="1"/>
  <c r="B951" i="1"/>
  <c r="C951" i="1"/>
  <c r="D951" i="1"/>
  <c r="E951" i="1"/>
  <c r="A1057" i="1"/>
  <c r="B1057" i="1"/>
  <c r="C1057" i="1"/>
  <c r="D1057" i="1"/>
  <c r="E1057" i="1"/>
  <c r="A1054" i="1"/>
  <c r="B1054" i="1"/>
  <c r="C1054" i="1"/>
  <c r="D1054" i="1"/>
  <c r="E1054" i="1"/>
  <c r="A1071" i="1"/>
  <c r="B1071" i="1"/>
  <c r="C1071" i="1"/>
  <c r="D1071" i="1"/>
  <c r="E1071" i="1"/>
  <c r="A1072" i="1"/>
  <c r="B1072" i="1"/>
  <c r="C1072" i="1"/>
  <c r="D1072" i="1"/>
  <c r="E1072" i="1"/>
  <c r="A1052" i="1"/>
  <c r="B1052" i="1"/>
  <c r="C1052" i="1"/>
  <c r="D1052" i="1"/>
  <c r="E1052" i="1"/>
  <c r="A1050" i="1"/>
  <c r="B1050" i="1"/>
  <c r="C1050" i="1"/>
  <c r="D1050" i="1"/>
  <c r="E1050" i="1"/>
  <c r="A1044" i="1"/>
  <c r="B1044" i="1"/>
  <c r="C1044" i="1"/>
  <c r="D1044" i="1"/>
  <c r="E1044" i="1"/>
  <c r="A946" i="1"/>
  <c r="B946" i="1"/>
  <c r="C946" i="1"/>
  <c r="D946" i="1"/>
  <c r="E946" i="1"/>
  <c r="A945" i="1"/>
  <c r="B945" i="1"/>
  <c r="C945" i="1"/>
  <c r="D945" i="1"/>
  <c r="E945" i="1"/>
  <c r="A1114" i="1"/>
  <c r="B1114" i="1"/>
  <c r="C1114" i="1"/>
  <c r="D1114" i="1"/>
  <c r="E1114" i="1"/>
  <c r="A1133" i="1"/>
  <c r="B1133" i="1"/>
  <c r="C1133" i="1"/>
  <c r="D1133" i="1"/>
  <c r="E1133" i="1"/>
  <c r="A1134" i="1"/>
  <c r="B1134" i="1"/>
  <c r="C1134" i="1"/>
  <c r="D1134" i="1"/>
  <c r="E1134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1140" i="1"/>
  <c r="B1140" i="1"/>
  <c r="C1140" i="1"/>
  <c r="D1140" i="1"/>
  <c r="E1140" i="1"/>
  <c r="A1141" i="1"/>
  <c r="B1141" i="1"/>
  <c r="C1141" i="1"/>
  <c r="D1141" i="1"/>
  <c r="E1141" i="1"/>
  <c r="A905" i="1"/>
  <c r="B905" i="1"/>
  <c r="C905" i="1"/>
  <c r="D905" i="1"/>
  <c r="E905" i="1"/>
  <c r="A1103" i="1"/>
  <c r="B1103" i="1"/>
  <c r="C1103" i="1"/>
  <c r="D1103" i="1"/>
  <c r="E1103" i="1"/>
  <c r="A1104" i="1"/>
  <c r="B1104" i="1"/>
  <c r="C1104" i="1"/>
  <c r="D1104" i="1"/>
  <c r="E1104" i="1"/>
  <c r="A1109" i="1"/>
  <c r="B1109" i="1"/>
  <c r="C1109" i="1"/>
  <c r="D1109" i="1"/>
  <c r="E1109" i="1"/>
  <c r="A1079" i="1"/>
  <c r="B1079" i="1"/>
  <c r="C1079" i="1"/>
  <c r="D1079" i="1"/>
  <c r="E1079" i="1"/>
  <c r="A1081" i="1"/>
  <c r="B1081" i="1"/>
  <c r="C1081" i="1"/>
  <c r="D1081" i="1"/>
  <c r="E1081" i="1"/>
  <c r="A1076" i="1"/>
  <c r="B1076" i="1"/>
  <c r="C1076" i="1"/>
  <c r="D1076" i="1"/>
  <c r="E1076" i="1"/>
  <c r="A1077" i="1"/>
  <c r="B1077" i="1"/>
  <c r="C1077" i="1"/>
  <c r="D1077" i="1"/>
  <c r="E1077" i="1"/>
  <c r="A1089" i="1"/>
  <c r="B1089" i="1"/>
  <c r="C1089" i="1"/>
  <c r="D1089" i="1"/>
  <c r="E1089" i="1"/>
  <c r="A1107" i="1"/>
  <c r="B1107" i="1"/>
  <c r="C1107" i="1"/>
  <c r="D1107" i="1"/>
  <c r="E1107" i="1"/>
  <c r="A162" i="1"/>
  <c r="B162" i="1"/>
  <c r="C162" i="1"/>
  <c r="D162" i="1"/>
  <c r="E162" i="1"/>
  <c r="A144" i="1"/>
  <c r="B144" i="1"/>
  <c r="C144" i="1"/>
  <c r="D144" i="1"/>
  <c r="E144" i="1"/>
  <c r="A571" i="1"/>
  <c r="B571" i="1"/>
  <c r="C571" i="1"/>
  <c r="D571" i="1"/>
  <c r="E571" i="1"/>
  <c r="A485" i="1"/>
  <c r="B485" i="1"/>
  <c r="C485" i="1"/>
  <c r="D485" i="1"/>
  <c r="E485" i="1"/>
  <c r="A456" i="1"/>
  <c r="B456" i="1"/>
  <c r="C456" i="1"/>
  <c r="D456" i="1"/>
  <c r="E456" i="1"/>
  <c r="A286" i="1"/>
  <c r="B286" i="1"/>
  <c r="C286" i="1"/>
  <c r="D286" i="1"/>
  <c r="E286" i="1"/>
  <c r="A875" i="1"/>
  <c r="B875" i="1"/>
  <c r="C875" i="1"/>
  <c r="D875" i="1"/>
  <c r="E875" i="1"/>
  <c r="A878" i="1"/>
  <c r="B878" i="1"/>
  <c r="C878" i="1"/>
  <c r="D878" i="1"/>
  <c r="E878" i="1"/>
  <c r="A865" i="1"/>
  <c r="B865" i="1"/>
  <c r="C865" i="1"/>
  <c r="D865" i="1"/>
  <c r="E865" i="1"/>
  <c r="A887" i="1"/>
  <c r="B887" i="1"/>
  <c r="C887" i="1"/>
  <c r="D887" i="1"/>
  <c r="E887" i="1"/>
  <c r="A128" i="1"/>
  <c r="B128" i="1"/>
  <c r="C128" i="1"/>
  <c r="D128" i="1"/>
  <c r="E128" i="1"/>
  <c r="A64" i="1"/>
  <c r="B64" i="1"/>
  <c r="C64" i="1"/>
  <c r="D64" i="1"/>
  <c r="E64" i="1"/>
  <c r="A142" i="1"/>
  <c r="B142" i="1"/>
  <c r="C142" i="1"/>
  <c r="D142" i="1"/>
  <c r="E142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85" i="1"/>
  <c r="B85" i="1"/>
  <c r="C85" i="1"/>
  <c r="D85" i="1"/>
  <c r="E85" i="1"/>
  <c r="A164" i="1"/>
  <c r="B164" i="1"/>
  <c r="C164" i="1"/>
  <c r="D164" i="1"/>
  <c r="E164" i="1"/>
  <c r="A168" i="1"/>
  <c r="B168" i="1"/>
  <c r="C168" i="1"/>
  <c r="D168" i="1"/>
  <c r="E168" i="1"/>
  <c r="A261" i="1"/>
  <c r="B261" i="1"/>
  <c r="C261" i="1"/>
  <c r="D261" i="1"/>
  <c r="E261" i="1"/>
  <c r="A268" i="1"/>
  <c r="B268" i="1"/>
  <c r="C268" i="1"/>
  <c r="D268" i="1"/>
  <c r="E268" i="1"/>
  <c r="A276" i="1"/>
  <c r="B276" i="1"/>
  <c r="C276" i="1"/>
  <c r="D276" i="1"/>
  <c r="E276" i="1"/>
  <c r="A281" i="1"/>
  <c r="B281" i="1"/>
  <c r="C281" i="1"/>
  <c r="D281" i="1"/>
  <c r="E281" i="1"/>
  <c r="A284" i="1"/>
  <c r="B284" i="1"/>
  <c r="C284" i="1"/>
  <c r="D284" i="1"/>
  <c r="E284" i="1"/>
  <c r="A283" i="1"/>
  <c r="B283" i="1"/>
  <c r="C283" i="1"/>
  <c r="D283" i="1"/>
  <c r="E283" i="1"/>
  <c r="A288" i="1"/>
  <c r="B288" i="1"/>
  <c r="C288" i="1"/>
  <c r="D288" i="1"/>
  <c r="E288" i="1"/>
  <c r="A262" i="1"/>
  <c r="B262" i="1"/>
  <c r="C262" i="1"/>
  <c r="D262" i="1"/>
  <c r="E262" i="1"/>
  <c r="A25" i="1"/>
  <c r="B25" i="1"/>
  <c r="C25" i="1"/>
  <c r="D25" i="1"/>
  <c r="E25" i="1"/>
  <c r="A89" i="1"/>
  <c r="B89" i="1"/>
  <c r="C89" i="1"/>
  <c r="D89" i="1"/>
  <c r="E89" i="1"/>
  <c r="A541" i="1"/>
  <c r="B541" i="1"/>
  <c r="C541" i="1"/>
  <c r="D541" i="1"/>
  <c r="E541" i="1"/>
  <c r="A542" i="1"/>
  <c r="B542" i="1"/>
  <c r="C542" i="1"/>
  <c r="D542" i="1"/>
  <c r="E542" i="1"/>
  <c r="A531" i="1"/>
  <c r="B531" i="1"/>
  <c r="C531" i="1"/>
  <c r="D531" i="1"/>
  <c r="E531" i="1"/>
  <c r="A532" i="1"/>
  <c r="B532" i="1"/>
  <c r="C532" i="1"/>
  <c r="D532" i="1"/>
  <c r="E532" i="1"/>
  <c r="A535" i="1"/>
  <c r="B535" i="1"/>
  <c r="C535" i="1"/>
  <c r="D535" i="1"/>
  <c r="E535" i="1"/>
  <c r="A537" i="1"/>
  <c r="B537" i="1"/>
  <c r="C537" i="1"/>
  <c r="D537" i="1"/>
  <c r="E537" i="1"/>
  <c r="A227" i="1"/>
  <c r="B227" i="1"/>
  <c r="C227" i="1"/>
  <c r="D227" i="1"/>
  <c r="E227" i="1"/>
  <c r="A95" i="1"/>
  <c r="B95" i="1"/>
  <c r="C95" i="1"/>
  <c r="D95" i="1"/>
  <c r="E95" i="1"/>
  <c r="A159" i="1"/>
  <c r="B159" i="1"/>
  <c r="C159" i="1"/>
  <c r="D159" i="1"/>
  <c r="E159" i="1"/>
  <c r="A249" i="1"/>
  <c r="B249" i="1"/>
  <c r="C249" i="1"/>
  <c r="D249" i="1"/>
  <c r="E249" i="1"/>
  <c r="A458" i="1"/>
  <c r="B458" i="1"/>
  <c r="C458" i="1"/>
  <c r="D458" i="1"/>
  <c r="E458" i="1"/>
  <c r="A475" i="1"/>
  <c r="B475" i="1"/>
  <c r="C475" i="1"/>
  <c r="D475" i="1"/>
  <c r="E475" i="1"/>
  <c r="A478" i="1"/>
  <c r="B478" i="1"/>
  <c r="C478" i="1"/>
  <c r="D478" i="1"/>
  <c r="E478" i="1"/>
  <c r="A483" i="1"/>
  <c r="B483" i="1"/>
  <c r="C483" i="1"/>
  <c r="D483" i="1"/>
  <c r="E483" i="1"/>
  <c r="A526" i="1"/>
  <c r="B526" i="1"/>
  <c r="C526" i="1"/>
  <c r="D526" i="1"/>
  <c r="E526" i="1"/>
  <c r="A527" i="1"/>
  <c r="B527" i="1"/>
  <c r="C527" i="1"/>
  <c r="D527" i="1"/>
  <c r="E527" i="1"/>
  <c r="A486" i="1"/>
  <c r="B486" i="1"/>
  <c r="C486" i="1"/>
  <c r="D486" i="1"/>
  <c r="E486" i="1"/>
  <c r="A540" i="1"/>
  <c r="B540" i="1"/>
  <c r="C540" i="1"/>
  <c r="D540" i="1"/>
  <c r="E540" i="1"/>
  <c r="A545" i="1"/>
  <c r="B545" i="1"/>
  <c r="C545" i="1"/>
  <c r="D545" i="1"/>
  <c r="E545" i="1"/>
  <c r="A546" i="1"/>
  <c r="B546" i="1"/>
  <c r="C546" i="1"/>
  <c r="D546" i="1"/>
  <c r="E546" i="1"/>
  <c r="A405" i="1"/>
  <c r="B405" i="1"/>
  <c r="C405" i="1"/>
  <c r="D405" i="1"/>
  <c r="E405" i="1"/>
  <c r="A398" i="1"/>
  <c r="B398" i="1"/>
  <c r="C398" i="1"/>
  <c r="D398" i="1"/>
  <c r="E398" i="1"/>
  <c r="A391" i="1"/>
  <c r="B391" i="1"/>
  <c r="C391" i="1"/>
  <c r="D391" i="1"/>
  <c r="E391" i="1"/>
  <c r="A385" i="1"/>
  <c r="B385" i="1"/>
  <c r="C385" i="1"/>
  <c r="D385" i="1"/>
  <c r="E385" i="1"/>
  <c r="A412" i="1"/>
  <c r="B412" i="1"/>
  <c r="C412" i="1"/>
  <c r="D412" i="1"/>
  <c r="E412" i="1"/>
  <c r="A422" i="1"/>
  <c r="B422" i="1"/>
  <c r="C422" i="1"/>
  <c r="D422" i="1"/>
  <c r="E422" i="1"/>
  <c r="A269" i="1"/>
  <c r="B269" i="1"/>
  <c r="C269" i="1"/>
  <c r="D269" i="1"/>
  <c r="E269" i="1"/>
  <c r="A277" i="1"/>
  <c r="B277" i="1"/>
  <c r="C277" i="1"/>
  <c r="D277" i="1"/>
  <c r="E277" i="1"/>
  <c r="A278" i="1"/>
  <c r="B278" i="1"/>
  <c r="C278" i="1"/>
  <c r="D278" i="1"/>
  <c r="E278" i="1"/>
  <c r="A451" i="1"/>
  <c r="B451" i="1"/>
  <c r="C451" i="1"/>
  <c r="D451" i="1"/>
  <c r="E451" i="1"/>
  <c r="A702" i="1"/>
  <c r="B702" i="1"/>
  <c r="C702" i="1"/>
  <c r="D702" i="1"/>
  <c r="E702" i="1"/>
  <c r="A800" i="1"/>
  <c r="B800" i="1"/>
  <c r="C800" i="1"/>
  <c r="D800" i="1"/>
  <c r="E800" i="1"/>
  <c r="A781" i="1"/>
  <c r="B781" i="1"/>
  <c r="C781" i="1"/>
  <c r="D781" i="1"/>
  <c r="E781" i="1"/>
  <c r="A784" i="1"/>
  <c r="B784" i="1"/>
  <c r="C784" i="1"/>
  <c r="D784" i="1"/>
  <c r="E784" i="1"/>
  <c r="A889" i="1"/>
  <c r="B889" i="1"/>
  <c r="C889" i="1"/>
  <c r="D889" i="1"/>
  <c r="E889" i="1"/>
  <c r="A899" i="1"/>
  <c r="B899" i="1"/>
  <c r="C899" i="1"/>
  <c r="D899" i="1"/>
  <c r="E899" i="1"/>
  <c r="A900" i="1"/>
  <c r="B900" i="1"/>
  <c r="C900" i="1"/>
  <c r="D900" i="1"/>
  <c r="E900" i="1"/>
  <c r="A891" i="1"/>
  <c r="B891" i="1"/>
  <c r="C891" i="1"/>
  <c r="D891" i="1"/>
  <c r="E891" i="1"/>
  <c r="A893" i="1"/>
  <c r="B893" i="1"/>
  <c r="C893" i="1"/>
  <c r="D893" i="1"/>
  <c r="E893" i="1"/>
  <c r="A882" i="1"/>
  <c r="B882" i="1"/>
  <c r="C882" i="1"/>
  <c r="D882" i="1"/>
  <c r="E882" i="1"/>
  <c r="A1095" i="1"/>
  <c r="B1095" i="1"/>
  <c r="C1095" i="1"/>
  <c r="D1095" i="1"/>
  <c r="E1095" i="1"/>
  <c r="A1097" i="1"/>
  <c r="B1097" i="1"/>
  <c r="C1097" i="1"/>
  <c r="D1097" i="1"/>
  <c r="E1097" i="1"/>
  <c r="A1098" i="1"/>
  <c r="B1098" i="1"/>
  <c r="C1098" i="1"/>
  <c r="D1098" i="1"/>
  <c r="E1098" i="1"/>
  <c r="A1099" i="1"/>
  <c r="B1099" i="1"/>
  <c r="C1099" i="1"/>
  <c r="D1099" i="1"/>
  <c r="E1099" i="1"/>
  <c r="A1100" i="1"/>
  <c r="B1100" i="1"/>
  <c r="C1100" i="1"/>
  <c r="D1100" i="1"/>
  <c r="E1100" i="1"/>
  <c r="A672" i="1"/>
  <c r="B672" i="1"/>
  <c r="C672" i="1"/>
  <c r="D672" i="1"/>
  <c r="E672" i="1"/>
  <c r="A673" i="1"/>
  <c r="B673" i="1"/>
  <c r="C673" i="1"/>
  <c r="D673" i="1"/>
  <c r="E673" i="1"/>
  <c r="A682" i="1"/>
  <c r="B682" i="1"/>
  <c r="C682" i="1"/>
  <c r="D682" i="1"/>
  <c r="E682" i="1"/>
  <c r="A695" i="1"/>
  <c r="B695" i="1"/>
  <c r="C695" i="1"/>
  <c r="D695" i="1"/>
  <c r="E695" i="1"/>
  <c r="A700" i="1"/>
  <c r="B700" i="1"/>
  <c r="C700" i="1"/>
  <c r="D700" i="1"/>
  <c r="E700" i="1"/>
  <c r="A1066" i="1"/>
  <c r="B1066" i="1"/>
  <c r="C1066" i="1"/>
  <c r="D1066" i="1"/>
  <c r="E1066" i="1"/>
  <c r="A1067" i="1"/>
  <c r="B1067" i="1"/>
  <c r="C1067" i="1"/>
  <c r="D1067" i="1"/>
  <c r="E1067" i="1"/>
  <c r="A1053" i="1"/>
  <c r="B1053" i="1"/>
  <c r="C1053" i="1"/>
  <c r="D1053" i="1"/>
  <c r="E1053" i="1"/>
  <c r="A1056" i="1"/>
  <c r="B1056" i="1"/>
  <c r="C1056" i="1"/>
  <c r="D1056" i="1"/>
  <c r="E1056" i="1"/>
  <c r="A1061" i="1"/>
  <c r="B1061" i="1"/>
  <c r="C1061" i="1"/>
  <c r="D1061" i="1"/>
  <c r="E1061" i="1"/>
  <c r="A976" i="1"/>
  <c r="B976" i="1"/>
  <c r="C976" i="1"/>
  <c r="D976" i="1"/>
  <c r="E976" i="1"/>
  <c r="A1082" i="1"/>
  <c r="B1082" i="1"/>
  <c r="C1082" i="1"/>
  <c r="D1082" i="1"/>
  <c r="E1082" i="1"/>
  <c r="A1073" i="1"/>
  <c r="B1073" i="1"/>
  <c r="C1073" i="1"/>
  <c r="D1073" i="1"/>
  <c r="E1073" i="1"/>
  <c r="A1075" i="1"/>
  <c r="B1075" i="1"/>
  <c r="C1075" i="1"/>
  <c r="D1075" i="1"/>
  <c r="E1075" i="1"/>
  <c r="A1078" i="1"/>
  <c r="B1078" i="1"/>
  <c r="C1078" i="1"/>
  <c r="D1078" i="1"/>
  <c r="E1078" i="1"/>
  <c r="A915" i="1"/>
  <c r="B915" i="1"/>
  <c r="C915" i="1"/>
  <c r="D915" i="1"/>
  <c r="E915" i="1"/>
  <c r="A787" i="1"/>
  <c r="B787" i="1"/>
  <c r="C787" i="1"/>
  <c r="D787" i="1"/>
  <c r="E787" i="1"/>
  <c r="A789" i="1"/>
  <c r="B789" i="1"/>
  <c r="C789" i="1"/>
  <c r="D789" i="1"/>
  <c r="E789" i="1"/>
  <c r="A809" i="1"/>
  <c r="B809" i="1"/>
  <c r="C809" i="1"/>
  <c r="D809" i="1"/>
  <c r="E809" i="1"/>
  <c r="A648" i="1"/>
  <c r="B648" i="1"/>
  <c r="C648" i="1"/>
  <c r="D648" i="1"/>
  <c r="E648" i="1"/>
  <c r="A1116" i="1"/>
  <c r="B1116" i="1"/>
  <c r="C1116" i="1"/>
  <c r="D1116" i="1"/>
  <c r="E1116" i="1"/>
  <c r="A1090" i="1"/>
  <c r="B1090" i="1"/>
  <c r="C1090" i="1"/>
  <c r="D1090" i="1"/>
  <c r="E1090" i="1"/>
  <c r="A1058" i="1"/>
  <c r="B1058" i="1"/>
  <c r="C1058" i="1"/>
  <c r="D1058" i="1"/>
  <c r="E1058" i="1"/>
  <c r="A1068" i="1"/>
  <c r="B1068" i="1"/>
  <c r="C1068" i="1"/>
  <c r="D1068" i="1"/>
  <c r="E1068" i="1"/>
  <c r="A1059" i="1"/>
  <c r="B1059" i="1"/>
  <c r="C1059" i="1"/>
  <c r="D1059" i="1"/>
  <c r="E1059" i="1"/>
  <c r="A21" i="1"/>
  <c r="B21" i="1"/>
  <c r="C21" i="1"/>
  <c r="D21" i="1"/>
  <c r="E21" i="1"/>
  <c r="A193" i="1"/>
  <c r="B193" i="1"/>
  <c r="C193" i="1"/>
  <c r="D193" i="1"/>
  <c r="E193" i="1"/>
  <c r="A235" i="1"/>
  <c r="B235" i="1"/>
  <c r="C235" i="1"/>
  <c r="D235" i="1"/>
  <c r="E235" i="1"/>
  <c r="A209" i="1"/>
  <c r="B209" i="1"/>
  <c r="C209" i="1"/>
  <c r="D209" i="1"/>
  <c r="E209" i="1"/>
  <c r="A574" i="1"/>
  <c r="B574" i="1"/>
  <c r="C574" i="1"/>
  <c r="D574" i="1"/>
  <c r="E574" i="1"/>
  <c r="A455" i="1"/>
  <c r="B455" i="1"/>
  <c r="C455" i="1"/>
  <c r="D455" i="1"/>
  <c r="E455" i="1"/>
  <c r="A401" i="1"/>
  <c r="B401" i="1"/>
  <c r="C401" i="1"/>
  <c r="D401" i="1"/>
  <c r="E401" i="1"/>
  <c r="A402" i="1"/>
  <c r="B402" i="1"/>
  <c r="C402" i="1"/>
  <c r="D402" i="1"/>
  <c r="E402" i="1"/>
  <c r="A913" i="1"/>
  <c r="B913" i="1"/>
  <c r="C913" i="1"/>
  <c r="D913" i="1"/>
  <c r="E913" i="1"/>
  <c r="A914" i="1"/>
  <c r="B914" i="1"/>
  <c r="C914" i="1"/>
  <c r="D914" i="1"/>
  <c r="E914" i="1"/>
  <c r="A73" i="1"/>
  <c r="B73" i="1"/>
  <c r="C73" i="1"/>
  <c r="D73" i="1"/>
  <c r="E73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1132" i="1"/>
  <c r="B1132" i="1"/>
  <c r="C1132" i="1"/>
  <c r="D1132" i="1"/>
  <c r="E1132" i="1"/>
  <c r="A1092" i="1"/>
  <c r="B1092" i="1"/>
  <c r="C1092" i="1"/>
  <c r="D1092" i="1"/>
  <c r="E1092" i="1"/>
  <c r="A938" i="1"/>
  <c r="B938" i="1"/>
  <c r="C938" i="1"/>
  <c r="D938" i="1"/>
  <c r="E938" i="1"/>
  <c r="A957" i="1"/>
  <c r="B957" i="1"/>
  <c r="C957" i="1"/>
  <c r="D957" i="1"/>
  <c r="E957" i="1"/>
  <c r="A1119" i="1"/>
  <c r="B1119" i="1"/>
  <c r="C1119" i="1"/>
  <c r="D1119" i="1"/>
  <c r="E1119" i="1"/>
  <c r="A881" i="1"/>
  <c r="B881" i="1"/>
  <c r="C881" i="1"/>
  <c r="D881" i="1"/>
  <c r="E881" i="1"/>
  <c r="A890" i="1"/>
  <c r="B890" i="1"/>
  <c r="C890" i="1"/>
  <c r="D890" i="1"/>
  <c r="E890" i="1"/>
  <c r="A903" i="1"/>
  <c r="B903" i="1"/>
  <c r="C903" i="1"/>
  <c r="D903" i="1"/>
  <c r="E903" i="1"/>
  <c r="A907" i="1"/>
  <c r="B907" i="1"/>
  <c r="C907" i="1"/>
  <c r="D907" i="1"/>
  <c r="E907" i="1"/>
  <c r="A547" i="1"/>
  <c r="B547" i="1"/>
  <c r="C547" i="1"/>
  <c r="D547" i="1"/>
  <c r="E547" i="1"/>
  <c r="A296" i="1"/>
  <c r="B296" i="1"/>
  <c r="C296" i="1"/>
  <c r="D296" i="1"/>
  <c r="E296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4" i="1"/>
  <c r="B344" i="1"/>
  <c r="C344" i="1"/>
  <c r="D344" i="1"/>
  <c r="E344" i="1"/>
  <c r="A659" i="1"/>
  <c r="B659" i="1"/>
  <c r="C659" i="1"/>
  <c r="D659" i="1"/>
  <c r="E659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194" i="1"/>
  <c r="B194" i="1"/>
  <c r="C194" i="1"/>
  <c r="D194" i="1"/>
  <c r="E194" i="1"/>
  <c r="A294" i="1"/>
  <c r="B294" i="1"/>
  <c r="C294" i="1"/>
  <c r="D294" i="1"/>
  <c r="E294" i="1"/>
  <c r="A295" i="1"/>
  <c r="B295" i="1"/>
  <c r="C295" i="1"/>
  <c r="D295" i="1"/>
  <c r="E295" i="1"/>
  <c r="A650" i="1"/>
  <c r="B650" i="1"/>
  <c r="C650" i="1"/>
  <c r="D650" i="1"/>
  <c r="E650" i="1"/>
  <c r="A649" i="1"/>
  <c r="B649" i="1"/>
  <c r="C649" i="1"/>
  <c r="D649" i="1"/>
  <c r="E649" i="1"/>
  <c r="A988" i="1"/>
  <c r="B988" i="1"/>
  <c r="C988" i="1"/>
  <c r="D988" i="1"/>
  <c r="E988" i="1"/>
  <c r="A952" i="1"/>
  <c r="B952" i="1"/>
  <c r="C952" i="1"/>
  <c r="D952" i="1"/>
  <c r="E952" i="1"/>
  <c r="A1127" i="1"/>
  <c r="B1127" i="1"/>
  <c r="C1127" i="1"/>
  <c r="D1127" i="1"/>
  <c r="E1127" i="1"/>
  <c r="A627" i="1"/>
  <c r="B627" i="1"/>
  <c r="C627" i="1"/>
  <c r="D627" i="1"/>
  <c r="E627" i="1"/>
  <c r="A321" i="1"/>
  <c r="B321" i="1"/>
  <c r="C321" i="1"/>
  <c r="D321" i="1"/>
  <c r="E321" i="1"/>
  <c r="A328" i="1"/>
  <c r="B328" i="1"/>
  <c r="C328" i="1"/>
  <c r="D328" i="1"/>
  <c r="E328" i="1"/>
  <c r="A234" i="1"/>
  <c r="B234" i="1"/>
  <c r="C234" i="1"/>
  <c r="D234" i="1"/>
  <c r="E234" i="1"/>
  <c r="A180" i="1"/>
  <c r="B180" i="1"/>
  <c r="C180" i="1"/>
  <c r="D180" i="1"/>
  <c r="E180" i="1"/>
  <c r="A378" i="1"/>
  <c r="B378" i="1"/>
  <c r="C378" i="1"/>
  <c r="D378" i="1"/>
  <c r="E378" i="1"/>
  <c r="A793" i="1"/>
  <c r="B793" i="1"/>
  <c r="C793" i="1"/>
  <c r="D793" i="1"/>
  <c r="E793" i="1"/>
  <c r="A655" i="1"/>
  <c r="B655" i="1"/>
  <c r="C655" i="1"/>
  <c r="D655" i="1"/>
  <c r="E655" i="1"/>
  <c r="A656" i="1"/>
  <c r="B656" i="1"/>
  <c r="C656" i="1"/>
  <c r="D656" i="1"/>
  <c r="E656" i="1"/>
  <c r="A654" i="1"/>
  <c r="B654" i="1"/>
  <c r="C654" i="1"/>
  <c r="D654" i="1"/>
  <c r="E654" i="1"/>
  <c r="A653" i="1"/>
  <c r="B653" i="1"/>
  <c r="C653" i="1"/>
  <c r="D653" i="1"/>
  <c r="E653" i="1"/>
  <c r="A657" i="1"/>
  <c r="B657" i="1"/>
  <c r="C657" i="1"/>
  <c r="D657" i="1"/>
  <c r="E657" i="1"/>
  <c r="A647" i="1"/>
  <c r="B647" i="1"/>
  <c r="C647" i="1"/>
  <c r="D647" i="1"/>
  <c r="E647" i="1"/>
  <c r="A652" i="1"/>
  <c r="B652" i="1"/>
  <c r="C652" i="1"/>
  <c r="D652" i="1"/>
  <c r="E652" i="1"/>
  <c r="A651" i="1"/>
  <c r="B651" i="1"/>
  <c r="C651" i="1"/>
  <c r="D651" i="1"/>
  <c r="E651" i="1"/>
  <c r="A206" i="1"/>
  <c r="B206" i="1"/>
  <c r="C206" i="1"/>
  <c r="D206" i="1"/>
  <c r="E206" i="1"/>
  <c r="A208" i="1"/>
  <c r="B208" i="1"/>
  <c r="C208" i="1"/>
  <c r="D208" i="1"/>
  <c r="E208" i="1"/>
  <c r="A207" i="1"/>
  <c r="B207" i="1"/>
  <c r="C207" i="1"/>
  <c r="D207" i="1"/>
  <c r="E207" i="1"/>
  <c r="A351" i="1"/>
  <c r="B351" i="1"/>
  <c r="C351" i="1"/>
  <c r="D351" i="1"/>
  <c r="E351" i="1"/>
  <c r="A352" i="1"/>
  <c r="B352" i="1"/>
  <c r="C352" i="1"/>
  <c r="D352" i="1"/>
  <c r="E352" i="1"/>
  <c r="A353" i="1"/>
  <c r="B353" i="1"/>
  <c r="C353" i="1"/>
  <c r="D353" i="1"/>
  <c r="E353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77" i="1"/>
  <c r="B377" i="1"/>
  <c r="C377" i="1"/>
  <c r="D377" i="1"/>
  <c r="E377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52" i="1"/>
  <c r="B52" i="1"/>
  <c r="C52" i="1"/>
  <c r="D52" i="1"/>
  <c r="E52" i="1"/>
  <c r="A48" i="1"/>
  <c r="B48" i="1"/>
  <c r="C48" i="1"/>
  <c r="D48" i="1"/>
  <c r="E48" i="1"/>
  <c r="A210" i="1"/>
  <c r="B210" i="1"/>
  <c r="C210" i="1"/>
  <c r="D210" i="1"/>
  <c r="E210" i="1"/>
  <c r="A508" i="1"/>
  <c r="B508" i="1"/>
  <c r="C508" i="1"/>
  <c r="D508" i="1"/>
  <c r="E508" i="1"/>
  <c r="A226" i="1"/>
  <c r="B226" i="1"/>
  <c r="C226" i="1"/>
  <c r="D226" i="1"/>
  <c r="E226" i="1"/>
  <c r="A230" i="1"/>
  <c r="B230" i="1"/>
  <c r="C230" i="1"/>
  <c r="D230" i="1"/>
  <c r="E230" i="1"/>
  <c r="A224" i="1"/>
  <c r="B224" i="1"/>
  <c r="C224" i="1"/>
  <c r="D224" i="1"/>
  <c r="E224" i="1"/>
  <c r="A229" i="1"/>
  <c r="B229" i="1"/>
  <c r="C229" i="1"/>
  <c r="D229" i="1"/>
  <c r="E229" i="1"/>
  <c r="A225" i="1"/>
  <c r="B225" i="1"/>
  <c r="C225" i="1"/>
  <c r="D225" i="1"/>
  <c r="E225" i="1"/>
  <c r="A228" i="1"/>
  <c r="B228" i="1"/>
  <c r="C228" i="1"/>
  <c r="D228" i="1"/>
  <c r="E228" i="1"/>
  <c r="A309" i="1"/>
  <c r="B309" i="1"/>
  <c r="C309" i="1"/>
  <c r="D309" i="1"/>
  <c r="E309" i="1"/>
  <c r="A304" i="1"/>
  <c r="B304" i="1"/>
  <c r="C304" i="1"/>
  <c r="D304" i="1"/>
  <c r="E304" i="1"/>
  <c r="A198" i="1"/>
  <c r="B198" i="1"/>
  <c r="C198" i="1"/>
  <c r="D198" i="1"/>
  <c r="E198" i="1"/>
  <c r="A32" i="1"/>
  <c r="B32" i="1"/>
  <c r="C32" i="1"/>
  <c r="D32" i="1"/>
  <c r="E32" i="1"/>
  <c r="A10" i="1"/>
  <c r="B10" i="1"/>
  <c r="C10" i="1"/>
  <c r="D10" i="1"/>
  <c r="E10" i="1"/>
  <c r="A172" i="1"/>
  <c r="B172" i="1"/>
  <c r="C172" i="1"/>
  <c r="D172" i="1"/>
  <c r="E172" i="1"/>
  <c r="A217" i="1"/>
  <c r="B217" i="1"/>
  <c r="C217" i="1"/>
  <c r="D217" i="1"/>
  <c r="E217" i="1"/>
  <c r="A214" i="1"/>
  <c r="B214" i="1"/>
  <c r="C214" i="1"/>
  <c r="D214" i="1"/>
  <c r="E214" i="1"/>
  <c r="A324" i="1"/>
  <c r="B324" i="1"/>
  <c r="C324" i="1"/>
  <c r="D324" i="1"/>
  <c r="E324" i="1"/>
  <c r="A334" i="1"/>
  <c r="B334" i="1"/>
  <c r="C334" i="1"/>
  <c r="D334" i="1"/>
  <c r="E334" i="1"/>
  <c r="A332" i="1"/>
  <c r="B332" i="1"/>
  <c r="C332" i="1"/>
  <c r="D332" i="1"/>
  <c r="E332" i="1"/>
  <c r="A490" i="1"/>
  <c r="B490" i="1"/>
  <c r="C490" i="1"/>
  <c r="D490" i="1"/>
  <c r="E490" i="1"/>
  <c r="A493" i="1"/>
  <c r="B493" i="1"/>
  <c r="C493" i="1"/>
  <c r="D493" i="1"/>
  <c r="E493" i="1"/>
  <c r="A989" i="1"/>
  <c r="B989" i="1"/>
  <c r="C989" i="1"/>
  <c r="D989" i="1"/>
  <c r="E989" i="1"/>
  <c r="A734" i="1"/>
  <c r="B734" i="1"/>
  <c r="C734" i="1"/>
  <c r="D734" i="1"/>
  <c r="E734" i="1"/>
  <c r="A745" i="1"/>
  <c r="B745" i="1"/>
  <c r="C745" i="1"/>
  <c r="D745" i="1"/>
  <c r="E745" i="1"/>
  <c r="A750" i="1"/>
  <c r="B750" i="1"/>
  <c r="C750" i="1"/>
  <c r="D750" i="1"/>
  <c r="E750" i="1"/>
  <c r="A754" i="1"/>
  <c r="B754" i="1"/>
  <c r="C754" i="1"/>
  <c r="D754" i="1"/>
  <c r="E754" i="1"/>
  <c r="A756" i="1"/>
  <c r="B756" i="1"/>
  <c r="C756" i="1"/>
  <c r="D756" i="1"/>
  <c r="E756" i="1"/>
  <c r="A765" i="1"/>
  <c r="B765" i="1"/>
  <c r="C765" i="1"/>
  <c r="D765" i="1"/>
  <c r="E765" i="1"/>
  <c r="A869" i="1"/>
  <c r="B869" i="1"/>
  <c r="C869" i="1"/>
  <c r="D869" i="1"/>
  <c r="E869" i="1"/>
  <c r="A500" i="1"/>
  <c r="B500" i="1"/>
  <c r="C500" i="1"/>
  <c r="D500" i="1"/>
  <c r="E500" i="1"/>
  <c r="A36" i="1"/>
  <c r="B36" i="1"/>
  <c r="C36" i="1"/>
  <c r="D36" i="1"/>
  <c r="E36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58" i="1"/>
  <c r="B258" i="1"/>
  <c r="C258" i="1"/>
  <c r="D258" i="1"/>
  <c r="E258" i="1"/>
  <c r="A105" i="1"/>
  <c r="B105" i="1"/>
  <c r="C105" i="1"/>
  <c r="D105" i="1"/>
  <c r="E105" i="1"/>
  <c r="A389" i="1"/>
  <c r="B389" i="1"/>
  <c r="C389" i="1"/>
  <c r="D389" i="1"/>
  <c r="E389" i="1"/>
  <c r="A548" i="1"/>
  <c r="B548" i="1"/>
  <c r="C548" i="1"/>
  <c r="D548" i="1"/>
  <c r="E548" i="1"/>
  <c r="A956" i="1"/>
  <c r="B956" i="1"/>
  <c r="C956" i="1"/>
  <c r="D956" i="1"/>
  <c r="E956" i="1"/>
  <c r="A1002" i="1"/>
  <c r="B1002" i="1"/>
  <c r="C1002" i="1"/>
  <c r="D1002" i="1"/>
  <c r="E1002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68" i="1"/>
  <c r="B368" i="1"/>
  <c r="C368" i="1"/>
  <c r="D368" i="1"/>
  <c r="E368" i="1"/>
  <c r="A375" i="1"/>
  <c r="B375" i="1"/>
  <c r="C375" i="1"/>
  <c r="D375" i="1"/>
  <c r="E375" i="1"/>
  <c r="A376" i="1"/>
  <c r="B376" i="1"/>
  <c r="C376" i="1"/>
  <c r="D376" i="1"/>
  <c r="E376" i="1"/>
  <c r="A1126" i="1"/>
  <c r="B1126" i="1"/>
  <c r="C1126" i="1"/>
  <c r="D1126" i="1"/>
  <c r="E1126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40" i="1"/>
  <c r="B340" i="1"/>
  <c r="C340" i="1"/>
  <c r="D340" i="1"/>
  <c r="E340" i="1"/>
  <c r="A336" i="1"/>
  <c r="B336" i="1"/>
  <c r="C336" i="1"/>
  <c r="D336" i="1"/>
  <c r="E336" i="1"/>
  <c r="A337" i="1"/>
  <c r="B337" i="1"/>
  <c r="C337" i="1"/>
  <c r="D337" i="1"/>
  <c r="E337" i="1"/>
  <c r="A349" i="1"/>
  <c r="B349" i="1"/>
  <c r="C349" i="1"/>
  <c r="D349" i="1"/>
  <c r="E349" i="1"/>
  <c r="A323" i="1"/>
  <c r="B323" i="1"/>
  <c r="C323" i="1"/>
  <c r="D323" i="1"/>
  <c r="E323" i="1"/>
  <c r="A615" i="1"/>
  <c r="B615" i="1"/>
  <c r="C615" i="1"/>
  <c r="D615" i="1"/>
  <c r="E615" i="1"/>
  <c r="A616" i="1"/>
  <c r="B616" i="1"/>
  <c r="C616" i="1"/>
  <c r="D616" i="1"/>
  <c r="E616" i="1"/>
  <c r="A617" i="1"/>
  <c r="B617" i="1"/>
  <c r="C617" i="1"/>
  <c r="D617" i="1"/>
  <c r="E617" i="1"/>
  <c r="A300" i="1"/>
  <c r="B300" i="1"/>
  <c r="C300" i="1"/>
  <c r="D300" i="1"/>
  <c r="E300" i="1"/>
  <c r="A303" i="1"/>
  <c r="B303" i="1"/>
  <c r="C303" i="1"/>
  <c r="D303" i="1"/>
  <c r="E303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30" i="1"/>
  <c r="B1130" i="1"/>
  <c r="C1130" i="1"/>
  <c r="D1130" i="1"/>
  <c r="E1130" i="1"/>
  <c r="A711" i="1"/>
  <c r="B711" i="1"/>
  <c r="C711" i="1"/>
  <c r="D711" i="1"/>
  <c r="E711" i="1"/>
  <c r="A712" i="1"/>
  <c r="B712" i="1"/>
  <c r="C712" i="1"/>
  <c r="D712" i="1"/>
  <c r="E712" i="1"/>
  <c r="A196" i="1"/>
  <c r="B196" i="1"/>
  <c r="C196" i="1"/>
  <c r="D196" i="1"/>
  <c r="E196" i="1"/>
  <c r="A195" i="1"/>
  <c r="B195" i="1"/>
  <c r="C195" i="1"/>
  <c r="D195" i="1"/>
  <c r="E195" i="1"/>
  <c r="A310" i="1"/>
  <c r="B310" i="1"/>
  <c r="C310" i="1"/>
  <c r="D310" i="1"/>
  <c r="E310" i="1"/>
  <c r="A339" i="1"/>
  <c r="B339" i="1"/>
  <c r="C339" i="1"/>
  <c r="D339" i="1"/>
  <c r="E339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<sst xmlns="http://schemas.openxmlformats.org/spreadsheetml/2006/main" count="46" uniqueCount="46">
  <si>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</si>
  <si>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</si>
  <si>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</si>
  <si>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</si>
  <si>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</si>
  <si>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</si>
  <si>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</si>
  <si>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</si>
  <si>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</si>
  <si>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</si>
  <si>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</si>
  <si>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</si>
  <si>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</si>
  <si>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</si>
  <si>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</si>
  <si>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</si>
  <si>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</si>
  <si>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</si>
  <si>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</si>
  <si>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</si>
  <si>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</si>
  <si>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</si>
  <si>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</si>
  <si>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</si>
  <si>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</si>
  <si>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</si>
  <si>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</si>
  <si>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</si>
  <si>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</si>
  <si>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</si>
  <si>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</si>
  <si>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</si>
  <si>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</si>
  <si>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</si>
  <si>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</si>
  <si>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</si>
  <si>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</si>
  <si>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</si>
  <si>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</si>
  <si>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</si>
  <si>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</si>
  <si>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</si>
  <si>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</si>
  <si>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</si>
  <si>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</si>
  <si>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 xml:space="preserve">جمع هزینه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</si>
</sst>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3"/>
  <sheetViews>
    <sheetView rightToLeft="1" tabSelected="1" topLeftCell="AQ1130" workbookViewId="0">
      <selection activeCell="AT1130" sqref="AT1:AT104857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1.42578125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18.7109375" style="1" bestFit="1" customWidth="1"/>
    <col min="41" max="41" width="24.5703125" style="1" bestFit="1" customWidth="1"/>
    <col min="42" max="42" width="17.140625" style="1" bestFit="1" customWidth="1"/>
    <col min="43" max="43" width="21.85546875" style="1" bestFit="1" customWidth="1"/>
    <col min="44" max="44" width="40.7109375" style="1" bestFit="1" customWidth="1"/>
    <col min="45" max="45" width="18.28515625" style="1" bestFit="1" customWidth="1"/>
    <col min="46" max="46" width="17" style="3" bestFit="1" customWidth="1"/>
    <col min="47" max="16384" width="9.140625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5</v>
      </c>
      <c r="AS1" s="2" t="s">
        <v>6</v>
      </c>
      <c r="AT1" s="3" t="s">
        <v>45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21703482</v>
      </c>
      <c r="G2" s="1">
        <v>15646873</v>
      </c>
      <c r="H2" s="1">
        <v>0</v>
      </c>
      <c r="I2" s="1">
        <v>24653727</v>
      </c>
      <c r="J2" s="1">
        <v>0</v>
      </c>
      <c r="K2" s="1">
        <v>4620000</v>
      </c>
      <c r="L2" s="1">
        <v>0</v>
      </c>
      <c r="M2" s="1">
        <v>1000000</v>
      </c>
      <c r="N2" s="1">
        <v>4285273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28341799</v>
      </c>
      <c r="W2" s="1">
        <v>4000000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3367000</v>
      </c>
      <c r="AF2" s="1">
        <v>3670854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10039782</v>
      </c>
      <c r="AM2" s="1">
        <v>0</v>
      </c>
      <c r="AN2" s="1">
        <v>0</v>
      </c>
      <c r="AO2" s="1">
        <v>121328790</v>
      </c>
      <c r="AP2" s="1">
        <v>52124680</v>
      </c>
      <c r="AQ2" s="1">
        <v>69204110</v>
      </c>
      <c r="AR2" s="1">
        <v>23531587</v>
      </c>
      <c r="AS2" s="1">
        <v>3529738</v>
      </c>
      <c r="AT2" s="3">
        <f>AO2+AR2+AS2</f>
        <v>148390115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17" si="1">"قراردادي کارگري"</f>
        <v>قراردادي کارگري</v>
      </c>
      <c r="E3" s="1" t="str">
        <f t="shared" si="0"/>
        <v>پروژه تعميرات نيروگاه بوشهر</v>
      </c>
      <c r="F3" s="1">
        <v>0</v>
      </c>
      <c r="G3" s="1">
        <v>8746378</v>
      </c>
      <c r="H3" s="1">
        <v>0</v>
      </c>
      <c r="I3" s="1">
        <v>11242066</v>
      </c>
      <c r="J3" s="1">
        <v>0</v>
      </c>
      <c r="K3" s="1">
        <v>0</v>
      </c>
      <c r="L3" s="1">
        <v>11331151</v>
      </c>
      <c r="M3" s="1">
        <v>2000000</v>
      </c>
      <c r="N3" s="1">
        <v>6378477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2640000</v>
      </c>
      <c r="U3" s="1">
        <v>0</v>
      </c>
      <c r="V3" s="1">
        <v>15428964</v>
      </c>
      <c r="W3" s="1">
        <v>4000000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73726681</v>
      </c>
      <c r="AP3" s="1">
        <v>9809788</v>
      </c>
      <c r="AQ3" s="1">
        <v>63916893</v>
      </c>
      <c r="AR3" s="1">
        <v>14745336</v>
      </c>
      <c r="AS3" s="1">
        <v>2211800</v>
      </c>
      <c r="AT3" s="3">
        <f t="shared" ref="AT3:AT66" si="2">AO3+AR3+AS3</f>
        <v>90683817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0</v>
      </c>
      <c r="G4" s="1">
        <v>9850875</v>
      </c>
      <c r="H4" s="1">
        <v>0</v>
      </c>
      <c r="I4" s="1">
        <v>8802638</v>
      </c>
      <c r="J4" s="1">
        <v>0</v>
      </c>
      <c r="K4" s="1">
        <v>0</v>
      </c>
      <c r="L4" s="1">
        <v>11572430</v>
      </c>
      <c r="M4" s="1">
        <v>2000000</v>
      </c>
      <c r="N4" s="1">
        <v>4776255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2640000</v>
      </c>
      <c r="U4" s="1">
        <v>0</v>
      </c>
      <c r="V4" s="1">
        <v>9399094</v>
      </c>
      <c r="W4" s="1">
        <v>4000000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5133931</v>
      </c>
      <c r="AE4" s="1">
        <v>0</v>
      </c>
      <c r="AF4" s="1">
        <v>3670854</v>
      </c>
      <c r="AG4" s="1">
        <v>0</v>
      </c>
      <c r="AH4" s="1">
        <v>0</v>
      </c>
      <c r="AI4" s="1">
        <v>0</v>
      </c>
      <c r="AJ4" s="1">
        <v>3940350</v>
      </c>
      <c r="AK4" s="1">
        <v>0</v>
      </c>
      <c r="AL4" s="1">
        <v>0</v>
      </c>
      <c r="AM4" s="1">
        <v>0</v>
      </c>
      <c r="AN4" s="1">
        <v>0</v>
      </c>
      <c r="AO4" s="1">
        <v>74861312</v>
      </c>
      <c r="AP4" s="1">
        <v>3919902</v>
      </c>
      <c r="AQ4" s="1">
        <v>70941410</v>
      </c>
      <c r="AR4" s="1">
        <v>0</v>
      </c>
      <c r="AS4" s="1">
        <v>0</v>
      </c>
      <c r="AT4" s="3">
        <f t="shared" si="2"/>
        <v>74861312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0</v>
      </c>
      <c r="G5" s="1">
        <v>0</v>
      </c>
      <c r="H5" s="1">
        <v>0</v>
      </c>
      <c r="I5" s="1">
        <v>7942358</v>
      </c>
      <c r="J5" s="1">
        <v>0</v>
      </c>
      <c r="K5" s="1">
        <v>0</v>
      </c>
      <c r="L5" s="1">
        <v>11550467</v>
      </c>
      <c r="M5" s="1">
        <v>2000000</v>
      </c>
      <c r="N5" s="1">
        <v>4727594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2640000</v>
      </c>
      <c r="U5" s="1">
        <v>0</v>
      </c>
      <c r="V5" s="1">
        <v>17844335</v>
      </c>
      <c r="W5" s="1">
        <v>4000000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5051341</v>
      </c>
      <c r="AE5" s="1">
        <v>0</v>
      </c>
      <c r="AF5" s="1">
        <v>3670854</v>
      </c>
      <c r="AG5" s="1">
        <v>0</v>
      </c>
      <c r="AH5" s="1">
        <v>0</v>
      </c>
      <c r="AI5" s="1">
        <v>0</v>
      </c>
      <c r="AJ5" s="1">
        <v>6980121</v>
      </c>
      <c r="AK5" s="1">
        <v>0</v>
      </c>
      <c r="AL5" s="1">
        <v>0</v>
      </c>
      <c r="AM5" s="1">
        <v>0</v>
      </c>
      <c r="AN5" s="1">
        <v>0</v>
      </c>
      <c r="AO5" s="1">
        <v>75862258</v>
      </c>
      <c r="AP5" s="1">
        <v>22652342</v>
      </c>
      <c r="AQ5" s="1">
        <v>53209916</v>
      </c>
      <c r="AR5" s="1">
        <v>14438281</v>
      </c>
      <c r="AS5" s="1">
        <v>2165742</v>
      </c>
      <c r="AT5" s="3">
        <f t="shared" si="2"/>
        <v>92466281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0</v>
      </c>
      <c r="G6" s="1">
        <v>3449215</v>
      </c>
      <c r="H6" s="1">
        <v>0</v>
      </c>
      <c r="I6" s="1">
        <v>9178862</v>
      </c>
      <c r="J6" s="1">
        <v>0</v>
      </c>
      <c r="K6" s="1">
        <v>0</v>
      </c>
      <c r="L6" s="1">
        <v>11521166</v>
      </c>
      <c r="M6" s="1">
        <v>2000000</v>
      </c>
      <c r="N6" s="1">
        <v>5139340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2640000</v>
      </c>
      <c r="U6" s="1">
        <v>0</v>
      </c>
      <c r="V6" s="1">
        <v>18707342</v>
      </c>
      <c r="W6" s="1">
        <v>4000000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5340617</v>
      </c>
      <c r="AE6" s="1">
        <v>0</v>
      </c>
      <c r="AF6" s="1">
        <v>5506281</v>
      </c>
      <c r="AG6" s="1">
        <v>0</v>
      </c>
      <c r="AH6" s="1">
        <v>0</v>
      </c>
      <c r="AI6" s="1">
        <v>0</v>
      </c>
      <c r="AJ6" s="1">
        <v>7358326</v>
      </c>
      <c r="AK6" s="1">
        <v>0</v>
      </c>
      <c r="AL6" s="1">
        <v>0</v>
      </c>
      <c r="AM6" s="1">
        <v>0</v>
      </c>
      <c r="AN6" s="1">
        <v>0</v>
      </c>
      <c r="AO6" s="1">
        <v>84605895</v>
      </c>
      <c r="AP6" s="1">
        <v>17996145</v>
      </c>
      <c r="AQ6" s="1">
        <v>66609750</v>
      </c>
      <c r="AR6" s="1">
        <v>15819923</v>
      </c>
      <c r="AS6" s="1">
        <v>2372988</v>
      </c>
      <c r="AT6" s="3">
        <f t="shared" si="2"/>
        <v>102798806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0</v>
      </c>
      <c r="G7" s="1">
        <v>10099453</v>
      </c>
      <c r="H7" s="1">
        <v>0</v>
      </c>
      <c r="I7" s="1">
        <v>8379409</v>
      </c>
      <c r="J7" s="1">
        <v>0</v>
      </c>
      <c r="K7" s="1">
        <v>0</v>
      </c>
      <c r="L7" s="1">
        <v>11521166</v>
      </c>
      <c r="M7" s="1">
        <v>2000000</v>
      </c>
      <c r="N7" s="1">
        <v>4911009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2640000</v>
      </c>
      <c r="U7" s="1">
        <v>0</v>
      </c>
      <c r="V7" s="1">
        <v>9351086</v>
      </c>
      <c r="W7" s="1">
        <v>4000000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5102959</v>
      </c>
      <c r="AE7" s="1">
        <v>0</v>
      </c>
      <c r="AF7" s="1">
        <v>3670854</v>
      </c>
      <c r="AG7" s="1">
        <v>0</v>
      </c>
      <c r="AH7" s="1">
        <v>0</v>
      </c>
      <c r="AI7" s="1">
        <v>0</v>
      </c>
      <c r="AJ7" s="1">
        <v>5876045</v>
      </c>
      <c r="AK7" s="1">
        <v>0</v>
      </c>
      <c r="AL7" s="1">
        <v>0</v>
      </c>
      <c r="AM7" s="1">
        <v>0</v>
      </c>
      <c r="AN7" s="1">
        <v>0</v>
      </c>
      <c r="AO7" s="1">
        <v>76760122</v>
      </c>
      <c r="AP7" s="1">
        <v>13883174</v>
      </c>
      <c r="AQ7" s="1">
        <v>62876948</v>
      </c>
      <c r="AR7" s="1">
        <v>14617854</v>
      </c>
      <c r="AS7" s="1">
        <v>2192678</v>
      </c>
      <c r="AT7" s="3">
        <f t="shared" si="2"/>
        <v>93570654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0</v>
      </c>
      <c r="G8" s="1">
        <v>4361322</v>
      </c>
      <c r="H8" s="1">
        <v>0</v>
      </c>
      <c r="I8" s="1">
        <v>10941180</v>
      </c>
      <c r="J8" s="1">
        <v>0</v>
      </c>
      <c r="K8" s="1">
        <v>0</v>
      </c>
      <c r="L8" s="1">
        <v>11521166</v>
      </c>
      <c r="M8" s="1">
        <v>2000000</v>
      </c>
      <c r="N8" s="1">
        <v>6722691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2640000</v>
      </c>
      <c r="U8" s="1">
        <v>0</v>
      </c>
      <c r="V8" s="1">
        <v>17724343</v>
      </c>
      <c r="W8" s="1">
        <v>4000000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1871573</v>
      </c>
      <c r="AD8" s="1">
        <v>0</v>
      </c>
      <c r="AE8" s="1">
        <v>0</v>
      </c>
      <c r="AF8" s="1">
        <v>3670854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78478343</v>
      </c>
      <c r="AP8" s="1">
        <v>20253967</v>
      </c>
      <c r="AQ8" s="1">
        <v>58224376</v>
      </c>
      <c r="AR8" s="1">
        <v>14961498</v>
      </c>
      <c r="AS8" s="1">
        <v>2244225</v>
      </c>
      <c r="AT8" s="3">
        <f t="shared" si="2"/>
        <v>95684066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0</v>
      </c>
      <c r="G9" s="1">
        <v>0</v>
      </c>
      <c r="H9" s="1">
        <v>0</v>
      </c>
      <c r="I9" s="1">
        <v>8703465</v>
      </c>
      <c r="J9" s="1">
        <v>0</v>
      </c>
      <c r="K9" s="1">
        <v>0</v>
      </c>
      <c r="L9" s="1">
        <v>11521166</v>
      </c>
      <c r="M9" s="1">
        <v>2000000</v>
      </c>
      <c r="N9" s="1">
        <v>5012074</v>
      </c>
      <c r="O9" s="1">
        <v>0</v>
      </c>
      <c r="P9" s="1">
        <v>0</v>
      </c>
      <c r="Q9" s="1">
        <v>0</v>
      </c>
      <c r="R9" s="1">
        <v>246798</v>
      </c>
      <c r="S9" s="1">
        <v>0</v>
      </c>
      <c r="T9" s="1">
        <v>2640000</v>
      </c>
      <c r="U9" s="1">
        <v>0</v>
      </c>
      <c r="V9" s="1">
        <v>13393765</v>
      </c>
      <c r="W9" s="1">
        <v>4000000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1835427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58812984</v>
      </c>
      <c r="AP9" s="1">
        <v>13783835</v>
      </c>
      <c r="AQ9" s="1">
        <v>45029149</v>
      </c>
      <c r="AR9" s="1">
        <v>11346152</v>
      </c>
      <c r="AS9" s="1">
        <v>1701923</v>
      </c>
      <c r="AT9" s="3">
        <f t="shared" si="2"/>
        <v>71861059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0</v>
      </c>
      <c r="G10" s="1">
        <v>10804689</v>
      </c>
      <c r="H10" s="1">
        <v>0</v>
      </c>
      <c r="I10" s="1">
        <v>9683619</v>
      </c>
      <c r="J10" s="1">
        <v>0</v>
      </c>
      <c r="K10" s="1">
        <v>0</v>
      </c>
      <c r="L10" s="1">
        <v>11521166</v>
      </c>
      <c r="M10" s="1">
        <v>2000000</v>
      </c>
      <c r="N10" s="1">
        <v>5289066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2640000</v>
      </c>
      <c r="U10" s="1">
        <v>0</v>
      </c>
      <c r="V10" s="1">
        <v>9922394</v>
      </c>
      <c r="W10" s="1">
        <v>4000000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5471544</v>
      </c>
      <c r="AE10" s="1">
        <v>0</v>
      </c>
      <c r="AF10" s="1">
        <v>7341708</v>
      </c>
      <c r="AG10" s="1">
        <v>0</v>
      </c>
      <c r="AH10" s="1">
        <v>0</v>
      </c>
      <c r="AI10" s="1">
        <v>0</v>
      </c>
      <c r="AJ10" s="1">
        <v>4190910</v>
      </c>
      <c r="AK10" s="1">
        <v>0</v>
      </c>
      <c r="AL10" s="1">
        <v>0</v>
      </c>
      <c r="AM10" s="1">
        <v>0</v>
      </c>
      <c r="AN10" s="1">
        <v>0</v>
      </c>
      <c r="AO10" s="1">
        <v>82848209</v>
      </c>
      <c r="AP10" s="1">
        <v>12238900</v>
      </c>
      <c r="AQ10" s="1">
        <v>70609309</v>
      </c>
      <c r="AR10" s="1">
        <v>15101300</v>
      </c>
      <c r="AS10" s="1">
        <v>2265195</v>
      </c>
      <c r="AT10" s="3">
        <f t="shared" si="2"/>
        <v>100214704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0</v>
      </c>
      <c r="G11" s="1">
        <v>0</v>
      </c>
      <c r="H11" s="1">
        <v>0</v>
      </c>
      <c r="I11" s="1">
        <v>8366888</v>
      </c>
      <c r="J11" s="1">
        <v>0</v>
      </c>
      <c r="K11" s="1">
        <v>0</v>
      </c>
      <c r="L11" s="1">
        <v>11572430</v>
      </c>
      <c r="M11" s="1">
        <v>2000000</v>
      </c>
      <c r="N11" s="1">
        <v>4735081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2640000</v>
      </c>
      <c r="U11" s="1">
        <v>0</v>
      </c>
      <c r="V11" s="1">
        <v>13057769</v>
      </c>
      <c r="W11" s="1">
        <v>4000000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3670854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59039675</v>
      </c>
      <c r="AP11" s="1">
        <v>11211802</v>
      </c>
      <c r="AQ11" s="1">
        <v>47827873</v>
      </c>
      <c r="AR11" s="1">
        <v>11073764</v>
      </c>
      <c r="AS11" s="1">
        <v>1661065</v>
      </c>
      <c r="AT11" s="3">
        <f t="shared" si="2"/>
        <v>71774504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0</v>
      </c>
      <c r="G12" s="1">
        <v>3384014</v>
      </c>
      <c r="H12" s="1">
        <v>0</v>
      </c>
      <c r="I12" s="1">
        <v>8644363</v>
      </c>
      <c r="J12" s="1">
        <v>0</v>
      </c>
      <c r="K12" s="1">
        <v>0</v>
      </c>
      <c r="L12" s="1">
        <v>11521166</v>
      </c>
      <c r="M12" s="1">
        <v>2000000</v>
      </c>
      <c r="N12" s="1">
        <v>4881064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2640000</v>
      </c>
      <c r="U12" s="1">
        <v>0</v>
      </c>
      <c r="V12" s="1">
        <v>13513677</v>
      </c>
      <c r="W12" s="1">
        <v>4000000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5166396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8663076</v>
      </c>
      <c r="AK12" s="1">
        <v>0</v>
      </c>
      <c r="AL12" s="1">
        <v>0</v>
      </c>
      <c r="AM12" s="1">
        <v>0</v>
      </c>
      <c r="AN12" s="1">
        <v>0</v>
      </c>
      <c r="AO12" s="1">
        <v>73809802</v>
      </c>
      <c r="AP12" s="1">
        <v>12194333</v>
      </c>
      <c r="AQ12" s="1">
        <v>61615469</v>
      </c>
      <c r="AR12" s="1">
        <v>14761960</v>
      </c>
      <c r="AS12" s="1">
        <v>2214294</v>
      </c>
      <c r="AT12" s="3">
        <f t="shared" si="2"/>
        <v>90786056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0</v>
      </c>
      <c r="G13" s="1">
        <v>5003842</v>
      </c>
      <c r="H13" s="1">
        <v>0</v>
      </c>
      <c r="I13" s="1">
        <v>10273257</v>
      </c>
      <c r="J13" s="1">
        <v>0</v>
      </c>
      <c r="K13" s="1">
        <v>0</v>
      </c>
      <c r="L13" s="1">
        <v>11331151</v>
      </c>
      <c r="M13" s="1">
        <v>2000000</v>
      </c>
      <c r="N13" s="1">
        <v>6156259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2640000</v>
      </c>
      <c r="U13" s="1">
        <v>0</v>
      </c>
      <c r="V13" s="1">
        <v>15243724</v>
      </c>
      <c r="W13" s="1">
        <v>4000000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3670854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71862073</v>
      </c>
      <c r="AP13" s="1">
        <v>11660254</v>
      </c>
      <c r="AQ13" s="1">
        <v>60201819</v>
      </c>
      <c r="AR13" s="1">
        <v>13638244</v>
      </c>
      <c r="AS13" s="1">
        <v>2045737</v>
      </c>
      <c r="AT13" s="3">
        <f t="shared" si="2"/>
        <v>87546054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0</v>
      </c>
      <c r="G14" s="1">
        <v>6558601</v>
      </c>
      <c r="H14" s="1">
        <v>0</v>
      </c>
      <c r="I14" s="1">
        <v>7948920</v>
      </c>
      <c r="J14" s="1">
        <v>0</v>
      </c>
      <c r="K14" s="1">
        <v>0</v>
      </c>
      <c r="L14" s="1">
        <v>11331151</v>
      </c>
      <c r="M14" s="1">
        <v>2000000</v>
      </c>
      <c r="N14" s="1">
        <v>6234448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2640000</v>
      </c>
      <c r="U14" s="1">
        <v>0</v>
      </c>
      <c r="V14" s="1">
        <v>14431866</v>
      </c>
      <c r="W14" s="1">
        <v>4000000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66834575</v>
      </c>
      <c r="AP14" s="1">
        <v>16902644</v>
      </c>
      <c r="AQ14" s="1">
        <v>49931931</v>
      </c>
      <c r="AR14" s="1">
        <v>13366915</v>
      </c>
      <c r="AS14" s="1">
        <v>2005037</v>
      </c>
      <c r="AT14" s="3">
        <f t="shared" si="2"/>
        <v>82206527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0</v>
      </c>
      <c r="G15" s="1">
        <v>10791457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2640000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1835427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15266884</v>
      </c>
      <c r="AP15" s="1">
        <v>12626884</v>
      </c>
      <c r="AQ15" s="1">
        <v>2640000</v>
      </c>
      <c r="AR15" s="1">
        <v>528000</v>
      </c>
      <c r="AS15" s="1">
        <v>79200</v>
      </c>
      <c r="AT15" s="3">
        <f t="shared" si="2"/>
        <v>15874084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0</v>
      </c>
      <c r="G16" s="1">
        <v>8064219</v>
      </c>
      <c r="H16" s="1">
        <v>0</v>
      </c>
      <c r="I16" s="1">
        <v>6418897</v>
      </c>
      <c r="J16" s="1">
        <v>0</v>
      </c>
      <c r="K16" s="1">
        <v>0</v>
      </c>
      <c r="L16" s="1">
        <v>11572430</v>
      </c>
      <c r="M16" s="1">
        <v>2000000</v>
      </c>
      <c r="N16" s="1">
        <v>3498673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2640000</v>
      </c>
      <c r="U16" s="1">
        <v>0</v>
      </c>
      <c r="V16" s="1">
        <v>9139997</v>
      </c>
      <c r="W16" s="1">
        <v>4000000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3670854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58468905</v>
      </c>
      <c r="AP16" s="1">
        <v>13253226</v>
      </c>
      <c r="AQ16" s="1">
        <v>45215679</v>
      </c>
      <c r="AR16" s="1">
        <v>10959610</v>
      </c>
      <c r="AS16" s="1">
        <v>1643942</v>
      </c>
      <c r="AT16" s="3">
        <f t="shared" si="2"/>
        <v>71072457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0</v>
      </c>
      <c r="G17" s="1">
        <v>11537593</v>
      </c>
      <c r="H17" s="1">
        <v>0</v>
      </c>
      <c r="I17" s="1">
        <v>8993097</v>
      </c>
      <c r="J17" s="1">
        <v>0</v>
      </c>
      <c r="K17" s="1">
        <v>0</v>
      </c>
      <c r="L17" s="1">
        <v>11521166</v>
      </c>
      <c r="M17" s="1">
        <v>2000000</v>
      </c>
      <c r="N17" s="1">
        <v>5259121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2640000</v>
      </c>
      <c r="U17" s="1">
        <v>0</v>
      </c>
      <c r="V17" s="1">
        <v>9652115</v>
      </c>
      <c r="W17" s="1">
        <v>4000000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3670854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69266276</v>
      </c>
      <c r="AP17" s="1">
        <v>7349139</v>
      </c>
      <c r="AQ17" s="1">
        <v>61917137</v>
      </c>
      <c r="AR17" s="1">
        <v>13119084</v>
      </c>
      <c r="AS17" s="1">
        <v>1967863</v>
      </c>
      <c r="AT17" s="3">
        <f t="shared" si="2"/>
        <v>84353223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"قراردادي بهره بردار"</f>
        <v>قراردادي بهره بردار</v>
      </c>
      <c r="E18" s="1" t="str">
        <f t="shared" si="0"/>
        <v>پروژه تعميرات نيروگاه بوشهر</v>
      </c>
      <c r="F18" s="1">
        <v>14410205</v>
      </c>
      <c r="G18" s="1">
        <v>7802818</v>
      </c>
      <c r="H18" s="1">
        <v>0</v>
      </c>
      <c r="I18" s="1">
        <v>9212658</v>
      </c>
      <c r="J18" s="1">
        <v>0</v>
      </c>
      <c r="K18" s="1">
        <v>4620000</v>
      </c>
      <c r="L18" s="1">
        <v>0</v>
      </c>
      <c r="M18" s="1">
        <v>1000000</v>
      </c>
      <c r="N18" s="1">
        <v>2420386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7669280</v>
      </c>
      <c r="W18" s="1">
        <v>4000000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1901731</v>
      </c>
      <c r="AF18" s="1">
        <v>1835427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6915387</v>
      </c>
      <c r="AM18" s="1">
        <v>0</v>
      </c>
      <c r="AN18" s="1">
        <v>0</v>
      </c>
      <c r="AO18" s="1">
        <v>61787892</v>
      </c>
      <c r="AP18" s="1">
        <v>9360267</v>
      </c>
      <c r="AQ18" s="1">
        <v>52427625</v>
      </c>
      <c r="AR18" s="1">
        <v>11990493</v>
      </c>
      <c r="AS18" s="1">
        <v>1798574</v>
      </c>
      <c r="AT18" s="3">
        <f t="shared" si="2"/>
        <v>75576959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"قراردادي کارگري"</f>
        <v>قراردادي کارگري</v>
      </c>
      <c r="E19" s="1" t="str">
        <f t="shared" si="0"/>
        <v>پروژه تعميرات نيروگاه بوشهر</v>
      </c>
      <c r="F19" s="1">
        <v>0</v>
      </c>
      <c r="G19" s="1">
        <v>8523896</v>
      </c>
      <c r="H19" s="1">
        <v>0</v>
      </c>
      <c r="I19" s="1">
        <v>10337682</v>
      </c>
      <c r="J19" s="1">
        <v>0</v>
      </c>
      <c r="K19" s="1">
        <v>0</v>
      </c>
      <c r="L19" s="1">
        <v>11521166</v>
      </c>
      <c r="M19" s="1">
        <v>2000000</v>
      </c>
      <c r="N19" s="1">
        <v>5625949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2640000</v>
      </c>
      <c r="U19" s="1">
        <v>0</v>
      </c>
      <c r="V19" s="1">
        <v>14486456</v>
      </c>
      <c r="W19" s="1">
        <v>4000000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3670854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73354658</v>
      </c>
      <c r="AP19" s="1">
        <v>12537804</v>
      </c>
      <c r="AQ19" s="1">
        <v>60816854</v>
      </c>
      <c r="AR19" s="1">
        <v>13936761</v>
      </c>
      <c r="AS19" s="1">
        <v>2090514</v>
      </c>
      <c r="AT19" s="3">
        <f t="shared" si="2"/>
        <v>89381933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"قراردادي کارگري"</f>
        <v>قراردادي کارگري</v>
      </c>
      <c r="E20" s="1" t="str">
        <f t="shared" si="0"/>
        <v>پروژه تعميرات نيروگاه بوشهر</v>
      </c>
      <c r="F20" s="1">
        <v>0</v>
      </c>
      <c r="G20" s="1">
        <v>6304222</v>
      </c>
      <c r="H20" s="1">
        <v>0</v>
      </c>
      <c r="I20" s="1">
        <v>10016884</v>
      </c>
      <c r="J20" s="1">
        <v>0</v>
      </c>
      <c r="K20" s="1">
        <v>0</v>
      </c>
      <c r="L20" s="1">
        <v>11521166</v>
      </c>
      <c r="M20" s="1">
        <v>2000000</v>
      </c>
      <c r="N20" s="1">
        <v>5831822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2640000</v>
      </c>
      <c r="U20" s="1">
        <v>0</v>
      </c>
      <c r="V20" s="1">
        <v>11255802</v>
      </c>
      <c r="W20" s="1">
        <v>4000000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1835427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66412888</v>
      </c>
      <c r="AP20" s="1">
        <v>35037610</v>
      </c>
      <c r="AQ20" s="1">
        <v>31375278</v>
      </c>
      <c r="AR20" s="1">
        <v>12915492</v>
      </c>
      <c r="AS20" s="1">
        <v>1937324</v>
      </c>
      <c r="AT20" s="3">
        <f t="shared" si="2"/>
        <v>81265704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20310328</v>
      </c>
      <c r="G21" s="1">
        <v>9442846</v>
      </c>
      <c r="H21" s="1">
        <v>0</v>
      </c>
      <c r="I21" s="1">
        <v>17560618</v>
      </c>
      <c r="J21" s="1">
        <v>0</v>
      </c>
      <c r="K21" s="1">
        <v>4620000</v>
      </c>
      <c r="L21" s="1">
        <v>0</v>
      </c>
      <c r="M21" s="1">
        <v>1000000</v>
      </c>
      <c r="N21" s="1">
        <v>3797668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12950189</v>
      </c>
      <c r="W21" s="1">
        <v>4000000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2983882</v>
      </c>
      <c r="AF21" s="1">
        <v>1835427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9306625</v>
      </c>
      <c r="AM21" s="1">
        <v>0</v>
      </c>
      <c r="AN21" s="1">
        <v>0</v>
      </c>
      <c r="AO21" s="1">
        <v>87807583</v>
      </c>
      <c r="AP21" s="1">
        <v>19293434</v>
      </c>
      <c r="AQ21" s="1">
        <v>68514149</v>
      </c>
      <c r="AR21" s="1">
        <v>17194431</v>
      </c>
      <c r="AS21" s="1">
        <v>2579165</v>
      </c>
      <c r="AT21" s="3">
        <f t="shared" si="2"/>
        <v>107581179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0</v>
      </c>
      <c r="G22" s="1">
        <v>3177611</v>
      </c>
      <c r="H22" s="1">
        <v>0</v>
      </c>
      <c r="I22" s="1">
        <v>8933777</v>
      </c>
      <c r="J22" s="1">
        <v>0</v>
      </c>
      <c r="K22" s="1">
        <v>0</v>
      </c>
      <c r="L22" s="1">
        <v>11331151</v>
      </c>
      <c r="M22" s="1">
        <v>2000000</v>
      </c>
      <c r="N22" s="1">
        <v>5810587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2640000</v>
      </c>
      <c r="U22" s="1">
        <v>0</v>
      </c>
      <c r="V22" s="1">
        <v>19318739</v>
      </c>
      <c r="W22" s="1">
        <v>4000000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5545555</v>
      </c>
      <c r="AE22" s="1">
        <v>0</v>
      </c>
      <c r="AF22" s="1">
        <v>5506281</v>
      </c>
      <c r="AG22" s="1">
        <v>0</v>
      </c>
      <c r="AH22" s="1">
        <v>0</v>
      </c>
      <c r="AI22" s="1">
        <v>0</v>
      </c>
      <c r="AJ22" s="1">
        <v>5084177</v>
      </c>
      <c r="AK22" s="1">
        <v>0</v>
      </c>
      <c r="AL22" s="1">
        <v>0</v>
      </c>
      <c r="AM22" s="1">
        <v>0</v>
      </c>
      <c r="AN22" s="1">
        <v>0</v>
      </c>
      <c r="AO22" s="1">
        <v>84242729</v>
      </c>
      <c r="AP22" s="1">
        <v>11683469</v>
      </c>
      <c r="AQ22" s="1">
        <v>72559260</v>
      </c>
      <c r="AR22" s="1">
        <v>15747290</v>
      </c>
      <c r="AS22" s="1">
        <v>2362093</v>
      </c>
      <c r="AT22" s="3">
        <f t="shared" si="2"/>
        <v>102352112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0</v>
      </c>
      <c r="G23" s="1">
        <v>20171731</v>
      </c>
      <c r="H23" s="1">
        <v>0</v>
      </c>
      <c r="I23" s="1">
        <v>9955797</v>
      </c>
      <c r="J23" s="1">
        <v>0</v>
      </c>
      <c r="K23" s="1">
        <v>0</v>
      </c>
      <c r="L23" s="1">
        <v>11572430</v>
      </c>
      <c r="M23" s="1">
        <v>2000000</v>
      </c>
      <c r="N23" s="1">
        <v>5131854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2640000</v>
      </c>
      <c r="U23" s="1">
        <v>0</v>
      </c>
      <c r="V23" s="1">
        <v>14123041</v>
      </c>
      <c r="W23" s="1">
        <v>4000000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3670854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3692379</v>
      </c>
      <c r="AO23" s="1">
        <v>87221795</v>
      </c>
      <c r="AP23" s="1">
        <v>16701343</v>
      </c>
      <c r="AQ23" s="1">
        <v>70520452</v>
      </c>
      <c r="AR23" s="1">
        <v>16710188</v>
      </c>
      <c r="AS23" s="1">
        <v>2506528</v>
      </c>
      <c r="AT23" s="3">
        <f t="shared" si="2"/>
        <v>106438511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18229414</v>
      </c>
      <c r="G24" s="1">
        <v>51328125</v>
      </c>
      <c r="H24" s="1">
        <v>0</v>
      </c>
      <c r="I24" s="1">
        <v>16788622</v>
      </c>
      <c r="J24" s="1">
        <v>0</v>
      </c>
      <c r="K24" s="1">
        <v>4620000</v>
      </c>
      <c r="L24" s="1">
        <v>0</v>
      </c>
      <c r="M24" s="1">
        <v>1000000</v>
      </c>
      <c r="N24" s="1">
        <v>3479359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17698123</v>
      </c>
      <c r="W24" s="1">
        <v>4000000</v>
      </c>
      <c r="X24" s="1">
        <v>2646205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2733783</v>
      </c>
      <c r="AF24" s="1">
        <v>3670854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6601587</v>
      </c>
      <c r="AM24" s="1">
        <v>0</v>
      </c>
      <c r="AN24" s="1">
        <v>0</v>
      </c>
      <c r="AO24" s="1">
        <v>132796072</v>
      </c>
      <c r="AP24" s="1">
        <v>43539118</v>
      </c>
      <c r="AQ24" s="1">
        <v>89256954</v>
      </c>
      <c r="AR24" s="1">
        <v>25825044</v>
      </c>
      <c r="AS24" s="1">
        <v>3873757</v>
      </c>
      <c r="AT24" s="3">
        <f t="shared" si="2"/>
        <v>162494873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19499124</v>
      </c>
      <c r="G25" s="1">
        <v>8936638</v>
      </c>
      <c r="H25" s="1">
        <v>0</v>
      </c>
      <c r="I25" s="1">
        <v>17342999</v>
      </c>
      <c r="J25" s="1">
        <v>0</v>
      </c>
      <c r="K25" s="1">
        <v>4620000</v>
      </c>
      <c r="L25" s="1">
        <v>0</v>
      </c>
      <c r="M25" s="1">
        <v>1000000</v>
      </c>
      <c r="N25" s="1">
        <v>3513748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18241040</v>
      </c>
      <c r="W25" s="1">
        <v>4000000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2760801</v>
      </c>
      <c r="AF25" s="1">
        <v>1835427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9000584</v>
      </c>
      <c r="AM25" s="1">
        <v>0</v>
      </c>
      <c r="AN25" s="1">
        <v>0</v>
      </c>
      <c r="AO25" s="1">
        <v>90750361</v>
      </c>
      <c r="AP25" s="1">
        <v>36536688</v>
      </c>
      <c r="AQ25" s="1">
        <v>54213673</v>
      </c>
      <c r="AR25" s="1">
        <v>17782987</v>
      </c>
      <c r="AS25" s="1">
        <v>2667448</v>
      </c>
      <c r="AT25" s="3">
        <f t="shared" si="2"/>
        <v>111200796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0</v>
      </c>
      <c r="G26" s="1">
        <v>3341321</v>
      </c>
      <c r="H26" s="1">
        <v>0</v>
      </c>
      <c r="I26" s="1">
        <v>8051613</v>
      </c>
      <c r="J26" s="1">
        <v>0</v>
      </c>
      <c r="K26" s="1">
        <v>0</v>
      </c>
      <c r="L26" s="1">
        <v>11572430</v>
      </c>
      <c r="M26" s="1">
        <v>2000000</v>
      </c>
      <c r="N26" s="1">
        <v>5105652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2640000</v>
      </c>
      <c r="U26" s="1">
        <v>0</v>
      </c>
      <c r="V26" s="1">
        <v>18182119</v>
      </c>
      <c r="W26" s="1">
        <v>4000000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5164565</v>
      </c>
      <c r="AE26" s="1">
        <v>0</v>
      </c>
      <c r="AF26" s="1">
        <v>7341708</v>
      </c>
      <c r="AG26" s="1">
        <v>0</v>
      </c>
      <c r="AH26" s="1">
        <v>0</v>
      </c>
      <c r="AI26" s="1">
        <v>0</v>
      </c>
      <c r="AJ26" s="1">
        <v>4752102</v>
      </c>
      <c r="AK26" s="1">
        <v>0</v>
      </c>
      <c r="AL26" s="1">
        <v>0</v>
      </c>
      <c r="AM26" s="1">
        <v>0</v>
      </c>
      <c r="AN26" s="1">
        <v>0</v>
      </c>
      <c r="AO26" s="1">
        <v>81852249</v>
      </c>
      <c r="AP26" s="1">
        <v>13525389</v>
      </c>
      <c r="AQ26" s="1">
        <v>68326860</v>
      </c>
      <c r="AR26" s="1">
        <v>14902108</v>
      </c>
      <c r="AS26" s="1">
        <v>2235316</v>
      </c>
      <c r="AT26" s="3">
        <f t="shared" si="2"/>
        <v>98989673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0</v>
      </c>
      <c r="G27" s="1">
        <v>0</v>
      </c>
      <c r="H27" s="1">
        <v>0</v>
      </c>
      <c r="I27" s="1">
        <v>7029330</v>
      </c>
      <c r="J27" s="1">
        <v>0</v>
      </c>
      <c r="K27" s="1">
        <v>0</v>
      </c>
      <c r="L27" s="1">
        <v>11572430</v>
      </c>
      <c r="M27" s="1">
        <v>2000000</v>
      </c>
      <c r="N27" s="1">
        <v>3993938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2640000</v>
      </c>
      <c r="U27" s="1">
        <v>0</v>
      </c>
      <c r="V27" s="1">
        <v>12046620</v>
      </c>
      <c r="W27" s="1">
        <v>4000000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1835427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53105621</v>
      </c>
      <c r="AP27" s="1">
        <v>27871929</v>
      </c>
      <c r="AQ27" s="1">
        <v>25233692</v>
      </c>
      <c r="AR27" s="1">
        <v>10254039</v>
      </c>
      <c r="AS27" s="1">
        <v>1538106</v>
      </c>
      <c r="AT27" s="3">
        <f t="shared" si="2"/>
        <v>64897766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0</v>
      </c>
      <c r="G28" s="1">
        <v>13472386</v>
      </c>
      <c r="H28" s="1">
        <v>0</v>
      </c>
      <c r="I28" s="1">
        <v>9033860</v>
      </c>
      <c r="J28" s="1">
        <v>0</v>
      </c>
      <c r="K28" s="1">
        <v>0</v>
      </c>
      <c r="L28" s="1">
        <v>11572430</v>
      </c>
      <c r="M28" s="1">
        <v>2000000</v>
      </c>
      <c r="N28" s="1">
        <v>4705136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2640000</v>
      </c>
      <c r="U28" s="1">
        <v>0</v>
      </c>
      <c r="V28" s="1">
        <v>18312460</v>
      </c>
      <c r="W28" s="1">
        <v>4000000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5208255</v>
      </c>
      <c r="AE28" s="1">
        <v>0</v>
      </c>
      <c r="AF28" s="1">
        <v>1835427</v>
      </c>
      <c r="AG28" s="1">
        <v>0</v>
      </c>
      <c r="AH28" s="1">
        <v>0</v>
      </c>
      <c r="AI28" s="1">
        <v>0</v>
      </c>
      <c r="AJ28" s="1">
        <v>4790182</v>
      </c>
      <c r="AK28" s="1">
        <v>0</v>
      </c>
      <c r="AL28" s="1">
        <v>0</v>
      </c>
      <c r="AM28" s="1">
        <v>0</v>
      </c>
      <c r="AN28" s="1">
        <v>0</v>
      </c>
      <c r="AO28" s="1">
        <v>86980407</v>
      </c>
      <c r="AP28" s="1">
        <v>15922493</v>
      </c>
      <c r="AQ28" s="1">
        <v>71057914</v>
      </c>
      <c r="AR28" s="1">
        <v>17028996</v>
      </c>
      <c r="AS28" s="1">
        <v>2554349</v>
      </c>
      <c r="AT28" s="3">
        <f t="shared" si="2"/>
        <v>106563752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0</v>
      </c>
      <c r="G29" s="1">
        <v>9287331</v>
      </c>
      <c r="H29" s="1">
        <v>0</v>
      </c>
      <c r="I29" s="1">
        <v>8111656</v>
      </c>
      <c r="J29" s="1">
        <v>0</v>
      </c>
      <c r="K29" s="1">
        <v>0</v>
      </c>
      <c r="L29" s="1">
        <v>11572430</v>
      </c>
      <c r="M29" s="1">
        <v>2000000</v>
      </c>
      <c r="N29" s="1">
        <v>4435629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2640000</v>
      </c>
      <c r="U29" s="1">
        <v>0</v>
      </c>
      <c r="V29" s="1">
        <v>12726093</v>
      </c>
      <c r="W29" s="1">
        <v>4000000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3670854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66982578</v>
      </c>
      <c r="AP29" s="1">
        <v>6976897</v>
      </c>
      <c r="AQ29" s="1">
        <v>60005681</v>
      </c>
      <c r="AR29" s="1">
        <v>12662345</v>
      </c>
      <c r="AS29" s="1">
        <v>1899352</v>
      </c>
      <c r="AT29" s="3">
        <f t="shared" si="2"/>
        <v>81544275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18365454</v>
      </c>
      <c r="G30" s="1">
        <v>4290204</v>
      </c>
      <c r="H30" s="1">
        <v>0</v>
      </c>
      <c r="I30" s="1">
        <v>16099248</v>
      </c>
      <c r="J30" s="1">
        <v>0</v>
      </c>
      <c r="K30" s="1">
        <v>3465000</v>
      </c>
      <c r="L30" s="1">
        <v>0</v>
      </c>
      <c r="M30" s="1">
        <v>1000000</v>
      </c>
      <c r="N30" s="1">
        <v>3526973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12743394</v>
      </c>
      <c r="W30" s="1">
        <v>4000000</v>
      </c>
      <c r="X30" s="1">
        <v>1430068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2771193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14047431</v>
      </c>
      <c r="AM30" s="1">
        <v>0</v>
      </c>
      <c r="AN30" s="1">
        <v>0</v>
      </c>
      <c r="AO30" s="1">
        <v>81738965</v>
      </c>
      <c r="AP30" s="1">
        <v>29897059</v>
      </c>
      <c r="AQ30" s="1">
        <v>51841906</v>
      </c>
      <c r="AR30" s="1">
        <v>16347793</v>
      </c>
      <c r="AS30" s="1">
        <v>2452169</v>
      </c>
      <c r="AT30" s="3">
        <f t="shared" si="2"/>
        <v>100538927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19101080</v>
      </c>
      <c r="G31" s="1">
        <v>10310890</v>
      </c>
      <c r="H31" s="1">
        <v>0</v>
      </c>
      <c r="I31" s="1">
        <v>17946015</v>
      </c>
      <c r="J31" s="1">
        <v>0</v>
      </c>
      <c r="K31" s="1">
        <v>4620000</v>
      </c>
      <c r="L31" s="1">
        <v>0</v>
      </c>
      <c r="M31" s="1">
        <v>1000000</v>
      </c>
      <c r="N31" s="1">
        <v>3784443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18753841</v>
      </c>
      <c r="W31" s="1">
        <v>4000000</v>
      </c>
      <c r="X31" s="1">
        <v>2772737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2973490</v>
      </c>
      <c r="AF31" s="1">
        <v>1835427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14346418</v>
      </c>
      <c r="AM31" s="1">
        <v>0</v>
      </c>
      <c r="AN31" s="1">
        <v>0</v>
      </c>
      <c r="AO31" s="1">
        <v>101444341</v>
      </c>
      <c r="AP31" s="1">
        <v>36728943</v>
      </c>
      <c r="AQ31" s="1">
        <v>64715398</v>
      </c>
      <c r="AR31" s="1">
        <v>19921783</v>
      </c>
      <c r="AS31" s="1">
        <v>2988267</v>
      </c>
      <c r="AT31" s="3">
        <f t="shared" si="2"/>
        <v>124354391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6" si="3">"قراردادي کارگري"</f>
        <v>قراردادي کارگري</v>
      </c>
      <c r="E32" s="1" t="str">
        <f t="shared" ref="E32:E50" si="4">"پروژه تعميرات نيروگاه بوشهر"</f>
        <v>پروژه تعميرات نيروگاه بوشهر</v>
      </c>
      <c r="F32" s="1">
        <v>0</v>
      </c>
      <c r="G32" s="1">
        <v>10995761</v>
      </c>
      <c r="H32" s="1">
        <v>0</v>
      </c>
      <c r="I32" s="1">
        <v>9136067</v>
      </c>
      <c r="J32" s="1">
        <v>0</v>
      </c>
      <c r="K32" s="1">
        <v>0</v>
      </c>
      <c r="L32" s="1">
        <v>11521166</v>
      </c>
      <c r="M32" s="1">
        <v>2000000</v>
      </c>
      <c r="N32" s="1">
        <v>5319011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2640000</v>
      </c>
      <c r="U32" s="1">
        <v>0</v>
      </c>
      <c r="V32" s="1">
        <v>9815192</v>
      </c>
      <c r="W32" s="1">
        <v>4000000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5402382</v>
      </c>
      <c r="AE32" s="1">
        <v>0</v>
      </c>
      <c r="AF32" s="1">
        <v>1835427</v>
      </c>
      <c r="AG32" s="1">
        <v>0</v>
      </c>
      <c r="AH32" s="1">
        <v>0</v>
      </c>
      <c r="AI32" s="1">
        <v>0</v>
      </c>
      <c r="AJ32" s="1">
        <v>6209371</v>
      </c>
      <c r="AK32" s="1">
        <v>0</v>
      </c>
      <c r="AL32" s="1">
        <v>0</v>
      </c>
      <c r="AM32" s="1">
        <v>0</v>
      </c>
      <c r="AN32" s="1">
        <v>0</v>
      </c>
      <c r="AO32" s="1">
        <v>78914011</v>
      </c>
      <c r="AP32" s="1">
        <v>10376552</v>
      </c>
      <c r="AQ32" s="1">
        <v>68537459</v>
      </c>
      <c r="AR32" s="1">
        <v>15415717</v>
      </c>
      <c r="AS32" s="1">
        <v>2312358</v>
      </c>
      <c r="AT32" s="3">
        <f t="shared" si="2"/>
        <v>96642086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0</v>
      </c>
      <c r="G33" s="1">
        <v>5417551</v>
      </c>
      <c r="H33" s="1">
        <v>0</v>
      </c>
      <c r="I33" s="1">
        <v>8179131</v>
      </c>
      <c r="J33" s="1">
        <v>0</v>
      </c>
      <c r="K33" s="1">
        <v>0</v>
      </c>
      <c r="L33" s="1">
        <v>11521166</v>
      </c>
      <c r="M33" s="1">
        <v>2000000</v>
      </c>
      <c r="N33" s="1">
        <v>5064477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2640000</v>
      </c>
      <c r="U33" s="1">
        <v>0</v>
      </c>
      <c r="V33" s="1">
        <v>13596740</v>
      </c>
      <c r="W33" s="1">
        <v>4000000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1835427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63877000</v>
      </c>
      <c r="AP33" s="1">
        <v>10625831</v>
      </c>
      <c r="AQ33" s="1">
        <v>53251169</v>
      </c>
      <c r="AR33" s="1">
        <v>12408315</v>
      </c>
      <c r="AS33" s="1">
        <v>1861247</v>
      </c>
      <c r="AT33" s="3">
        <f t="shared" si="2"/>
        <v>78146562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0</v>
      </c>
      <c r="G34" s="1">
        <v>10084281</v>
      </c>
      <c r="H34" s="1">
        <v>0</v>
      </c>
      <c r="I34" s="1">
        <v>9615221</v>
      </c>
      <c r="J34" s="1">
        <v>0</v>
      </c>
      <c r="K34" s="1">
        <v>0</v>
      </c>
      <c r="L34" s="1">
        <v>11331151</v>
      </c>
      <c r="M34" s="1">
        <v>2000000</v>
      </c>
      <c r="N34" s="1">
        <v>5271502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2640000</v>
      </c>
      <c r="U34" s="1">
        <v>0</v>
      </c>
      <c r="V34" s="1">
        <v>9865842</v>
      </c>
      <c r="W34" s="1">
        <v>4000000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5435060</v>
      </c>
      <c r="AE34" s="1">
        <v>0</v>
      </c>
      <c r="AF34" s="1">
        <v>3670854</v>
      </c>
      <c r="AG34" s="1">
        <v>0</v>
      </c>
      <c r="AH34" s="1">
        <v>0</v>
      </c>
      <c r="AI34" s="1">
        <v>0</v>
      </c>
      <c r="AJ34" s="1">
        <v>4163832</v>
      </c>
      <c r="AK34" s="1">
        <v>0</v>
      </c>
      <c r="AL34" s="1">
        <v>0</v>
      </c>
      <c r="AM34" s="1">
        <v>0</v>
      </c>
      <c r="AN34" s="1">
        <v>0</v>
      </c>
      <c r="AO34" s="1">
        <v>78093599</v>
      </c>
      <c r="AP34" s="1">
        <v>10127193</v>
      </c>
      <c r="AQ34" s="1">
        <v>67966406</v>
      </c>
      <c r="AR34" s="1">
        <v>14884549</v>
      </c>
      <c r="AS34" s="1">
        <v>2232682</v>
      </c>
      <c r="AT34" s="3">
        <f t="shared" si="2"/>
        <v>95210830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0</v>
      </c>
      <c r="G35" s="1">
        <v>1040652</v>
      </c>
      <c r="H35" s="1">
        <v>0</v>
      </c>
      <c r="I35" s="1">
        <v>8862948</v>
      </c>
      <c r="J35" s="1">
        <v>0</v>
      </c>
      <c r="K35" s="1">
        <v>0</v>
      </c>
      <c r="L35" s="1">
        <v>11572430</v>
      </c>
      <c r="M35" s="1">
        <v>2000000</v>
      </c>
      <c r="N35" s="1">
        <v>4765026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2640000</v>
      </c>
      <c r="U35" s="1">
        <v>0</v>
      </c>
      <c r="V35" s="1">
        <v>14427986</v>
      </c>
      <c r="W35" s="1">
        <v>4000000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3670854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62509947</v>
      </c>
      <c r="AP35" s="1">
        <v>12847201</v>
      </c>
      <c r="AQ35" s="1">
        <v>49662746</v>
      </c>
      <c r="AR35" s="1">
        <v>11767819</v>
      </c>
      <c r="AS35" s="1">
        <v>1765173</v>
      </c>
      <c r="AT35" s="3">
        <f t="shared" si="2"/>
        <v>76042939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0</v>
      </c>
      <c r="G36" s="1">
        <v>10597212</v>
      </c>
      <c r="H36" s="1">
        <v>0</v>
      </c>
      <c r="I36" s="1">
        <v>10262046</v>
      </c>
      <c r="J36" s="1">
        <v>0</v>
      </c>
      <c r="K36" s="1">
        <v>0</v>
      </c>
      <c r="L36" s="1">
        <v>11521166</v>
      </c>
      <c r="M36" s="1">
        <v>2000000</v>
      </c>
      <c r="N36" s="1">
        <v>5663381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2640000</v>
      </c>
      <c r="U36" s="1">
        <v>0</v>
      </c>
      <c r="V36" s="1">
        <v>10308172</v>
      </c>
      <c r="W36" s="1">
        <v>4000000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5720434</v>
      </c>
      <c r="AE36" s="1">
        <v>0</v>
      </c>
      <c r="AF36" s="1">
        <v>1835427</v>
      </c>
      <c r="AG36" s="1">
        <v>0</v>
      </c>
      <c r="AH36" s="1">
        <v>0</v>
      </c>
      <c r="AI36" s="1">
        <v>0</v>
      </c>
      <c r="AJ36" s="1">
        <v>4375623</v>
      </c>
      <c r="AK36" s="1">
        <v>0</v>
      </c>
      <c r="AL36" s="1">
        <v>0</v>
      </c>
      <c r="AM36" s="1">
        <v>0</v>
      </c>
      <c r="AN36" s="1">
        <v>0</v>
      </c>
      <c r="AO36" s="1">
        <v>79613093</v>
      </c>
      <c r="AP36" s="1">
        <v>20218620</v>
      </c>
      <c r="AQ36" s="1">
        <v>59394473</v>
      </c>
      <c r="AR36" s="1">
        <v>15555533</v>
      </c>
      <c r="AS36" s="1">
        <v>2333330</v>
      </c>
      <c r="AT36" s="3">
        <f t="shared" si="2"/>
        <v>97501956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0</v>
      </c>
      <c r="G37" s="1">
        <v>28365836</v>
      </c>
      <c r="H37" s="1">
        <v>0</v>
      </c>
      <c r="I37" s="1">
        <v>9234620</v>
      </c>
      <c r="J37" s="1">
        <v>0</v>
      </c>
      <c r="K37" s="1">
        <v>0</v>
      </c>
      <c r="L37" s="1">
        <v>11521166</v>
      </c>
      <c r="M37" s="1">
        <v>2000000</v>
      </c>
      <c r="N37" s="1">
        <v>4765026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2640000</v>
      </c>
      <c r="U37" s="1">
        <v>0</v>
      </c>
      <c r="V37" s="1">
        <v>16309744</v>
      </c>
      <c r="W37" s="1">
        <v>4000000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5186154</v>
      </c>
      <c r="AE37" s="1">
        <v>0</v>
      </c>
      <c r="AF37" s="1">
        <v>3670854</v>
      </c>
      <c r="AG37" s="1">
        <v>0</v>
      </c>
      <c r="AH37" s="1">
        <v>0</v>
      </c>
      <c r="AI37" s="1">
        <v>0</v>
      </c>
      <c r="AJ37" s="1">
        <v>9191967</v>
      </c>
      <c r="AK37" s="1">
        <v>0</v>
      </c>
      <c r="AL37" s="1">
        <v>0</v>
      </c>
      <c r="AM37" s="1">
        <v>0</v>
      </c>
      <c r="AN37" s="1">
        <v>0</v>
      </c>
      <c r="AO37" s="1">
        <v>105938916</v>
      </c>
      <c r="AP37" s="1">
        <v>16049878</v>
      </c>
      <c r="AQ37" s="1">
        <v>89889038</v>
      </c>
      <c r="AR37" s="1">
        <v>20453612</v>
      </c>
      <c r="AS37" s="1">
        <v>3068042</v>
      </c>
      <c r="AT37" s="3">
        <f t="shared" si="2"/>
        <v>129460570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0</v>
      </c>
      <c r="G38" s="1">
        <v>7887932</v>
      </c>
      <c r="H38" s="1">
        <v>0</v>
      </c>
      <c r="I38" s="1">
        <v>8950753</v>
      </c>
      <c r="J38" s="1">
        <v>0</v>
      </c>
      <c r="K38" s="1">
        <v>0</v>
      </c>
      <c r="L38" s="1">
        <v>11331151</v>
      </c>
      <c r="M38" s="1">
        <v>2000000</v>
      </c>
      <c r="N38" s="1">
        <v>5683017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2640000</v>
      </c>
      <c r="U38" s="1">
        <v>0</v>
      </c>
      <c r="V38" s="1">
        <v>9955784</v>
      </c>
      <c r="W38" s="1">
        <v>4000000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5493087</v>
      </c>
      <c r="AE38" s="1">
        <v>0</v>
      </c>
      <c r="AF38" s="1">
        <v>5506281</v>
      </c>
      <c r="AG38" s="1">
        <v>0</v>
      </c>
      <c r="AH38" s="1">
        <v>0</v>
      </c>
      <c r="AI38" s="1">
        <v>0</v>
      </c>
      <c r="AJ38" s="1">
        <v>6310346</v>
      </c>
      <c r="AK38" s="1">
        <v>0</v>
      </c>
      <c r="AL38" s="1">
        <v>0</v>
      </c>
      <c r="AM38" s="1">
        <v>0</v>
      </c>
      <c r="AN38" s="1">
        <v>0</v>
      </c>
      <c r="AO38" s="1">
        <v>80414009</v>
      </c>
      <c r="AP38" s="1">
        <v>14548826</v>
      </c>
      <c r="AQ38" s="1">
        <v>65865183</v>
      </c>
      <c r="AR38" s="1">
        <v>14981546</v>
      </c>
      <c r="AS38" s="1">
        <v>2247232</v>
      </c>
      <c r="AT38" s="3">
        <f t="shared" si="2"/>
        <v>97642787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0</v>
      </c>
      <c r="G39" s="1">
        <v>11309910</v>
      </c>
      <c r="H39" s="1">
        <v>0</v>
      </c>
      <c r="I39" s="1">
        <v>12141625</v>
      </c>
      <c r="J39" s="1">
        <v>0</v>
      </c>
      <c r="K39" s="1">
        <v>0</v>
      </c>
      <c r="L39" s="1">
        <v>11331151</v>
      </c>
      <c r="M39" s="1">
        <v>2000000</v>
      </c>
      <c r="N39" s="1">
        <v>6798223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2640000</v>
      </c>
      <c r="U39" s="1">
        <v>0</v>
      </c>
      <c r="V39" s="1">
        <v>16174445</v>
      </c>
      <c r="W39" s="1">
        <v>4000000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3670854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82982830</v>
      </c>
      <c r="AP39" s="1">
        <v>11593737</v>
      </c>
      <c r="AQ39" s="1">
        <v>71389093</v>
      </c>
      <c r="AR39" s="1">
        <v>15862395</v>
      </c>
      <c r="AS39" s="1">
        <v>2379359</v>
      </c>
      <c r="AT39" s="3">
        <f t="shared" si="2"/>
        <v>101224584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0</v>
      </c>
      <c r="G40" s="1">
        <v>20024634</v>
      </c>
      <c r="H40" s="1">
        <v>0</v>
      </c>
      <c r="I40" s="1">
        <v>8056860</v>
      </c>
      <c r="J40" s="1">
        <v>0</v>
      </c>
      <c r="K40" s="1">
        <v>0</v>
      </c>
      <c r="L40" s="1">
        <v>11521166</v>
      </c>
      <c r="M40" s="1">
        <v>2000000</v>
      </c>
      <c r="N40" s="1">
        <v>5472481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2640000</v>
      </c>
      <c r="U40" s="1">
        <v>0</v>
      </c>
      <c r="V40" s="1">
        <v>16216127</v>
      </c>
      <c r="W40" s="1">
        <v>4000000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7341708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87602283</v>
      </c>
      <c r="AP40" s="1">
        <v>10106645</v>
      </c>
      <c r="AQ40" s="1">
        <v>77495638</v>
      </c>
      <c r="AR40" s="1">
        <v>16052115</v>
      </c>
      <c r="AS40" s="1">
        <v>2407817</v>
      </c>
      <c r="AT40" s="3">
        <f t="shared" si="2"/>
        <v>106062215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0</v>
      </c>
      <c r="G41" s="1">
        <v>0</v>
      </c>
      <c r="H41" s="1">
        <v>0</v>
      </c>
      <c r="I41" s="1">
        <v>7967208</v>
      </c>
      <c r="J41" s="1">
        <v>0</v>
      </c>
      <c r="K41" s="1">
        <v>0</v>
      </c>
      <c r="L41" s="1">
        <v>11521166</v>
      </c>
      <c r="M41" s="1">
        <v>2000000</v>
      </c>
      <c r="N41" s="1">
        <v>4577868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2640000</v>
      </c>
      <c r="U41" s="1">
        <v>0</v>
      </c>
      <c r="V41" s="1">
        <v>12291746</v>
      </c>
      <c r="W41" s="1">
        <v>4000000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5506281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59259441</v>
      </c>
      <c r="AP41" s="1">
        <v>8950393</v>
      </c>
      <c r="AQ41" s="1">
        <v>50309048</v>
      </c>
      <c r="AR41" s="1">
        <v>10750632</v>
      </c>
      <c r="AS41" s="1">
        <v>1612595</v>
      </c>
      <c r="AT41" s="3">
        <f t="shared" si="2"/>
        <v>71622668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0</v>
      </c>
      <c r="G42" s="1">
        <v>9119759</v>
      </c>
      <c r="H42" s="1">
        <v>0</v>
      </c>
      <c r="I42" s="1">
        <v>8710822</v>
      </c>
      <c r="J42" s="1">
        <v>0</v>
      </c>
      <c r="K42" s="1">
        <v>0</v>
      </c>
      <c r="L42" s="1">
        <v>11521166</v>
      </c>
      <c r="M42" s="1">
        <v>2000000</v>
      </c>
      <c r="N42" s="1">
        <v>4929724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2640000</v>
      </c>
      <c r="U42" s="1">
        <v>0</v>
      </c>
      <c r="V42" s="1">
        <v>13338482</v>
      </c>
      <c r="W42" s="1">
        <v>4000000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1835427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67461856</v>
      </c>
      <c r="AP42" s="1">
        <v>11317850</v>
      </c>
      <c r="AQ42" s="1">
        <v>56144006</v>
      </c>
      <c r="AR42" s="1">
        <v>13125286</v>
      </c>
      <c r="AS42" s="1">
        <v>1968793</v>
      </c>
      <c r="AT42" s="3">
        <f t="shared" si="2"/>
        <v>82555935</v>
      </c>
    </row>
    <row r="43" spans="1:46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0</v>
      </c>
      <c r="G43" s="1">
        <v>3827008</v>
      </c>
      <c r="H43" s="1">
        <v>0</v>
      </c>
      <c r="I43" s="1">
        <v>8036536</v>
      </c>
      <c r="J43" s="1">
        <v>0</v>
      </c>
      <c r="K43" s="1">
        <v>0</v>
      </c>
      <c r="L43" s="1">
        <v>11572430</v>
      </c>
      <c r="M43" s="1">
        <v>2000000</v>
      </c>
      <c r="N43" s="1">
        <v>4229756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2640000</v>
      </c>
      <c r="U43" s="1">
        <v>0</v>
      </c>
      <c r="V43" s="1">
        <v>12896908</v>
      </c>
      <c r="W43" s="1">
        <v>4000000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4844735</v>
      </c>
      <c r="AE43" s="1">
        <v>0</v>
      </c>
      <c r="AF43" s="1">
        <v>3670854</v>
      </c>
      <c r="AG43" s="1">
        <v>0</v>
      </c>
      <c r="AH43" s="1">
        <v>0</v>
      </c>
      <c r="AI43" s="1">
        <v>0</v>
      </c>
      <c r="AJ43" s="1">
        <v>6123213</v>
      </c>
      <c r="AK43" s="1">
        <v>0</v>
      </c>
      <c r="AL43" s="1">
        <v>0</v>
      </c>
      <c r="AM43" s="1">
        <v>0</v>
      </c>
      <c r="AN43" s="1">
        <v>0</v>
      </c>
      <c r="AO43" s="1">
        <v>72300952</v>
      </c>
      <c r="AP43" s="1">
        <v>14935304</v>
      </c>
      <c r="AQ43" s="1">
        <v>57365648</v>
      </c>
      <c r="AR43" s="1">
        <v>13726020</v>
      </c>
      <c r="AS43" s="1">
        <v>2058903</v>
      </c>
      <c r="AT43" s="3">
        <f t="shared" si="2"/>
        <v>88085875</v>
      </c>
    </row>
    <row r="44" spans="1:46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0</v>
      </c>
      <c r="G44" s="1">
        <v>50926515</v>
      </c>
      <c r="H44" s="1">
        <v>0</v>
      </c>
      <c r="I44" s="1">
        <v>12089952</v>
      </c>
      <c r="J44" s="1">
        <v>0</v>
      </c>
      <c r="K44" s="1">
        <v>0</v>
      </c>
      <c r="L44" s="1">
        <v>11521166</v>
      </c>
      <c r="M44" s="1">
        <v>2000000</v>
      </c>
      <c r="N44" s="1">
        <v>6962253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2640000</v>
      </c>
      <c r="U44" s="1">
        <v>0</v>
      </c>
      <c r="V44" s="1">
        <v>17969264</v>
      </c>
      <c r="W44" s="1">
        <v>4000000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3670854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4371462</v>
      </c>
      <c r="AO44" s="1">
        <v>129292718</v>
      </c>
      <c r="AP44" s="1">
        <v>26665177</v>
      </c>
      <c r="AQ44" s="1">
        <v>102627541</v>
      </c>
      <c r="AR44" s="1">
        <v>25124373</v>
      </c>
      <c r="AS44" s="1">
        <v>3768656</v>
      </c>
      <c r="AT44" s="3">
        <f t="shared" si="2"/>
        <v>158185747</v>
      </c>
    </row>
    <row r="45" spans="1:46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0</v>
      </c>
      <c r="G45" s="1">
        <v>6268238</v>
      </c>
      <c r="H45" s="1">
        <v>0</v>
      </c>
      <c r="I45" s="1">
        <v>9215861</v>
      </c>
      <c r="J45" s="1">
        <v>0</v>
      </c>
      <c r="K45" s="1">
        <v>0</v>
      </c>
      <c r="L45" s="1">
        <v>11521166</v>
      </c>
      <c r="M45" s="1">
        <v>2000000</v>
      </c>
      <c r="N45" s="1">
        <v>5461251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2640000</v>
      </c>
      <c r="U45" s="1">
        <v>0</v>
      </c>
      <c r="V45" s="1">
        <v>19080560</v>
      </c>
      <c r="W45" s="1">
        <v>4000000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5465718</v>
      </c>
      <c r="AE45" s="1">
        <v>0</v>
      </c>
      <c r="AF45" s="1">
        <v>3670854</v>
      </c>
      <c r="AG45" s="1">
        <v>0</v>
      </c>
      <c r="AH45" s="1">
        <v>0</v>
      </c>
      <c r="AI45" s="1">
        <v>0</v>
      </c>
      <c r="AJ45" s="1">
        <v>5014591</v>
      </c>
      <c r="AK45" s="1">
        <v>0</v>
      </c>
      <c r="AL45" s="1">
        <v>0</v>
      </c>
      <c r="AM45" s="1">
        <v>0</v>
      </c>
      <c r="AN45" s="1">
        <v>0</v>
      </c>
      <c r="AO45" s="1">
        <v>84578085</v>
      </c>
      <c r="AP45" s="1">
        <v>13942093</v>
      </c>
      <c r="AQ45" s="1">
        <v>70635992</v>
      </c>
      <c r="AR45" s="1">
        <v>16181446</v>
      </c>
      <c r="AS45" s="1">
        <v>2427217</v>
      </c>
      <c r="AT45" s="3">
        <f t="shared" si="2"/>
        <v>103186748</v>
      </c>
    </row>
    <row r="46" spans="1:46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0</v>
      </c>
      <c r="G46" s="1">
        <v>13252726</v>
      </c>
      <c r="H46" s="1">
        <v>0</v>
      </c>
      <c r="I46" s="1">
        <v>8603997</v>
      </c>
      <c r="J46" s="1">
        <v>0</v>
      </c>
      <c r="K46" s="1">
        <v>0</v>
      </c>
      <c r="L46" s="1">
        <v>11572430</v>
      </c>
      <c r="M46" s="1">
        <v>2000000</v>
      </c>
      <c r="N46" s="1">
        <v>4779999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2640000</v>
      </c>
      <c r="U46" s="1">
        <v>0</v>
      </c>
      <c r="V46" s="1">
        <v>13640001</v>
      </c>
      <c r="W46" s="1">
        <v>4000000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3670854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73720004</v>
      </c>
      <c r="AP46" s="1">
        <v>37447243</v>
      </c>
      <c r="AQ46" s="1">
        <v>36272761</v>
      </c>
      <c r="AR46" s="1">
        <v>14009830</v>
      </c>
      <c r="AS46" s="1">
        <v>2101475</v>
      </c>
      <c r="AT46" s="3">
        <f t="shared" si="2"/>
        <v>89831309</v>
      </c>
    </row>
    <row r="47" spans="1:46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"قراردادي بهره بردار"</f>
        <v>قراردادي بهره بردار</v>
      </c>
      <c r="E47" s="1" t="str">
        <f t="shared" si="4"/>
        <v>پروژه تعميرات نيروگاه بوشهر</v>
      </c>
      <c r="F47" s="1">
        <v>20695776</v>
      </c>
      <c r="G47" s="1">
        <v>58250617</v>
      </c>
      <c r="H47" s="1">
        <v>0</v>
      </c>
      <c r="I47" s="1">
        <v>19374621</v>
      </c>
      <c r="J47" s="1">
        <v>0</v>
      </c>
      <c r="K47" s="1">
        <v>4620000</v>
      </c>
      <c r="L47" s="1">
        <v>0</v>
      </c>
      <c r="M47" s="1">
        <v>1000000</v>
      </c>
      <c r="N47" s="1">
        <v>3932575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20085023</v>
      </c>
      <c r="W47" s="1">
        <v>4000000</v>
      </c>
      <c r="X47" s="1">
        <v>3004226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3089881</v>
      </c>
      <c r="AF47" s="1">
        <v>1835427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7190995</v>
      </c>
      <c r="AM47" s="1">
        <v>0</v>
      </c>
      <c r="AN47" s="1">
        <v>0</v>
      </c>
      <c r="AO47" s="1">
        <v>147079141</v>
      </c>
      <c r="AP47" s="1">
        <v>29419307</v>
      </c>
      <c r="AQ47" s="1">
        <v>117659834</v>
      </c>
      <c r="AR47" s="1">
        <v>26552511</v>
      </c>
      <c r="AS47" s="1">
        <v>3982877</v>
      </c>
      <c r="AT47" s="3">
        <f t="shared" si="2"/>
        <v>177614529</v>
      </c>
    </row>
    <row r="48" spans="1:46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"قراردادي کارگري"</f>
        <v>قراردادي کارگري</v>
      </c>
      <c r="E48" s="1" t="str">
        <f t="shared" si="4"/>
        <v>پروژه تعميرات نيروگاه بوشهر</v>
      </c>
      <c r="F48" s="1">
        <v>0</v>
      </c>
      <c r="G48" s="1">
        <v>20435306</v>
      </c>
      <c r="H48" s="1">
        <v>0</v>
      </c>
      <c r="I48" s="1">
        <v>12606238</v>
      </c>
      <c r="J48" s="1">
        <v>0</v>
      </c>
      <c r="K48" s="1">
        <v>0</v>
      </c>
      <c r="L48" s="1">
        <v>11331151</v>
      </c>
      <c r="M48" s="1">
        <v>2000000</v>
      </c>
      <c r="N48" s="1">
        <v>8003959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2640000</v>
      </c>
      <c r="U48" s="1">
        <v>0</v>
      </c>
      <c r="V48" s="1">
        <v>17406223</v>
      </c>
      <c r="W48" s="1">
        <v>4000000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1835427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95265729</v>
      </c>
      <c r="AP48" s="1">
        <v>18785414</v>
      </c>
      <c r="AQ48" s="1">
        <v>76480315</v>
      </c>
      <c r="AR48" s="1">
        <v>18686060</v>
      </c>
      <c r="AS48" s="1">
        <v>2802909</v>
      </c>
      <c r="AT48" s="3">
        <f t="shared" si="2"/>
        <v>116754698</v>
      </c>
    </row>
    <row r="49" spans="1:46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0</v>
      </c>
      <c r="G49" s="1">
        <v>8970109</v>
      </c>
      <c r="H49" s="1">
        <v>0</v>
      </c>
      <c r="I49" s="1">
        <v>8510484</v>
      </c>
      <c r="J49" s="1">
        <v>0</v>
      </c>
      <c r="K49" s="1">
        <v>0</v>
      </c>
      <c r="L49" s="1">
        <v>11521166</v>
      </c>
      <c r="M49" s="1">
        <v>2000000</v>
      </c>
      <c r="N49" s="1">
        <v>4753796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2640000</v>
      </c>
      <c r="U49" s="1">
        <v>0</v>
      </c>
      <c r="V49" s="1">
        <v>13144705</v>
      </c>
      <c r="W49" s="1">
        <v>4000000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3670854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68362171</v>
      </c>
      <c r="AP49" s="1">
        <v>9252597</v>
      </c>
      <c r="AQ49" s="1">
        <v>59109574</v>
      </c>
      <c r="AR49" s="1">
        <v>12938263</v>
      </c>
      <c r="AS49" s="1">
        <v>1940740</v>
      </c>
      <c r="AT49" s="3">
        <f t="shared" si="2"/>
        <v>83241174</v>
      </c>
    </row>
    <row r="50" spans="1:46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0</v>
      </c>
      <c r="G50" s="1">
        <v>9719424</v>
      </c>
      <c r="H50" s="1">
        <v>0</v>
      </c>
      <c r="I50" s="1">
        <v>8287074</v>
      </c>
      <c r="J50" s="1">
        <v>0</v>
      </c>
      <c r="K50" s="1">
        <v>0</v>
      </c>
      <c r="L50" s="1">
        <v>11551640</v>
      </c>
      <c r="M50" s="1">
        <v>2000000</v>
      </c>
      <c r="N50" s="1">
        <v>4884806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2640000</v>
      </c>
      <c r="U50" s="1">
        <v>0</v>
      </c>
      <c r="V50" s="1">
        <v>13247012</v>
      </c>
      <c r="W50" s="1">
        <v>4000000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1835427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67690755</v>
      </c>
      <c r="AP50" s="1">
        <v>10123961</v>
      </c>
      <c r="AQ50" s="1">
        <v>57566794</v>
      </c>
      <c r="AR50" s="1">
        <v>13171066</v>
      </c>
      <c r="AS50" s="1">
        <v>1975660</v>
      </c>
      <c r="AT50" s="3">
        <f t="shared" si="2"/>
        <v>82837481</v>
      </c>
    </row>
    <row r="51" spans="1:46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"قراردادي بهره بردار"</f>
        <v>قراردادي بهره بردار</v>
      </c>
      <c r="E51" s="1" t="str">
        <f>"پروژه دفتر مركزي"</f>
        <v>پروژه دفتر مركزي</v>
      </c>
      <c r="F51" s="1">
        <v>110822723</v>
      </c>
      <c r="G51" s="1">
        <v>41651362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2020000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154494085</v>
      </c>
      <c r="AP51" s="1">
        <v>37901739</v>
      </c>
      <c r="AQ51" s="1">
        <v>116592346</v>
      </c>
      <c r="AR51" s="1">
        <v>0</v>
      </c>
      <c r="AS51" s="1">
        <v>0</v>
      </c>
      <c r="AT51" s="3">
        <f t="shared" si="2"/>
        <v>154494085</v>
      </c>
    </row>
    <row r="52" spans="1:46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"قراردادي کارگري"</f>
        <v>قراردادي کارگري</v>
      </c>
      <c r="E52" s="1" t="str">
        <f>"پروژه تعميرات نيروگاه بوشهر"</f>
        <v>پروژه تعميرات نيروگاه بوشهر</v>
      </c>
      <c r="F52" s="1">
        <v>0</v>
      </c>
      <c r="G52" s="1">
        <v>16542732</v>
      </c>
      <c r="H52" s="1">
        <v>0</v>
      </c>
      <c r="I52" s="1">
        <v>8701720</v>
      </c>
      <c r="J52" s="1">
        <v>0</v>
      </c>
      <c r="K52" s="1">
        <v>0</v>
      </c>
      <c r="L52" s="1">
        <v>11521166</v>
      </c>
      <c r="M52" s="1">
        <v>2000000</v>
      </c>
      <c r="N52" s="1">
        <v>5947860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2640000</v>
      </c>
      <c r="U52" s="1">
        <v>0</v>
      </c>
      <c r="V52" s="1">
        <v>10372023</v>
      </c>
      <c r="W52" s="1">
        <v>4000000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73026435</v>
      </c>
      <c r="AP52" s="1">
        <v>10202109</v>
      </c>
      <c r="AQ52" s="1">
        <v>62824326</v>
      </c>
      <c r="AR52" s="1">
        <v>14605287</v>
      </c>
      <c r="AS52" s="1">
        <v>2190793</v>
      </c>
      <c r="AT52" s="3">
        <f t="shared" si="2"/>
        <v>89822515</v>
      </c>
    </row>
    <row r="53" spans="1:46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23827224</v>
      </c>
      <c r="G53" s="1">
        <v>35311854</v>
      </c>
      <c r="H53" s="1">
        <v>0</v>
      </c>
      <c r="I53" s="1">
        <v>21893193</v>
      </c>
      <c r="J53" s="1">
        <v>0</v>
      </c>
      <c r="K53" s="1">
        <v>0</v>
      </c>
      <c r="L53" s="1">
        <v>0</v>
      </c>
      <c r="M53" s="1">
        <v>1000000</v>
      </c>
      <c r="N53" s="1">
        <v>0</v>
      </c>
      <c r="O53" s="1">
        <v>0</v>
      </c>
      <c r="P53" s="1">
        <v>2020000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5415794</v>
      </c>
      <c r="W53" s="1">
        <v>4000000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3401010</v>
      </c>
      <c r="AD53" s="1">
        <v>0</v>
      </c>
      <c r="AE53" s="1">
        <v>0</v>
      </c>
      <c r="AF53" s="1">
        <v>1835427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5036518</v>
      </c>
      <c r="AM53" s="1">
        <v>0</v>
      </c>
      <c r="AN53" s="1">
        <v>0</v>
      </c>
      <c r="AO53" s="1">
        <v>103741020</v>
      </c>
      <c r="AP53" s="1">
        <v>38686249</v>
      </c>
      <c r="AQ53" s="1">
        <v>65054771</v>
      </c>
      <c r="AR53" s="1">
        <v>20381119</v>
      </c>
      <c r="AS53" s="1">
        <v>3057168</v>
      </c>
      <c r="AT53" s="3">
        <f t="shared" si="2"/>
        <v>127179307</v>
      </c>
    </row>
    <row r="54" spans="1:46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"قراردادي کارگري"</f>
        <v>قراردادي کارگري</v>
      </c>
      <c r="E54" s="1" t="str">
        <f>"پروژه دفتر مركزي"</f>
        <v>پروژه دفتر مركزي</v>
      </c>
      <c r="F54" s="1">
        <v>0</v>
      </c>
      <c r="G54" s="1">
        <v>757651</v>
      </c>
      <c r="H54" s="1">
        <v>0</v>
      </c>
      <c r="I54" s="1">
        <v>9743926</v>
      </c>
      <c r="J54" s="1">
        <v>0</v>
      </c>
      <c r="K54" s="1">
        <v>0</v>
      </c>
      <c r="L54" s="1">
        <v>11521166</v>
      </c>
      <c r="M54" s="1">
        <v>2000000</v>
      </c>
      <c r="N54" s="1">
        <v>0</v>
      </c>
      <c r="O54" s="1">
        <v>0</v>
      </c>
      <c r="P54" s="1">
        <v>2020000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3817271</v>
      </c>
      <c r="W54" s="1">
        <v>4000000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44567626</v>
      </c>
      <c r="AP54" s="1">
        <v>6427324</v>
      </c>
      <c r="AQ54" s="1">
        <v>38140302</v>
      </c>
      <c r="AR54" s="1">
        <v>8913525</v>
      </c>
      <c r="AS54" s="1">
        <v>1337029</v>
      </c>
      <c r="AT54" s="3">
        <f t="shared" si="2"/>
        <v>54818180</v>
      </c>
    </row>
    <row r="55" spans="1:46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"قراردادي کارگري"</f>
        <v>قراردادي کارگري</v>
      </c>
      <c r="E55" s="1" t="str">
        <f>"پروژه تعميرات نيروگاه بوشهر"</f>
        <v>پروژه تعميرات نيروگاه بوشهر</v>
      </c>
      <c r="F55" s="1">
        <v>0</v>
      </c>
      <c r="G55" s="1">
        <v>6679584</v>
      </c>
      <c r="H55" s="1">
        <v>0</v>
      </c>
      <c r="I55" s="1">
        <v>6235285</v>
      </c>
      <c r="J55" s="1">
        <v>0</v>
      </c>
      <c r="K55" s="1">
        <v>0</v>
      </c>
      <c r="L55" s="1">
        <v>11572430</v>
      </c>
      <c r="M55" s="1">
        <v>2000000</v>
      </c>
      <c r="N55" s="1">
        <v>4495519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2640000</v>
      </c>
      <c r="U55" s="1">
        <v>0</v>
      </c>
      <c r="V55" s="1">
        <v>16484901</v>
      </c>
      <c r="W55" s="1">
        <v>4000000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4626708</v>
      </c>
      <c r="AE55" s="1">
        <v>0</v>
      </c>
      <c r="AF55" s="1">
        <v>1835427</v>
      </c>
      <c r="AG55" s="1">
        <v>0</v>
      </c>
      <c r="AH55" s="1">
        <v>0</v>
      </c>
      <c r="AI55" s="1">
        <v>0</v>
      </c>
      <c r="AJ55" s="1">
        <v>4274934</v>
      </c>
      <c r="AK55" s="1">
        <v>0</v>
      </c>
      <c r="AL55" s="1">
        <v>0</v>
      </c>
      <c r="AM55" s="1">
        <v>0</v>
      </c>
      <c r="AN55" s="1">
        <v>0</v>
      </c>
      <c r="AO55" s="1">
        <v>73386275</v>
      </c>
      <c r="AP55" s="1">
        <v>11152330</v>
      </c>
      <c r="AQ55" s="1">
        <v>62233945</v>
      </c>
      <c r="AR55" s="1">
        <v>14310170</v>
      </c>
      <c r="AS55" s="1">
        <v>2146525</v>
      </c>
      <c r="AT55" s="3">
        <f t="shared" si="2"/>
        <v>89842970</v>
      </c>
    </row>
    <row r="56" spans="1:46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 t="shared" ref="D56:D95" si="5">"قراردادي بهره بردار"</f>
        <v>قراردادي بهره بردار</v>
      </c>
      <c r="E56" s="1" t="str">
        <f t="shared" ref="E56:E95" si="6">"پروژه بهره برداري نيروگاه بوشهر"</f>
        <v>پروژه بهره برداري نيروگاه بوشهر</v>
      </c>
      <c r="F56" s="1">
        <v>26379241</v>
      </c>
      <c r="G56" s="1">
        <v>8009742</v>
      </c>
      <c r="H56" s="1">
        <v>0</v>
      </c>
      <c r="I56" s="1">
        <v>26022831</v>
      </c>
      <c r="J56" s="1">
        <v>0</v>
      </c>
      <c r="K56" s="1">
        <v>5500000</v>
      </c>
      <c r="L56" s="1">
        <v>0</v>
      </c>
      <c r="M56" s="1">
        <v>1000000</v>
      </c>
      <c r="N56" s="1">
        <v>4140667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6879363</v>
      </c>
      <c r="W56" s="1">
        <v>4000000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3892267</v>
      </c>
      <c r="AD56" s="1">
        <v>0</v>
      </c>
      <c r="AE56" s="1">
        <v>3253381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5105243</v>
      </c>
      <c r="AM56" s="1">
        <v>0</v>
      </c>
      <c r="AN56" s="1">
        <v>0</v>
      </c>
      <c r="AO56" s="1">
        <v>94182735</v>
      </c>
      <c r="AP56" s="1">
        <v>35606914</v>
      </c>
      <c r="AQ56" s="1">
        <v>58575821</v>
      </c>
      <c r="AR56" s="1">
        <v>18836547</v>
      </c>
      <c r="AS56" s="1">
        <v>2825482</v>
      </c>
      <c r="AT56" s="3">
        <f t="shared" si="2"/>
        <v>115844764</v>
      </c>
    </row>
    <row r="57" spans="1:46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 t="shared" si="5"/>
        <v>قراردادي بهره بردار</v>
      </c>
      <c r="E57" s="1" t="str">
        <f t="shared" si="6"/>
        <v>پروژه بهره برداري نيروگاه بوشهر</v>
      </c>
      <c r="F57" s="1">
        <v>18735786</v>
      </c>
      <c r="G57" s="1">
        <v>9148469</v>
      </c>
      <c r="H57" s="1">
        <v>0</v>
      </c>
      <c r="I57" s="1">
        <v>19002838</v>
      </c>
      <c r="J57" s="1">
        <v>0</v>
      </c>
      <c r="K57" s="1">
        <v>4620000</v>
      </c>
      <c r="L57" s="1">
        <v>0</v>
      </c>
      <c r="M57" s="1">
        <v>1000000</v>
      </c>
      <c r="N57" s="1">
        <v>3656590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26617236</v>
      </c>
      <c r="W57" s="1">
        <v>4000000</v>
      </c>
      <c r="X57" s="1">
        <v>2719711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2873035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15545765</v>
      </c>
      <c r="AM57" s="1">
        <v>0</v>
      </c>
      <c r="AN57" s="1">
        <v>0</v>
      </c>
      <c r="AO57" s="1">
        <v>107919430</v>
      </c>
      <c r="AP57" s="1">
        <v>44864545</v>
      </c>
      <c r="AQ57" s="1">
        <v>63054885</v>
      </c>
      <c r="AR57" s="1">
        <v>21583886</v>
      </c>
      <c r="AS57" s="1">
        <v>3237583</v>
      </c>
      <c r="AT57" s="3">
        <f t="shared" si="2"/>
        <v>132740899</v>
      </c>
    </row>
    <row r="58" spans="1:46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28855680</v>
      </c>
      <c r="G58" s="1">
        <v>39311503</v>
      </c>
      <c r="H58" s="1">
        <v>0</v>
      </c>
      <c r="I58" s="1">
        <v>30056227</v>
      </c>
      <c r="J58" s="1">
        <v>0</v>
      </c>
      <c r="K58" s="1">
        <v>5500000</v>
      </c>
      <c r="L58" s="1">
        <v>0</v>
      </c>
      <c r="M58" s="1">
        <v>1000000</v>
      </c>
      <c r="N58" s="1">
        <v>4727026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28915233</v>
      </c>
      <c r="W58" s="1">
        <v>4000000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5403827</v>
      </c>
      <c r="AD58" s="1">
        <v>0</v>
      </c>
      <c r="AE58" s="1">
        <v>3714091</v>
      </c>
      <c r="AF58" s="1">
        <v>1835427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7563242</v>
      </c>
      <c r="AM58" s="1">
        <v>0</v>
      </c>
      <c r="AN58" s="1">
        <v>0</v>
      </c>
      <c r="AO58" s="1">
        <v>160882256</v>
      </c>
      <c r="AP58" s="1">
        <v>44797577</v>
      </c>
      <c r="AQ58" s="1">
        <v>116084679</v>
      </c>
      <c r="AR58" s="1">
        <v>26552511</v>
      </c>
      <c r="AS58" s="1">
        <v>3982877</v>
      </c>
      <c r="AT58" s="3">
        <f t="shared" si="2"/>
        <v>191417644</v>
      </c>
    </row>
    <row r="59" spans="1:46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18481340</v>
      </c>
      <c r="G59" s="1">
        <v>5389481</v>
      </c>
      <c r="H59" s="1">
        <v>0</v>
      </c>
      <c r="I59" s="1">
        <v>18649031</v>
      </c>
      <c r="J59" s="1">
        <v>0</v>
      </c>
      <c r="K59" s="1">
        <v>4620000</v>
      </c>
      <c r="L59" s="1">
        <v>0</v>
      </c>
      <c r="M59" s="1">
        <v>1000000</v>
      </c>
      <c r="N59" s="1">
        <v>3567534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26134260</v>
      </c>
      <c r="W59" s="1">
        <v>4000000</v>
      </c>
      <c r="X59" s="1">
        <v>2682775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2803062</v>
      </c>
      <c r="AF59" s="1">
        <v>3670854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15227707</v>
      </c>
      <c r="AM59" s="1">
        <v>0</v>
      </c>
      <c r="AN59" s="1">
        <v>0</v>
      </c>
      <c r="AO59" s="1">
        <v>106226044</v>
      </c>
      <c r="AP59" s="1">
        <v>50403443</v>
      </c>
      <c r="AQ59" s="1">
        <v>55822601</v>
      </c>
      <c r="AR59" s="1">
        <v>20511038</v>
      </c>
      <c r="AS59" s="1">
        <v>3076656</v>
      </c>
      <c r="AT59" s="3">
        <f t="shared" si="2"/>
        <v>129813738</v>
      </c>
    </row>
    <row r="60" spans="1:46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37781442</v>
      </c>
      <c r="G60" s="1">
        <v>22459192</v>
      </c>
      <c r="H60" s="1">
        <v>0</v>
      </c>
      <c r="I60" s="1">
        <v>44978474</v>
      </c>
      <c r="J60" s="1">
        <v>0</v>
      </c>
      <c r="K60" s="1">
        <v>0</v>
      </c>
      <c r="L60" s="1">
        <v>0</v>
      </c>
      <c r="M60" s="1">
        <v>1000000</v>
      </c>
      <c r="N60" s="1">
        <v>6313282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10333728</v>
      </c>
      <c r="W60" s="1">
        <v>4000000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3892267</v>
      </c>
      <c r="AD60" s="1">
        <v>0</v>
      </c>
      <c r="AE60" s="1">
        <v>4960436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5411385</v>
      </c>
      <c r="AM60" s="1">
        <v>0</v>
      </c>
      <c r="AN60" s="1">
        <v>0</v>
      </c>
      <c r="AO60" s="1">
        <v>141130206</v>
      </c>
      <c r="AP60" s="1">
        <v>77212395</v>
      </c>
      <c r="AQ60" s="1">
        <v>63917811</v>
      </c>
      <c r="AR60" s="1">
        <v>26552511</v>
      </c>
      <c r="AS60" s="1">
        <v>3982877</v>
      </c>
      <c r="AT60" s="3">
        <f t="shared" si="2"/>
        <v>171665594</v>
      </c>
    </row>
    <row r="61" spans="1:46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29435112</v>
      </c>
      <c r="G61" s="1">
        <v>17674019</v>
      </c>
      <c r="H61" s="1">
        <v>0</v>
      </c>
      <c r="I61" s="1">
        <v>27847805</v>
      </c>
      <c r="J61" s="1">
        <v>0</v>
      </c>
      <c r="K61" s="1">
        <v>5500000</v>
      </c>
      <c r="L61" s="1">
        <v>0</v>
      </c>
      <c r="M61" s="1">
        <v>1000000</v>
      </c>
      <c r="N61" s="1">
        <v>4929827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27057653</v>
      </c>
      <c r="W61" s="1">
        <v>4000000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3873436</v>
      </c>
      <c r="AF61" s="1">
        <v>1835427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7042610</v>
      </c>
      <c r="AM61" s="1">
        <v>0</v>
      </c>
      <c r="AN61" s="1">
        <v>0</v>
      </c>
      <c r="AO61" s="1">
        <v>130195889</v>
      </c>
      <c r="AP61" s="1">
        <v>41762038</v>
      </c>
      <c r="AQ61" s="1">
        <v>88433851</v>
      </c>
      <c r="AR61" s="1">
        <v>25672092</v>
      </c>
      <c r="AS61" s="1">
        <v>3850814</v>
      </c>
      <c r="AT61" s="3">
        <f t="shared" si="2"/>
        <v>159718795</v>
      </c>
    </row>
    <row r="62" spans="1:46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21257572</v>
      </c>
      <c r="G62" s="1">
        <v>5169677</v>
      </c>
      <c r="H62" s="1">
        <v>0</v>
      </c>
      <c r="I62" s="1">
        <v>20875978</v>
      </c>
      <c r="J62" s="1">
        <v>0</v>
      </c>
      <c r="K62" s="1">
        <v>4620000</v>
      </c>
      <c r="L62" s="1">
        <v>0</v>
      </c>
      <c r="M62" s="1">
        <v>1000000</v>
      </c>
      <c r="N62" s="1">
        <v>4129204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15489430</v>
      </c>
      <c r="W62" s="1">
        <v>4000000</v>
      </c>
      <c r="X62" s="1">
        <v>3085777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3244374</v>
      </c>
      <c r="AF62" s="1">
        <v>3670854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16405338</v>
      </c>
      <c r="AM62" s="1">
        <v>0</v>
      </c>
      <c r="AN62" s="1">
        <v>0</v>
      </c>
      <c r="AO62" s="1">
        <v>102948204</v>
      </c>
      <c r="AP62" s="1">
        <v>38610922</v>
      </c>
      <c r="AQ62" s="1">
        <v>64337282</v>
      </c>
      <c r="AR62" s="1">
        <v>19855470</v>
      </c>
      <c r="AS62" s="1">
        <v>2978321</v>
      </c>
      <c r="AT62" s="3">
        <f t="shared" si="2"/>
        <v>125781995</v>
      </c>
    </row>
    <row r="63" spans="1:46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29908734</v>
      </c>
      <c r="G63" s="1">
        <v>1319400</v>
      </c>
      <c r="H63" s="1">
        <v>0</v>
      </c>
      <c r="I63" s="1">
        <v>29108379</v>
      </c>
      <c r="J63" s="1">
        <v>0</v>
      </c>
      <c r="K63" s="1">
        <v>5500000</v>
      </c>
      <c r="L63" s="1">
        <v>0</v>
      </c>
      <c r="M63" s="1">
        <v>1000000</v>
      </c>
      <c r="N63" s="1">
        <v>5095595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16384653</v>
      </c>
      <c r="W63" s="1">
        <v>4000000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3892267</v>
      </c>
      <c r="AD63" s="1">
        <v>0</v>
      </c>
      <c r="AE63" s="1">
        <v>4003682</v>
      </c>
      <c r="AF63" s="1">
        <v>1835427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5095595</v>
      </c>
      <c r="AM63" s="1">
        <v>0</v>
      </c>
      <c r="AN63" s="1">
        <v>0</v>
      </c>
      <c r="AO63" s="1">
        <v>107143732</v>
      </c>
      <c r="AP63" s="1">
        <v>34330412</v>
      </c>
      <c r="AQ63" s="1">
        <v>72813320</v>
      </c>
      <c r="AR63" s="1">
        <v>21061661</v>
      </c>
      <c r="AS63" s="1">
        <v>3159249</v>
      </c>
      <c r="AT63" s="3">
        <f t="shared" si="2"/>
        <v>131364642</v>
      </c>
    </row>
    <row r="64" spans="1:46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27422218</v>
      </c>
      <c r="G64" s="1">
        <v>21378688</v>
      </c>
      <c r="H64" s="1">
        <v>0</v>
      </c>
      <c r="I64" s="1">
        <v>23160566</v>
      </c>
      <c r="J64" s="1">
        <v>0</v>
      </c>
      <c r="K64" s="1">
        <v>5500000</v>
      </c>
      <c r="L64" s="1">
        <v>0</v>
      </c>
      <c r="M64" s="1">
        <v>1000000</v>
      </c>
      <c r="N64" s="1">
        <v>4225314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15945607</v>
      </c>
      <c r="W64" s="1">
        <v>4000000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3319889</v>
      </c>
      <c r="AF64" s="1">
        <v>1835427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5654443</v>
      </c>
      <c r="AM64" s="1">
        <v>0</v>
      </c>
      <c r="AN64" s="1">
        <v>0</v>
      </c>
      <c r="AO64" s="1">
        <v>113442152</v>
      </c>
      <c r="AP64" s="1">
        <v>41838931</v>
      </c>
      <c r="AQ64" s="1">
        <v>71603221</v>
      </c>
      <c r="AR64" s="1">
        <v>22321345</v>
      </c>
      <c r="AS64" s="1">
        <v>3348202</v>
      </c>
      <c r="AT64" s="3">
        <f t="shared" si="2"/>
        <v>139111699</v>
      </c>
    </row>
    <row r="65" spans="1:46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17614713</v>
      </c>
      <c r="G65" s="1">
        <v>4734007</v>
      </c>
      <c r="H65" s="1">
        <v>0</v>
      </c>
      <c r="I65" s="1">
        <v>16132358</v>
      </c>
      <c r="J65" s="1">
        <v>0</v>
      </c>
      <c r="K65" s="1">
        <v>3465000</v>
      </c>
      <c r="L65" s="1">
        <v>0</v>
      </c>
      <c r="M65" s="1">
        <v>1000000</v>
      </c>
      <c r="N65" s="1">
        <v>3264214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22686641</v>
      </c>
      <c r="W65" s="1">
        <v>4000000</v>
      </c>
      <c r="X65" s="1">
        <v>2556974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2564740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12279158</v>
      </c>
      <c r="AM65" s="1">
        <v>0</v>
      </c>
      <c r="AN65" s="1">
        <v>0</v>
      </c>
      <c r="AO65" s="1">
        <v>90297805</v>
      </c>
      <c r="AP65" s="1">
        <v>11567390</v>
      </c>
      <c r="AQ65" s="1">
        <v>78730415</v>
      </c>
      <c r="AR65" s="1">
        <v>18059561</v>
      </c>
      <c r="AS65" s="1">
        <v>2708934</v>
      </c>
      <c r="AT65" s="3">
        <f t="shared" si="2"/>
        <v>111066300</v>
      </c>
    </row>
    <row r="66" spans="1:46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28744833</v>
      </c>
      <c r="G66" s="1">
        <v>13678101</v>
      </c>
      <c r="H66" s="1">
        <v>0</v>
      </c>
      <c r="I66" s="1">
        <v>26189108</v>
      </c>
      <c r="J66" s="1">
        <v>0</v>
      </c>
      <c r="K66" s="1">
        <v>5500000</v>
      </c>
      <c r="L66" s="1">
        <v>0</v>
      </c>
      <c r="M66" s="1">
        <v>1000000</v>
      </c>
      <c r="N66" s="1">
        <v>4688229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16765545</v>
      </c>
      <c r="W66" s="1">
        <v>4000000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3683609</v>
      </c>
      <c r="AF66" s="1">
        <v>3670854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8036965</v>
      </c>
      <c r="AM66" s="1">
        <v>0</v>
      </c>
      <c r="AN66" s="1">
        <v>0</v>
      </c>
      <c r="AO66" s="1">
        <v>115957244</v>
      </c>
      <c r="AP66" s="1">
        <v>57531284</v>
      </c>
      <c r="AQ66" s="1">
        <v>58425960</v>
      </c>
      <c r="AR66" s="1">
        <v>22457278</v>
      </c>
      <c r="AS66" s="1">
        <v>3368592</v>
      </c>
      <c r="AT66" s="3">
        <f t="shared" si="2"/>
        <v>141783114</v>
      </c>
    </row>
    <row r="67" spans="1:46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24169844</v>
      </c>
      <c r="G67" s="1">
        <v>1731754</v>
      </c>
      <c r="H67" s="1">
        <v>0</v>
      </c>
      <c r="I67" s="1">
        <v>21081706</v>
      </c>
      <c r="J67" s="1">
        <v>0</v>
      </c>
      <c r="K67" s="1">
        <v>4125000</v>
      </c>
      <c r="L67" s="1">
        <v>0</v>
      </c>
      <c r="M67" s="1">
        <v>1000000</v>
      </c>
      <c r="N67" s="1">
        <v>3367378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5577598</v>
      </c>
      <c r="W67" s="1">
        <v>4000000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2645797</v>
      </c>
      <c r="AF67" s="1">
        <v>3670854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4511251</v>
      </c>
      <c r="AM67" s="1">
        <v>0</v>
      </c>
      <c r="AN67" s="1">
        <v>0</v>
      </c>
      <c r="AO67" s="1">
        <v>75881182</v>
      </c>
      <c r="AP67" s="1">
        <v>36971405</v>
      </c>
      <c r="AQ67" s="1">
        <v>38909777</v>
      </c>
      <c r="AR67" s="1">
        <v>14442066</v>
      </c>
      <c r="AS67" s="1">
        <v>2166310</v>
      </c>
      <c r="AT67" s="3">
        <f t="shared" ref="AT67:AT130" si="7">AO67+AR67+AS67</f>
        <v>92489558</v>
      </c>
    </row>
    <row r="68" spans="1:46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28656658</v>
      </c>
      <c r="G68" s="1">
        <v>0</v>
      </c>
      <c r="H68" s="1">
        <v>0</v>
      </c>
      <c r="I68" s="1">
        <v>27213602</v>
      </c>
      <c r="J68" s="1">
        <v>0</v>
      </c>
      <c r="K68" s="1">
        <v>4125000</v>
      </c>
      <c r="L68" s="1">
        <v>0</v>
      </c>
      <c r="M68" s="1">
        <v>1000000</v>
      </c>
      <c r="N68" s="1">
        <v>4657369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15821198</v>
      </c>
      <c r="W68" s="1">
        <v>4000000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3659361</v>
      </c>
      <c r="AF68" s="1">
        <v>1835427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6919518</v>
      </c>
      <c r="AM68" s="1">
        <v>0</v>
      </c>
      <c r="AN68" s="1">
        <v>0</v>
      </c>
      <c r="AO68" s="1">
        <v>97888133</v>
      </c>
      <c r="AP68" s="1">
        <v>29836197</v>
      </c>
      <c r="AQ68" s="1">
        <v>68051936</v>
      </c>
      <c r="AR68" s="1">
        <v>19210541</v>
      </c>
      <c r="AS68" s="1">
        <v>2881581</v>
      </c>
      <c r="AT68" s="3">
        <f t="shared" si="7"/>
        <v>119980255</v>
      </c>
    </row>
    <row r="69" spans="1:46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18919693</v>
      </c>
      <c r="G69" s="1">
        <v>4617096</v>
      </c>
      <c r="H69" s="1">
        <v>0</v>
      </c>
      <c r="I69" s="1">
        <v>18338460</v>
      </c>
      <c r="J69" s="1">
        <v>0</v>
      </c>
      <c r="K69" s="1">
        <v>4620000</v>
      </c>
      <c r="L69" s="1">
        <v>0</v>
      </c>
      <c r="M69" s="1">
        <v>1000000</v>
      </c>
      <c r="N69" s="1">
        <v>3720957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13833783</v>
      </c>
      <c r="W69" s="1">
        <v>4000000</v>
      </c>
      <c r="X69" s="1">
        <v>2746407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2923609</v>
      </c>
      <c r="AF69" s="1">
        <v>1835427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14964444</v>
      </c>
      <c r="AM69" s="1">
        <v>0</v>
      </c>
      <c r="AN69" s="1">
        <v>0</v>
      </c>
      <c r="AO69" s="1">
        <v>91519876</v>
      </c>
      <c r="AP69" s="1">
        <v>17205301</v>
      </c>
      <c r="AQ69" s="1">
        <v>74314575</v>
      </c>
      <c r="AR69" s="1">
        <v>17936890</v>
      </c>
      <c r="AS69" s="1">
        <v>2690533</v>
      </c>
      <c r="AT69" s="3">
        <f t="shared" si="7"/>
        <v>112147299</v>
      </c>
    </row>
    <row r="70" spans="1:46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29986831</v>
      </c>
      <c r="G70" s="1">
        <v>10356011</v>
      </c>
      <c r="H70" s="1">
        <v>0</v>
      </c>
      <c r="I70" s="1">
        <v>28515137</v>
      </c>
      <c r="J70" s="1">
        <v>0</v>
      </c>
      <c r="K70" s="1">
        <v>5500000</v>
      </c>
      <c r="L70" s="1">
        <v>0</v>
      </c>
      <c r="M70" s="1">
        <v>1000000</v>
      </c>
      <c r="N70" s="1">
        <v>5122929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22578379</v>
      </c>
      <c r="W70" s="1">
        <v>4000000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4025159</v>
      </c>
      <c r="AF70" s="1">
        <v>1835427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7611209</v>
      </c>
      <c r="AM70" s="1">
        <v>0</v>
      </c>
      <c r="AN70" s="1">
        <v>0</v>
      </c>
      <c r="AO70" s="1">
        <v>120531082</v>
      </c>
      <c r="AP70" s="1">
        <v>51913926</v>
      </c>
      <c r="AQ70" s="1">
        <v>68617156</v>
      </c>
      <c r="AR70" s="1">
        <v>23739131</v>
      </c>
      <c r="AS70" s="1">
        <v>3560870</v>
      </c>
      <c r="AT70" s="3">
        <f t="shared" si="7"/>
        <v>147831083</v>
      </c>
    </row>
    <row r="71" spans="1:46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19244678</v>
      </c>
      <c r="G71" s="1">
        <v>4185088</v>
      </c>
      <c r="H71" s="1">
        <v>0</v>
      </c>
      <c r="I71" s="1">
        <v>18764760</v>
      </c>
      <c r="J71" s="1">
        <v>0</v>
      </c>
      <c r="K71" s="1">
        <v>4620000</v>
      </c>
      <c r="L71" s="1">
        <v>0</v>
      </c>
      <c r="M71" s="1">
        <v>1000000</v>
      </c>
      <c r="N71" s="1">
        <v>3834702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14106821</v>
      </c>
      <c r="W71" s="1">
        <v>4000000</v>
      </c>
      <c r="X71" s="1">
        <v>2793582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3012980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15171905</v>
      </c>
      <c r="AM71" s="1">
        <v>0</v>
      </c>
      <c r="AN71" s="1">
        <v>0</v>
      </c>
      <c r="AO71" s="1">
        <v>90734516</v>
      </c>
      <c r="AP71" s="1">
        <v>38849057</v>
      </c>
      <c r="AQ71" s="1">
        <v>51885459</v>
      </c>
      <c r="AR71" s="1">
        <v>18146903</v>
      </c>
      <c r="AS71" s="1">
        <v>2722035</v>
      </c>
      <c r="AT71" s="3">
        <f t="shared" si="7"/>
        <v>111603454</v>
      </c>
    </row>
    <row r="72" spans="1:46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28334192</v>
      </c>
      <c r="G72" s="1">
        <v>7804855</v>
      </c>
      <c r="H72" s="1">
        <v>0</v>
      </c>
      <c r="I72" s="1">
        <v>27589781</v>
      </c>
      <c r="J72" s="1">
        <v>0</v>
      </c>
      <c r="K72" s="1">
        <v>5500000</v>
      </c>
      <c r="L72" s="1">
        <v>0</v>
      </c>
      <c r="M72" s="1">
        <v>1000000</v>
      </c>
      <c r="N72" s="1">
        <v>4544505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37846710</v>
      </c>
      <c r="W72" s="1">
        <v>4000000</v>
      </c>
      <c r="X72" s="1">
        <v>4113028</v>
      </c>
      <c r="Y72" s="1">
        <v>0</v>
      </c>
      <c r="Z72" s="1">
        <v>0</v>
      </c>
      <c r="AA72" s="1">
        <v>0</v>
      </c>
      <c r="AB72" s="1">
        <v>0</v>
      </c>
      <c r="AC72" s="1">
        <v>4459102</v>
      </c>
      <c r="AD72" s="1">
        <v>0</v>
      </c>
      <c r="AE72" s="1">
        <v>3570682</v>
      </c>
      <c r="AF72" s="1">
        <v>1835427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16550524</v>
      </c>
      <c r="AM72" s="1">
        <v>0</v>
      </c>
      <c r="AN72" s="1">
        <v>0</v>
      </c>
      <c r="AO72" s="1">
        <v>147148806</v>
      </c>
      <c r="AP72" s="1">
        <v>46441073</v>
      </c>
      <c r="AQ72" s="1">
        <v>100707733</v>
      </c>
      <c r="AR72" s="1">
        <v>26552511</v>
      </c>
      <c r="AS72" s="1">
        <v>3982877</v>
      </c>
      <c r="AT72" s="3">
        <f t="shared" si="7"/>
        <v>177684194</v>
      </c>
    </row>
    <row r="73" spans="1:46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27701856</v>
      </c>
      <c r="G73" s="1">
        <v>0</v>
      </c>
      <c r="H73" s="1">
        <v>0</v>
      </c>
      <c r="I73" s="1">
        <v>25630264</v>
      </c>
      <c r="J73" s="1">
        <v>0</v>
      </c>
      <c r="K73" s="1">
        <v>4125000</v>
      </c>
      <c r="L73" s="1">
        <v>0</v>
      </c>
      <c r="M73" s="1">
        <v>1000000</v>
      </c>
      <c r="N73" s="1">
        <v>4323188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10802445</v>
      </c>
      <c r="W73" s="1">
        <v>4000000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3396790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5424485</v>
      </c>
      <c r="AM73" s="1">
        <v>0</v>
      </c>
      <c r="AN73" s="1">
        <v>0</v>
      </c>
      <c r="AO73" s="1">
        <v>86404028</v>
      </c>
      <c r="AP73" s="1">
        <v>18155244</v>
      </c>
      <c r="AQ73" s="1">
        <v>68248784</v>
      </c>
      <c r="AR73" s="1">
        <v>17280806</v>
      </c>
      <c r="AS73" s="1">
        <v>2592121</v>
      </c>
      <c r="AT73" s="3">
        <f t="shared" si="7"/>
        <v>106276955</v>
      </c>
    </row>
    <row r="74" spans="1:46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27739645</v>
      </c>
      <c r="G74" s="1">
        <v>0</v>
      </c>
      <c r="H74" s="1">
        <v>0</v>
      </c>
      <c r="I74" s="1">
        <v>24980550</v>
      </c>
      <c r="J74" s="1">
        <v>0</v>
      </c>
      <c r="K74" s="1">
        <v>5500000</v>
      </c>
      <c r="L74" s="1">
        <v>0</v>
      </c>
      <c r="M74" s="1">
        <v>1000000</v>
      </c>
      <c r="N74" s="1">
        <v>4336413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13927408</v>
      </c>
      <c r="W74" s="1">
        <v>4000000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3407182</v>
      </c>
      <c r="AF74" s="1">
        <v>1835427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5076953</v>
      </c>
      <c r="AM74" s="1">
        <v>0</v>
      </c>
      <c r="AN74" s="1">
        <v>0</v>
      </c>
      <c r="AO74" s="1">
        <v>91803578</v>
      </c>
      <c r="AP74" s="1">
        <v>27196647</v>
      </c>
      <c r="AQ74" s="1">
        <v>64606931</v>
      </c>
      <c r="AR74" s="1">
        <v>17993630</v>
      </c>
      <c r="AS74" s="1">
        <v>2699045</v>
      </c>
      <c r="AT74" s="3">
        <f t="shared" si="7"/>
        <v>112496253</v>
      </c>
    </row>
    <row r="75" spans="1:46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18131162</v>
      </c>
      <c r="G75" s="1">
        <v>10481589</v>
      </c>
      <c r="H75" s="1">
        <v>0</v>
      </c>
      <c r="I75" s="1">
        <v>16782438</v>
      </c>
      <c r="J75" s="1">
        <v>0</v>
      </c>
      <c r="K75" s="1">
        <v>3465000</v>
      </c>
      <c r="L75" s="1">
        <v>0</v>
      </c>
      <c r="M75" s="1">
        <v>1000000</v>
      </c>
      <c r="N75" s="1">
        <v>3444971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12847510</v>
      </c>
      <c r="W75" s="1">
        <v>4000000</v>
      </c>
      <c r="X75" s="1">
        <v>2631943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2706763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13604921</v>
      </c>
      <c r="AM75" s="1">
        <v>0</v>
      </c>
      <c r="AN75" s="1">
        <v>0</v>
      </c>
      <c r="AO75" s="1">
        <v>89096297</v>
      </c>
      <c r="AP75" s="1">
        <v>37743300</v>
      </c>
      <c r="AQ75" s="1">
        <v>51352997</v>
      </c>
      <c r="AR75" s="1">
        <v>17819259</v>
      </c>
      <c r="AS75" s="1">
        <v>2672889</v>
      </c>
      <c r="AT75" s="3">
        <f t="shared" si="7"/>
        <v>109588445</v>
      </c>
    </row>
    <row r="76" spans="1:46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18294915</v>
      </c>
      <c r="G76" s="1">
        <v>0</v>
      </c>
      <c r="H76" s="1">
        <v>0</v>
      </c>
      <c r="I76" s="1">
        <v>16095650</v>
      </c>
      <c r="J76" s="1">
        <v>0</v>
      </c>
      <c r="K76" s="1">
        <v>4620000</v>
      </c>
      <c r="L76" s="1">
        <v>0</v>
      </c>
      <c r="M76" s="1">
        <v>1000000</v>
      </c>
      <c r="N76" s="1">
        <v>3502285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11363143</v>
      </c>
      <c r="W76" s="1">
        <v>4000000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2751795</v>
      </c>
      <c r="AF76" s="1">
        <v>1835427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7709158</v>
      </c>
      <c r="AM76" s="1">
        <v>0</v>
      </c>
      <c r="AN76" s="1">
        <v>0</v>
      </c>
      <c r="AO76" s="1">
        <v>71172373</v>
      </c>
      <c r="AP76" s="1">
        <v>29823738</v>
      </c>
      <c r="AQ76" s="1">
        <v>41348635</v>
      </c>
      <c r="AR76" s="1">
        <v>13867389</v>
      </c>
      <c r="AS76" s="1">
        <v>2080108</v>
      </c>
      <c r="AT76" s="3">
        <f t="shared" si="7"/>
        <v>87119870</v>
      </c>
    </row>
    <row r="77" spans="1:46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18859230</v>
      </c>
      <c r="G77" s="1">
        <v>4180392</v>
      </c>
      <c r="H77" s="1">
        <v>0</v>
      </c>
      <c r="I77" s="1">
        <v>18603661</v>
      </c>
      <c r="J77" s="1">
        <v>0</v>
      </c>
      <c r="K77" s="1">
        <v>4620000</v>
      </c>
      <c r="L77" s="1">
        <v>0</v>
      </c>
      <c r="M77" s="1">
        <v>1000000</v>
      </c>
      <c r="N77" s="1">
        <v>3699795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12525325</v>
      </c>
      <c r="W77" s="1">
        <v>4000000</v>
      </c>
      <c r="X77" s="1">
        <v>2737630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2906982</v>
      </c>
      <c r="AF77" s="1">
        <v>1835427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9229586</v>
      </c>
      <c r="AM77" s="1">
        <v>0</v>
      </c>
      <c r="AN77" s="1">
        <v>0</v>
      </c>
      <c r="AO77" s="1">
        <v>84198028</v>
      </c>
      <c r="AP77" s="1">
        <v>52219429</v>
      </c>
      <c r="AQ77" s="1">
        <v>31978599</v>
      </c>
      <c r="AR77" s="1">
        <v>16472520</v>
      </c>
      <c r="AS77" s="1">
        <v>2470878</v>
      </c>
      <c r="AT77" s="3">
        <f t="shared" si="7"/>
        <v>103141426</v>
      </c>
    </row>
    <row r="78" spans="1:46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18070700</v>
      </c>
      <c r="G78" s="1">
        <v>6552909</v>
      </c>
      <c r="H78" s="1">
        <v>0</v>
      </c>
      <c r="I78" s="1">
        <v>15402692</v>
      </c>
      <c r="J78" s="1">
        <v>0</v>
      </c>
      <c r="K78" s="1">
        <v>4620000</v>
      </c>
      <c r="L78" s="1">
        <v>0</v>
      </c>
      <c r="M78" s="1">
        <v>1000000</v>
      </c>
      <c r="N78" s="1">
        <v>3423809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11044059</v>
      </c>
      <c r="W78" s="1">
        <v>4000000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2690136</v>
      </c>
      <c r="AF78" s="1">
        <v>3670854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7408659</v>
      </c>
      <c r="AM78" s="1">
        <v>0</v>
      </c>
      <c r="AN78" s="1">
        <v>0</v>
      </c>
      <c r="AO78" s="1">
        <v>77883818</v>
      </c>
      <c r="AP78" s="1">
        <v>12526598</v>
      </c>
      <c r="AQ78" s="1">
        <v>65357220</v>
      </c>
      <c r="AR78" s="1">
        <v>14842593</v>
      </c>
      <c r="AS78" s="1">
        <v>2226389</v>
      </c>
      <c r="AT78" s="3">
        <f t="shared" si="7"/>
        <v>94952800</v>
      </c>
    </row>
    <row r="79" spans="1:46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15951997</v>
      </c>
      <c r="G79" s="1">
        <v>0</v>
      </c>
      <c r="H79" s="1">
        <v>0</v>
      </c>
      <c r="I79" s="1">
        <v>14932403</v>
      </c>
      <c r="J79" s="1">
        <v>0</v>
      </c>
      <c r="K79" s="1">
        <v>0</v>
      </c>
      <c r="L79" s="1">
        <v>0</v>
      </c>
      <c r="M79" s="1">
        <v>1000000</v>
      </c>
      <c r="N79" s="1">
        <v>2990874</v>
      </c>
      <c r="O79" s="1">
        <v>0</v>
      </c>
      <c r="P79" s="1">
        <v>0</v>
      </c>
      <c r="Q79" s="1">
        <v>0</v>
      </c>
      <c r="R79" s="1">
        <v>533575</v>
      </c>
      <c r="S79" s="1">
        <v>0</v>
      </c>
      <c r="T79" s="1">
        <v>0</v>
      </c>
      <c r="U79" s="1">
        <v>0</v>
      </c>
      <c r="V79" s="1">
        <v>7980001</v>
      </c>
      <c r="W79" s="1">
        <v>4000000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2349972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5774764</v>
      </c>
      <c r="AM79" s="1">
        <v>0</v>
      </c>
      <c r="AN79" s="1">
        <v>0</v>
      </c>
      <c r="AO79" s="1">
        <v>55513586</v>
      </c>
      <c r="AP79" s="1">
        <v>26940707</v>
      </c>
      <c r="AQ79" s="1">
        <v>28572879</v>
      </c>
      <c r="AR79" s="1">
        <v>10996002</v>
      </c>
      <c r="AS79" s="1">
        <v>1649400</v>
      </c>
      <c r="AT79" s="3">
        <f t="shared" si="7"/>
        <v>68158988</v>
      </c>
    </row>
    <row r="80" spans="1:46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26013948</v>
      </c>
      <c r="G80" s="1">
        <v>2444700</v>
      </c>
      <c r="H80" s="1">
        <v>0</v>
      </c>
      <c r="I80" s="1">
        <v>24918976</v>
      </c>
      <c r="J80" s="1">
        <v>0</v>
      </c>
      <c r="K80" s="1">
        <v>5500000</v>
      </c>
      <c r="L80" s="1">
        <v>0</v>
      </c>
      <c r="M80" s="1">
        <v>1000000</v>
      </c>
      <c r="N80" s="1">
        <v>4012814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6299070</v>
      </c>
      <c r="W80" s="1">
        <v>4000000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3152925</v>
      </c>
      <c r="AF80" s="1">
        <v>5506281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4892038</v>
      </c>
      <c r="AM80" s="1">
        <v>0</v>
      </c>
      <c r="AN80" s="1">
        <v>0</v>
      </c>
      <c r="AO80" s="1">
        <v>87740752</v>
      </c>
      <c r="AP80" s="1">
        <v>38883314</v>
      </c>
      <c r="AQ80" s="1">
        <v>48857438</v>
      </c>
      <c r="AR80" s="1">
        <v>16446894</v>
      </c>
      <c r="AS80" s="1">
        <v>2467034</v>
      </c>
      <c r="AT80" s="3">
        <f t="shared" si="7"/>
        <v>106654680</v>
      </c>
    </row>
    <row r="81" spans="1:46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28203190</v>
      </c>
      <c r="G81" s="1">
        <v>17997631</v>
      </c>
      <c r="H81" s="1">
        <v>0</v>
      </c>
      <c r="I81" s="1">
        <v>25289411</v>
      </c>
      <c r="J81" s="1">
        <v>0</v>
      </c>
      <c r="K81" s="1">
        <v>5500000</v>
      </c>
      <c r="L81" s="1">
        <v>0</v>
      </c>
      <c r="M81" s="1">
        <v>1000000</v>
      </c>
      <c r="N81" s="1">
        <v>4498655</v>
      </c>
      <c r="O81" s="1">
        <v>0</v>
      </c>
      <c r="P81" s="1">
        <v>0</v>
      </c>
      <c r="Q81" s="1">
        <v>0</v>
      </c>
      <c r="R81" s="1">
        <v>458940</v>
      </c>
      <c r="S81" s="1">
        <v>0</v>
      </c>
      <c r="T81" s="1">
        <v>0</v>
      </c>
      <c r="U81" s="1">
        <v>0</v>
      </c>
      <c r="V81" s="1">
        <v>14836454</v>
      </c>
      <c r="W81" s="1">
        <v>4000000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3534657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5912517</v>
      </c>
      <c r="AM81" s="1">
        <v>0</v>
      </c>
      <c r="AN81" s="1">
        <v>0</v>
      </c>
      <c r="AO81" s="1">
        <v>111231455</v>
      </c>
      <c r="AP81" s="1">
        <v>41971826</v>
      </c>
      <c r="AQ81" s="1">
        <v>69259629</v>
      </c>
      <c r="AR81" s="1">
        <v>22154503</v>
      </c>
      <c r="AS81" s="1">
        <v>3323175</v>
      </c>
      <c r="AT81" s="3">
        <f t="shared" si="7"/>
        <v>136709133</v>
      </c>
    </row>
    <row r="82" spans="1:46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17957333</v>
      </c>
      <c r="G82" s="1">
        <v>8615423</v>
      </c>
      <c r="H82" s="1">
        <v>0</v>
      </c>
      <c r="I82" s="1">
        <v>17137213</v>
      </c>
      <c r="J82" s="1">
        <v>0</v>
      </c>
      <c r="K82" s="1">
        <v>4620000</v>
      </c>
      <c r="L82" s="1">
        <v>0</v>
      </c>
      <c r="M82" s="1">
        <v>1000000</v>
      </c>
      <c r="N82" s="1">
        <v>3384131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12906801</v>
      </c>
      <c r="W82" s="1">
        <v>4000000</v>
      </c>
      <c r="X82" s="1">
        <v>2606710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2658960</v>
      </c>
      <c r="AF82" s="1">
        <v>1835427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13784923</v>
      </c>
      <c r="AM82" s="1">
        <v>0</v>
      </c>
      <c r="AN82" s="1">
        <v>0</v>
      </c>
      <c r="AO82" s="1">
        <v>90506921</v>
      </c>
      <c r="AP82" s="1">
        <v>39972931</v>
      </c>
      <c r="AQ82" s="1">
        <v>50533990</v>
      </c>
      <c r="AR82" s="1">
        <v>17734299</v>
      </c>
      <c r="AS82" s="1">
        <v>2660145</v>
      </c>
      <c r="AT82" s="3">
        <f t="shared" si="7"/>
        <v>110901365</v>
      </c>
    </row>
    <row r="83" spans="1:46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35657700</v>
      </c>
      <c r="G83" s="1">
        <v>13039281</v>
      </c>
      <c r="H83" s="1">
        <v>0</v>
      </c>
      <c r="I83" s="1">
        <v>38035648</v>
      </c>
      <c r="J83" s="1">
        <v>0</v>
      </c>
      <c r="K83" s="1">
        <v>5500000</v>
      </c>
      <c r="L83" s="1">
        <v>0</v>
      </c>
      <c r="M83" s="1">
        <v>1000000</v>
      </c>
      <c r="N83" s="1">
        <v>5569973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8841399</v>
      </c>
      <c r="W83" s="1">
        <v>4000000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4376407</v>
      </c>
      <c r="AF83" s="1">
        <v>1835427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4774262</v>
      </c>
      <c r="AM83" s="1">
        <v>0</v>
      </c>
      <c r="AN83" s="1">
        <v>0</v>
      </c>
      <c r="AO83" s="1">
        <v>122630097</v>
      </c>
      <c r="AP83" s="1">
        <v>55838606</v>
      </c>
      <c r="AQ83" s="1">
        <v>66791491</v>
      </c>
      <c r="AR83" s="1">
        <v>24158934</v>
      </c>
      <c r="AS83" s="1">
        <v>3623840</v>
      </c>
      <c r="AT83" s="3">
        <f t="shared" si="7"/>
        <v>150412871</v>
      </c>
    </row>
    <row r="84" spans="1:46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17962371</v>
      </c>
      <c r="G84" s="1">
        <v>410365</v>
      </c>
      <c r="H84" s="1">
        <v>0</v>
      </c>
      <c r="I84" s="1">
        <v>15726359</v>
      </c>
      <c r="J84" s="1">
        <v>0</v>
      </c>
      <c r="K84" s="1">
        <v>3465000</v>
      </c>
      <c r="L84" s="1">
        <v>0</v>
      </c>
      <c r="M84" s="1">
        <v>1000000</v>
      </c>
      <c r="N84" s="1">
        <v>3385894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11065847</v>
      </c>
      <c r="W84" s="1">
        <v>4000000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2660346</v>
      </c>
      <c r="AF84" s="1">
        <v>1835427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7353739</v>
      </c>
      <c r="AM84" s="1">
        <v>0</v>
      </c>
      <c r="AN84" s="1">
        <v>0</v>
      </c>
      <c r="AO84" s="1">
        <v>68865348</v>
      </c>
      <c r="AP84" s="1">
        <v>34887374</v>
      </c>
      <c r="AQ84" s="1">
        <v>33977974</v>
      </c>
      <c r="AR84" s="1">
        <v>13405984</v>
      </c>
      <c r="AS84" s="1">
        <v>2010898</v>
      </c>
      <c r="AT84" s="3">
        <f t="shared" si="7"/>
        <v>84282230</v>
      </c>
    </row>
    <row r="85" spans="1:46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28447559</v>
      </c>
      <c r="G85" s="1">
        <v>8928068</v>
      </c>
      <c r="H85" s="1">
        <v>0</v>
      </c>
      <c r="I85" s="1">
        <v>26548497</v>
      </c>
      <c r="J85" s="1">
        <v>0</v>
      </c>
      <c r="K85" s="1">
        <v>5500000</v>
      </c>
      <c r="L85" s="1">
        <v>0</v>
      </c>
      <c r="M85" s="1">
        <v>1000000</v>
      </c>
      <c r="N85" s="1">
        <v>4584184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26285058</v>
      </c>
      <c r="W85" s="1">
        <v>4000000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3601859</v>
      </c>
      <c r="AF85" s="1">
        <v>1835427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7858600</v>
      </c>
      <c r="AM85" s="1">
        <v>0</v>
      </c>
      <c r="AN85" s="1">
        <v>0</v>
      </c>
      <c r="AO85" s="1">
        <v>118589252</v>
      </c>
      <c r="AP85" s="1">
        <v>42705048</v>
      </c>
      <c r="AQ85" s="1">
        <v>75884204</v>
      </c>
      <c r="AR85" s="1">
        <v>23350765</v>
      </c>
      <c r="AS85" s="1">
        <v>3502615</v>
      </c>
      <c r="AT85" s="3">
        <f t="shared" si="7"/>
        <v>145442632</v>
      </c>
    </row>
    <row r="86" spans="1:46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24719045</v>
      </c>
      <c r="G86" s="1">
        <v>0</v>
      </c>
      <c r="H86" s="1">
        <v>0</v>
      </c>
      <c r="I86" s="1">
        <v>21326561</v>
      </c>
      <c r="J86" s="1">
        <v>0</v>
      </c>
      <c r="K86" s="1">
        <v>4125000</v>
      </c>
      <c r="L86" s="1">
        <v>0</v>
      </c>
      <c r="M86" s="1">
        <v>1000000</v>
      </c>
      <c r="N86" s="1">
        <v>4353167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10125632</v>
      </c>
      <c r="W86" s="1">
        <v>4000000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3420346</v>
      </c>
      <c r="AF86" s="1">
        <v>1835427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5743424</v>
      </c>
      <c r="AM86" s="1">
        <v>0</v>
      </c>
      <c r="AN86" s="1">
        <v>0</v>
      </c>
      <c r="AO86" s="1">
        <v>80648602</v>
      </c>
      <c r="AP86" s="1">
        <v>21354812</v>
      </c>
      <c r="AQ86" s="1">
        <v>59293790</v>
      </c>
      <c r="AR86" s="1">
        <v>15762635</v>
      </c>
      <c r="AS86" s="1">
        <v>2364395</v>
      </c>
      <c r="AT86" s="3">
        <f t="shared" si="7"/>
        <v>98775632</v>
      </c>
    </row>
    <row r="87" spans="1:46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18093373</v>
      </c>
      <c r="G87" s="1">
        <v>0</v>
      </c>
      <c r="H87" s="1">
        <v>0</v>
      </c>
      <c r="I87" s="1">
        <v>16256420</v>
      </c>
      <c r="J87" s="1">
        <v>0</v>
      </c>
      <c r="K87" s="1">
        <v>3465000</v>
      </c>
      <c r="L87" s="1">
        <v>0</v>
      </c>
      <c r="M87" s="1">
        <v>1000000</v>
      </c>
      <c r="N87" s="1">
        <v>3431745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11213322</v>
      </c>
      <c r="W87" s="1">
        <v>4000000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2696371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7238357</v>
      </c>
      <c r="AM87" s="1">
        <v>0</v>
      </c>
      <c r="AN87" s="1">
        <v>0</v>
      </c>
      <c r="AO87" s="1">
        <v>67394588</v>
      </c>
      <c r="AP87" s="1">
        <v>31955928</v>
      </c>
      <c r="AQ87" s="1">
        <v>35438660</v>
      </c>
      <c r="AR87" s="1">
        <v>13478918</v>
      </c>
      <c r="AS87" s="1">
        <v>2021838</v>
      </c>
      <c r="AT87" s="3">
        <f t="shared" si="7"/>
        <v>82895344</v>
      </c>
    </row>
    <row r="88" spans="1:46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19118715</v>
      </c>
      <c r="G88" s="1">
        <v>4274620</v>
      </c>
      <c r="H88" s="1">
        <v>0</v>
      </c>
      <c r="I88" s="1">
        <v>19301397</v>
      </c>
      <c r="J88" s="1">
        <v>0</v>
      </c>
      <c r="K88" s="1">
        <v>4620000</v>
      </c>
      <c r="L88" s="1">
        <v>0</v>
      </c>
      <c r="M88" s="1">
        <v>1000000</v>
      </c>
      <c r="N88" s="1">
        <v>3790615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12807653</v>
      </c>
      <c r="W88" s="1">
        <v>4000000</v>
      </c>
      <c r="X88" s="1">
        <v>2775297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2978341</v>
      </c>
      <c r="AF88" s="1">
        <v>1835427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9311588</v>
      </c>
      <c r="AM88" s="1">
        <v>0</v>
      </c>
      <c r="AN88" s="1">
        <v>0</v>
      </c>
      <c r="AO88" s="1">
        <v>85813653</v>
      </c>
      <c r="AP88" s="1">
        <v>22691068</v>
      </c>
      <c r="AQ88" s="1">
        <v>63122585</v>
      </c>
      <c r="AR88" s="1">
        <v>16795645</v>
      </c>
      <c r="AS88" s="1">
        <v>2519347</v>
      </c>
      <c r="AT88" s="3">
        <f t="shared" si="7"/>
        <v>105128645</v>
      </c>
    </row>
    <row r="89" spans="1:46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17876716</v>
      </c>
      <c r="G89" s="1">
        <v>14021754</v>
      </c>
      <c r="H89" s="1">
        <v>0</v>
      </c>
      <c r="I89" s="1">
        <v>16500563</v>
      </c>
      <c r="J89" s="1">
        <v>0</v>
      </c>
      <c r="K89" s="1">
        <v>4620000</v>
      </c>
      <c r="L89" s="1">
        <v>0</v>
      </c>
      <c r="M89" s="1">
        <v>1000000</v>
      </c>
      <c r="N89" s="1">
        <v>3355915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17172321</v>
      </c>
      <c r="W89" s="1">
        <v>4000000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2636791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8693788</v>
      </c>
      <c r="AM89" s="1">
        <v>0</v>
      </c>
      <c r="AN89" s="1">
        <v>0</v>
      </c>
      <c r="AO89" s="1">
        <v>89877848</v>
      </c>
      <c r="AP89" s="1">
        <v>14351289</v>
      </c>
      <c r="AQ89" s="1">
        <v>75526559</v>
      </c>
      <c r="AR89" s="1">
        <v>17975570</v>
      </c>
      <c r="AS89" s="1">
        <v>2696335</v>
      </c>
      <c r="AT89" s="3">
        <f t="shared" si="7"/>
        <v>110549753</v>
      </c>
    </row>
    <row r="90" spans="1:46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26668957</v>
      </c>
      <c r="G90" s="1">
        <v>16304135</v>
      </c>
      <c r="H90" s="1">
        <v>0</v>
      </c>
      <c r="I90" s="1">
        <v>25536931</v>
      </c>
      <c r="J90" s="1">
        <v>0</v>
      </c>
      <c r="K90" s="1">
        <v>5500000</v>
      </c>
      <c r="L90" s="1">
        <v>0</v>
      </c>
      <c r="M90" s="1">
        <v>1000000</v>
      </c>
      <c r="N90" s="1">
        <v>3961673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22794752</v>
      </c>
      <c r="W90" s="1">
        <v>4000000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3112743</v>
      </c>
      <c r="AF90" s="1">
        <v>1835427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6791439</v>
      </c>
      <c r="AM90" s="1">
        <v>0</v>
      </c>
      <c r="AN90" s="1">
        <v>0</v>
      </c>
      <c r="AO90" s="1">
        <v>117506057</v>
      </c>
      <c r="AP90" s="1">
        <v>19973511</v>
      </c>
      <c r="AQ90" s="1">
        <v>97532546</v>
      </c>
      <c r="AR90" s="1">
        <v>23134126</v>
      </c>
      <c r="AS90" s="1">
        <v>3470119</v>
      </c>
      <c r="AT90" s="3">
        <f t="shared" si="7"/>
        <v>144110302</v>
      </c>
    </row>
    <row r="91" spans="1:46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30445338</v>
      </c>
      <c r="G91" s="1">
        <v>18118409</v>
      </c>
      <c r="H91" s="1">
        <v>0</v>
      </c>
      <c r="I91" s="1">
        <v>37940882</v>
      </c>
      <c r="J91" s="1">
        <v>0</v>
      </c>
      <c r="K91" s="1">
        <v>5500000</v>
      </c>
      <c r="L91" s="1">
        <v>0</v>
      </c>
      <c r="M91" s="1">
        <v>1000000</v>
      </c>
      <c r="N91" s="1">
        <v>4473084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16630309</v>
      </c>
      <c r="W91" s="1">
        <v>4000000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3514566</v>
      </c>
      <c r="AF91" s="1">
        <v>1835427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5751108</v>
      </c>
      <c r="AM91" s="1">
        <v>0</v>
      </c>
      <c r="AN91" s="1">
        <v>0</v>
      </c>
      <c r="AO91" s="1">
        <v>129209123</v>
      </c>
      <c r="AP91" s="1">
        <v>46740205</v>
      </c>
      <c r="AQ91" s="1">
        <v>82468918</v>
      </c>
      <c r="AR91" s="1">
        <v>25474739</v>
      </c>
      <c r="AS91" s="1">
        <v>3821211</v>
      </c>
      <c r="AT91" s="3">
        <f t="shared" si="7"/>
        <v>158505073</v>
      </c>
    </row>
    <row r="92" spans="1:46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28989202</v>
      </c>
      <c r="G92" s="1">
        <v>16581688</v>
      </c>
      <c r="H92" s="1">
        <v>0</v>
      </c>
      <c r="I92" s="1">
        <v>27265056</v>
      </c>
      <c r="J92" s="1">
        <v>0</v>
      </c>
      <c r="K92" s="1">
        <v>5500000</v>
      </c>
      <c r="L92" s="1">
        <v>0</v>
      </c>
      <c r="M92" s="1">
        <v>1000000</v>
      </c>
      <c r="N92" s="1">
        <v>4773758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26312441</v>
      </c>
      <c r="W92" s="1">
        <v>4000000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3750810</v>
      </c>
      <c r="AF92" s="1">
        <v>1835427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6819655</v>
      </c>
      <c r="AM92" s="1">
        <v>0</v>
      </c>
      <c r="AN92" s="1">
        <v>0</v>
      </c>
      <c r="AO92" s="1">
        <v>126828037</v>
      </c>
      <c r="AP92" s="1">
        <v>43114474</v>
      </c>
      <c r="AQ92" s="1">
        <v>83713563</v>
      </c>
      <c r="AR92" s="1">
        <v>24998522</v>
      </c>
      <c r="AS92" s="1">
        <v>3749778</v>
      </c>
      <c r="AT92" s="3">
        <f t="shared" si="7"/>
        <v>155576337</v>
      </c>
    </row>
    <row r="93" spans="1:46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28984163</v>
      </c>
      <c r="G93" s="1">
        <v>49685195</v>
      </c>
      <c r="H93" s="1">
        <v>0</v>
      </c>
      <c r="I93" s="1">
        <v>28554351</v>
      </c>
      <c r="J93" s="1">
        <v>0</v>
      </c>
      <c r="K93" s="1">
        <v>4125000</v>
      </c>
      <c r="L93" s="1">
        <v>0</v>
      </c>
      <c r="M93" s="1">
        <v>1000000</v>
      </c>
      <c r="N93" s="1">
        <v>4771995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12948722</v>
      </c>
      <c r="W93" s="1">
        <v>4000000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3892267</v>
      </c>
      <c r="AD93" s="1">
        <v>0</v>
      </c>
      <c r="AE93" s="1">
        <v>3749424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5112852</v>
      </c>
      <c r="AM93" s="1">
        <v>0</v>
      </c>
      <c r="AN93" s="1">
        <v>0</v>
      </c>
      <c r="AO93" s="1">
        <v>146823969</v>
      </c>
      <c r="AP93" s="1">
        <v>32609807</v>
      </c>
      <c r="AQ93" s="1">
        <v>114214162</v>
      </c>
      <c r="AR93" s="1">
        <v>26552511</v>
      </c>
      <c r="AS93" s="1">
        <v>3982877</v>
      </c>
      <c r="AT93" s="3">
        <f t="shared" si="7"/>
        <v>177359357</v>
      </c>
    </row>
    <row r="94" spans="1:46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17274612</v>
      </c>
      <c r="G94" s="1">
        <v>4097821</v>
      </c>
      <c r="H94" s="1">
        <v>0</v>
      </c>
      <c r="I94" s="1">
        <v>15569939</v>
      </c>
      <c r="J94" s="1">
        <v>0</v>
      </c>
      <c r="K94" s="1">
        <v>4620000</v>
      </c>
      <c r="L94" s="1">
        <v>0</v>
      </c>
      <c r="M94" s="1">
        <v>1000000</v>
      </c>
      <c r="N94" s="1">
        <v>3145178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12277926</v>
      </c>
      <c r="W94" s="1">
        <v>4000000</v>
      </c>
      <c r="X94" s="1">
        <v>2507605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2471212</v>
      </c>
      <c r="AF94" s="1">
        <v>1835427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13785553</v>
      </c>
      <c r="AM94" s="1">
        <v>0</v>
      </c>
      <c r="AN94" s="1">
        <v>0</v>
      </c>
      <c r="AO94" s="1">
        <v>82585273</v>
      </c>
      <c r="AP94" s="1">
        <v>27846403</v>
      </c>
      <c r="AQ94" s="1">
        <v>54738870</v>
      </c>
      <c r="AR94" s="1">
        <v>16149969</v>
      </c>
      <c r="AS94" s="1">
        <v>2422495</v>
      </c>
      <c r="AT94" s="3">
        <f t="shared" si="7"/>
        <v>101157737</v>
      </c>
    </row>
    <row r="95" spans="1:46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17806177</v>
      </c>
      <c r="G95" s="1">
        <v>11566618</v>
      </c>
      <c r="H95" s="1">
        <v>0</v>
      </c>
      <c r="I95" s="1">
        <v>16624791</v>
      </c>
      <c r="J95" s="1">
        <v>0</v>
      </c>
      <c r="K95" s="1">
        <v>4620000</v>
      </c>
      <c r="L95" s="1">
        <v>0</v>
      </c>
      <c r="M95" s="1">
        <v>1000000</v>
      </c>
      <c r="N95" s="1">
        <v>3331226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15101896</v>
      </c>
      <c r="W95" s="1">
        <v>4000000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2617392</v>
      </c>
      <c r="AF95" s="1">
        <v>1835427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7562940</v>
      </c>
      <c r="AM95" s="1">
        <v>0</v>
      </c>
      <c r="AN95" s="1">
        <v>0</v>
      </c>
      <c r="AO95" s="1">
        <v>86066467</v>
      </c>
      <c r="AP95" s="1">
        <v>25170406</v>
      </c>
      <c r="AQ95" s="1">
        <v>60896061</v>
      </c>
      <c r="AR95" s="1">
        <v>16846208</v>
      </c>
      <c r="AS95" s="1">
        <v>2526931</v>
      </c>
      <c r="AT95" s="3">
        <f t="shared" si="7"/>
        <v>105439606</v>
      </c>
    </row>
    <row r="96" spans="1:46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"قراردادي کارگري"</f>
        <v>قراردادي کارگري</v>
      </c>
      <c r="E96" s="1" t="str">
        <f>"پروژه تعميرات نيروگاه بوشهر"</f>
        <v>پروژه تعميرات نيروگاه بوشهر</v>
      </c>
      <c r="F96" s="1">
        <v>0</v>
      </c>
      <c r="G96" s="1">
        <v>2931884</v>
      </c>
      <c r="H96" s="1">
        <v>0</v>
      </c>
      <c r="I96" s="1">
        <v>7984903</v>
      </c>
      <c r="J96" s="1">
        <v>0</v>
      </c>
      <c r="K96" s="1">
        <v>0</v>
      </c>
      <c r="L96" s="1">
        <v>11521166</v>
      </c>
      <c r="M96" s="1">
        <v>2000000</v>
      </c>
      <c r="N96" s="1">
        <v>5756959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2640000</v>
      </c>
      <c r="U96" s="1">
        <v>0</v>
      </c>
      <c r="V96" s="1">
        <v>9964294</v>
      </c>
      <c r="W96" s="1">
        <v>4000000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5430188</v>
      </c>
      <c r="AE96" s="1">
        <v>0</v>
      </c>
      <c r="AF96" s="1">
        <v>1835427</v>
      </c>
      <c r="AG96" s="1">
        <v>0</v>
      </c>
      <c r="AH96" s="1">
        <v>0</v>
      </c>
      <c r="AI96" s="1">
        <v>0</v>
      </c>
      <c r="AJ96" s="1">
        <v>4169791</v>
      </c>
      <c r="AK96" s="1">
        <v>0</v>
      </c>
      <c r="AL96" s="1">
        <v>0</v>
      </c>
      <c r="AM96" s="1">
        <v>0</v>
      </c>
      <c r="AN96" s="1">
        <v>0</v>
      </c>
      <c r="AO96" s="1">
        <v>69172834</v>
      </c>
      <c r="AP96" s="1">
        <v>10214339</v>
      </c>
      <c r="AQ96" s="1">
        <v>58958495</v>
      </c>
      <c r="AR96" s="1">
        <v>13467481</v>
      </c>
      <c r="AS96" s="1">
        <v>2020122</v>
      </c>
      <c r="AT96" s="3">
        <f t="shared" si="7"/>
        <v>84660437</v>
      </c>
    </row>
    <row r="97" spans="1:46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"قراردادي بهره بردار"</f>
        <v>قراردادي بهره بردار</v>
      </c>
      <c r="E97" s="1" t="str">
        <f>"پروژه بهره برداري نيروگاه بوشهر"</f>
        <v>پروژه بهره برداري نيروگاه بوشهر</v>
      </c>
      <c r="F97" s="1">
        <v>18934808</v>
      </c>
      <c r="G97" s="1">
        <v>24446899</v>
      </c>
      <c r="H97" s="1">
        <v>0</v>
      </c>
      <c r="I97" s="1">
        <v>18205037</v>
      </c>
      <c r="J97" s="1">
        <v>0</v>
      </c>
      <c r="K97" s="1">
        <v>4620000</v>
      </c>
      <c r="L97" s="1">
        <v>0</v>
      </c>
      <c r="M97" s="1">
        <v>1000000</v>
      </c>
      <c r="N97" s="1">
        <v>3726248</v>
      </c>
      <c r="O97" s="1">
        <v>0</v>
      </c>
      <c r="P97" s="1">
        <v>0</v>
      </c>
      <c r="Q97" s="1">
        <v>0</v>
      </c>
      <c r="R97" s="1">
        <v>4632918</v>
      </c>
      <c r="S97" s="1">
        <v>0</v>
      </c>
      <c r="T97" s="1">
        <v>0</v>
      </c>
      <c r="U97" s="1">
        <v>0</v>
      </c>
      <c r="V97" s="1">
        <v>13693576</v>
      </c>
      <c r="W97" s="1">
        <v>4000000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2927766</v>
      </c>
      <c r="AF97" s="1">
        <v>1835427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7880014</v>
      </c>
      <c r="AM97" s="1">
        <v>0</v>
      </c>
      <c r="AN97" s="1">
        <v>0</v>
      </c>
      <c r="AO97" s="1">
        <v>105902693</v>
      </c>
      <c r="AP97" s="1">
        <v>27563653</v>
      </c>
      <c r="AQ97" s="1">
        <v>78339040</v>
      </c>
      <c r="AR97" s="1">
        <v>19886870</v>
      </c>
      <c r="AS97" s="1">
        <v>2983030</v>
      </c>
      <c r="AT97" s="3">
        <f t="shared" si="7"/>
        <v>128772593</v>
      </c>
    </row>
    <row r="98" spans="1:46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18141239</v>
      </c>
      <c r="G98" s="1">
        <v>3307045</v>
      </c>
      <c r="H98" s="1">
        <v>0</v>
      </c>
      <c r="I98" s="1">
        <v>15709711</v>
      </c>
      <c r="J98" s="1">
        <v>0</v>
      </c>
      <c r="K98" s="1">
        <v>3465000</v>
      </c>
      <c r="L98" s="1">
        <v>0</v>
      </c>
      <c r="M98" s="1">
        <v>1000000</v>
      </c>
      <c r="N98" s="1">
        <v>3448498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11147172</v>
      </c>
      <c r="W98" s="1">
        <v>4000000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2709534</v>
      </c>
      <c r="AF98" s="1">
        <v>1835427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7425791</v>
      </c>
      <c r="AM98" s="1">
        <v>0</v>
      </c>
      <c r="AN98" s="1">
        <v>0</v>
      </c>
      <c r="AO98" s="1">
        <v>72189417</v>
      </c>
      <c r="AP98" s="1">
        <v>25117626</v>
      </c>
      <c r="AQ98" s="1">
        <v>47071791</v>
      </c>
      <c r="AR98" s="1">
        <v>14070798</v>
      </c>
      <c r="AS98" s="1">
        <v>2110620</v>
      </c>
      <c r="AT98" s="3">
        <f t="shared" si="7"/>
        <v>88370835</v>
      </c>
    </row>
    <row r="99" spans="1:46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21585077</v>
      </c>
      <c r="G99" s="1">
        <v>3637163</v>
      </c>
      <c r="H99" s="1">
        <v>0</v>
      </c>
      <c r="I99" s="1">
        <v>19433390</v>
      </c>
      <c r="J99" s="1">
        <v>0</v>
      </c>
      <c r="K99" s="1">
        <v>4125000</v>
      </c>
      <c r="L99" s="1">
        <v>0</v>
      </c>
      <c r="M99" s="1">
        <v>1000000</v>
      </c>
      <c r="N99" s="1">
        <v>3481122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5206444</v>
      </c>
      <c r="W99" s="1">
        <v>4000000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2735168</v>
      </c>
      <c r="AF99" s="1">
        <v>1835427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4829686</v>
      </c>
      <c r="AM99" s="1">
        <v>0</v>
      </c>
      <c r="AN99" s="1">
        <v>0</v>
      </c>
      <c r="AO99" s="1">
        <v>71868477</v>
      </c>
      <c r="AP99" s="1">
        <v>11201695</v>
      </c>
      <c r="AQ99" s="1">
        <v>60666782</v>
      </c>
      <c r="AR99" s="1">
        <v>14006610</v>
      </c>
      <c r="AS99" s="1">
        <v>2100992</v>
      </c>
      <c r="AT99" s="3">
        <f t="shared" si="7"/>
        <v>87976079</v>
      </c>
    </row>
    <row r="100" spans="1:46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18113527</v>
      </c>
      <c r="G100" s="1">
        <v>4250865</v>
      </c>
      <c r="H100" s="1">
        <v>0</v>
      </c>
      <c r="I100" s="1">
        <v>16604021</v>
      </c>
      <c r="J100" s="1">
        <v>0</v>
      </c>
      <c r="K100" s="1">
        <v>4620000</v>
      </c>
      <c r="L100" s="1">
        <v>0</v>
      </c>
      <c r="M100" s="1">
        <v>1000000</v>
      </c>
      <c r="N100" s="1">
        <v>3438799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12736478</v>
      </c>
      <c r="W100" s="1">
        <v>4000000</v>
      </c>
      <c r="X100" s="1">
        <v>2361592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2701914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13339517</v>
      </c>
      <c r="AM100" s="1">
        <v>0</v>
      </c>
      <c r="AN100" s="1">
        <v>0</v>
      </c>
      <c r="AO100" s="1">
        <v>83166713</v>
      </c>
      <c r="AP100" s="1">
        <v>19933276</v>
      </c>
      <c r="AQ100" s="1">
        <v>63233437</v>
      </c>
      <c r="AR100" s="1">
        <v>16633343</v>
      </c>
      <c r="AS100" s="1">
        <v>2495001</v>
      </c>
      <c r="AT100" s="3">
        <f t="shared" si="7"/>
        <v>102295057</v>
      </c>
    </row>
    <row r="101" spans="1:46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28422367</v>
      </c>
      <c r="G101" s="1">
        <v>8570728</v>
      </c>
      <c r="H101" s="1">
        <v>0</v>
      </c>
      <c r="I101" s="1">
        <v>26371582</v>
      </c>
      <c r="J101" s="1">
        <v>0</v>
      </c>
      <c r="K101" s="1">
        <v>5500000</v>
      </c>
      <c r="L101" s="1">
        <v>0</v>
      </c>
      <c r="M101" s="1">
        <v>1000000</v>
      </c>
      <c r="N101" s="1">
        <v>4575366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37404472</v>
      </c>
      <c r="W101" s="1">
        <v>4000000</v>
      </c>
      <c r="X101" s="1">
        <v>4125827</v>
      </c>
      <c r="Y101" s="1">
        <v>0</v>
      </c>
      <c r="Z101" s="1">
        <v>0</v>
      </c>
      <c r="AA101" s="1">
        <v>0</v>
      </c>
      <c r="AB101" s="1">
        <v>0</v>
      </c>
      <c r="AC101" s="1">
        <v>4459102</v>
      </c>
      <c r="AD101" s="1">
        <v>0</v>
      </c>
      <c r="AE101" s="1">
        <v>3594931</v>
      </c>
      <c r="AF101" s="1">
        <v>1835427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16631645</v>
      </c>
      <c r="AM101" s="1">
        <v>0</v>
      </c>
      <c r="AN101" s="1">
        <v>0</v>
      </c>
      <c r="AO101" s="1">
        <v>146491447</v>
      </c>
      <c r="AP101" s="1">
        <v>44709000</v>
      </c>
      <c r="AQ101" s="1">
        <v>101782447</v>
      </c>
      <c r="AR101" s="1">
        <v>26552511</v>
      </c>
      <c r="AS101" s="1">
        <v>3982877</v>
      </c>
      <c r="AT101" s="3">
        <f t="shared" si="7"/>
        <v>177026835</v>
      </c>
    </row>
    <row r="102" spans="1:46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"قراردادي کارگري"</f>
        <v>قراردادي کارگري</v>
      </c>
      <c r="E102" s="1" t="str">
        <f>"پروژه تعميرات نيروگاه بوشهر"</f>
        <v>پروژه تعميرات نيروگاه بوشهر</v>
      </c>
      <c r="F102" s="1">
        <v>0</v>
      </c>
      <c r="G102" s="1">
        <v>2802032</v>
      </c>
      <c r="H102" s="1">
        <v>0</v>
      </c>
      <c r="I102" s="1">
        <v>7653627</v>
      </c>
      <c r="J102" s="1">
        <v>0</v>
      </c>
      <c r="K102" s="1">
        <v>0</v>
      </c>
      <c r="L102" s="1">
        <v>11521166</v>
      </c>
      <c r="M102" s="1">
        <v>2000000</v>
      </c>
      <c r="N102" s="1">
        <v>5300295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2640000</v>
      </c>
      <c r="U102" s="1">
        <v>0</v>
      </c>
      <c r="V102" s="1">
        <v>9575227</v>
      </c>
      <c r="W102" s="1">
        <v>4000000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5181847</v>
      </c>
      <c r="AE102" s="1">
        <v>0</v>
      </c>
      <c r="AF102" s="1">
        <v>3670854</v>
      </c>
      <c r="AG102" s="1">
        <v>0</v>
      </c>
      <c r="AH102" s="1">
        <v>0</v>
      </c>
      <c r="AI102" s="1">
        <v>0</v>
      </c>
      <c r="AJ102" s="1">
        <v>5977667</v>
      </c>
      <c r="AK102" s="1">
        <v>0</v>
      </c>
      <c r="AL102" s="1">
        <v>0</v>
      </c>
      <c r="AM102" s="1">
        <v>0</v>
      </c>
      <c r="AN102" s="1">
        <v>0</v>
      </c>
      <c r="AO102" s="1">
        <v>70393277</v>
      </c>
      <c r="AP102" s="1">
        <v>10297641</v>
      </c>
      <c r="AQ102" s="1">
        <v>60095636</v>
      </c>
      <c r="AR102" s="1">
        <v>13344485</v>
      </c>
      <c r="AS102" s="1">
        <v>2001673</v>
      </c>
      <c r="AT102" s="3">
        <f t="shared" si="7"/>
        <v>85739435</v>
      </c>
    </row>
    <row r="103" spans="1:46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25507575</v>
      </c>
      <c r="G103" s="1">
        <v>0</v>
      </c>
      <c r="H103" s="1">
        <v>0</v>
      </c>
      <c r="I103" s="1">
        <v>20968927</v>
      </c>
      <c r="J103" s="1">
        <v>0</v>
      </c>
      <c r="K103" s="1">
        <v>4125000</v>
      </c>
      <c r="L103" s="1">
        <v>0</v>
      </c>
      <c r="M103" s="1">
        <v>1000000</v>
      </c>
      <c r="N103" s="1">
        <v>4629153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13050446</v>
      </c>
      <c r="W103" s="1">
        <v>4000000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3637192</v>
      </c>
      <c r="AF103" s="1">
        <v>3670854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6671018</v>
      </c>
      <c r="AM103" s="1">
        <v>0</v>
      </c>
      <c r="AN103" s="1">
        <v>0</v>
      </c>
      <c r="AO103" s="1">
        <v>87260165</v>
      </c>
      <c r="AP103" s="1">
        <v>31304197</v>
      </c>
      <c r="AQ103" s="1">
        <v>55955968</v>
      </c>
      <c r="AR103" s="1">
        <v>16717862</v>
      </c>
      <c r="AS103" s="1">
        <v>2507679</v>
      </c>
      <c r="AT103" s="3">
        <f t="shared" si="7"/>
        <v>106485706</v>
      </c>
    </row>
    <row r="104" spans="1:46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19045656</v>
      </c>
      <c r="G104" s="1">
        <v>9350629</v>
      </c>
      <c r="H104" s="1">
        <v>0</v>
      </c>
      <c r="I104" s="1">
        <v>19433711</v>
      </c>
      <c r="J104" s="1">
        <v>0</v>
      </c>
      <c r="K104" s="1">
        <v>4620000</v>
      </c>
      <c r="L104" s="1">
        <v>0</v>
      </c>
      <c r="M104" s="1">
        <v>1000000</v>
      </c>
      <c r="N104" s="1">
        <v>3765044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27205414</v>
      </c>
      <c r="W104" s="1">
        <v>4000000</v>
      </c>
      <c r="X104" s="1">
        <v>2764692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2958249</v>
      </c>
      <c r="AF104" s="1">
        <v>3670854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15933102</v>
      </c>
      <c r="AM104" s="1">
        <v>0</v>
      </c>
      <c r="AN104" s="1">
        <v>0</v>
      </c>
      <c r="AO104" s="1">
        <v>113747351</v>
      </c>
      <c r="AP104" s="1">
        <v>46704694</v>
      </c>
      <c r="AQ104" s="1">
        <v>67042657</v>
      </c>
      <c r="AR104" s="1">
        <v>22015299</v>
      </c>
      <c r="AS104" s="1">
        <v>3302295</v>
      </c>
      <c r="AT104" s="3">
        <f t="shared" si="7"/>
        <v>139064945</v>
      </c>
    </row>
    <row r="105" spans="1:46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"قراردادي بهره بردار"</f>
        <v>قراردادي بهره بردار</v>
      </c>
      <c r="E105" s="1" t="str">
        <f>"پروژه تعميرات نيروگاه بوشهر"</f>
        <v>پروژه تعميرات نيروگاه بوشهر</v>
      </c>
      <c r="F105" s="1">
        <v>28160363</v>
      </c>
      <c r="G105" s="1">
        <v>0</v>
      </c>
      <c r="H105" s="1">
        <v>0</v>
      </c>
      <c r="I105" s="1">
        <v>26416920</v>
      </c>
      <c r="J105" s="1">
        <v>0</v>
      </c>
      <c r="K105" s="1">
        <v>4125000</v>
      </c>
      <c r="L105" s="1">
        <v>0</v>
      </c>
      <c r="M105" s="1">
        <v>1000000</v>
      </c>
      <c r="N105" s="1">
        <v>4483665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15246780</v>
      </c>
      <c r="W105" s="1">
        <v>4000000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3401010</v>
      </c>
      <c r="AD105" s="1">
        <v>0</v>
      </c>
      <c r="AE105" s="1">
        <v>3522879</v>
      </c>
      <c r="AF105" s="1">
        <v>1835427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5764712</v>
      </c>
      <c r="AM105" s="1">
        <v>0</v>
      </c>
      <c r="AN105" s="1">
        <v>0</v>
      </c>
      <c r="AO105" s="1">
        <v>97956756</v>
      </c>
      <c r="AP105" s="1">
        <v>32042740</v>
      </c>
      <c r="AQ105" s="1">
        <v>65914016</v>
      </c>
      <c r="AR105" s="1">
        <v>19224266</v>
      </c>
      <c r="AS105" s="1">
        <v>2883640</v>
      </c>
      <c r="AT105" s="3">
        <f t="shared" si="7"/>
        <v>120064662</v>
      </c>
    </row>
    <row r="106" spans="1:46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18554399</v>
      </c>
      <c r="G106" s="1">
        <v>5456162</v>
      </c>
      <c r="H106" s="1">
        <v>0</v>
      </c>
      <c r="I106" s="1">
        <v>16607859</v>
      </c>
      <c r="J106" s="1">
        <v>0</v>
      </c>
      <c r="K106" s="1">
        <v>4620000</v>
      </c>
      <c r="L106" s="1">
        <v>0</v>
      </c>
      <c r="M106" s="1">
        <v>1000000</v>
      </c>
      <c r="N106" s="1">
        <v>3593105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23811844</v>
      </c>
      <c r="W106" s="1">
        <v>4000000</v>
      </c>
      <c r="X106" s="1">
        <v>2693381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2823153</v>
      </c>
      <c r="AF106" s="1">
        <v>3670854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11931247</v>
      </c>
      <c r="AM106" s="1">
        <v>0</v>
      </c>
      <c r="AN106" s="1">
        <v>0</v>
      </c>
      <c r="AO106" s="1">
        <v>98762004</v>
      </c>
      <c r="AP106" s="1">
        <v>49190877</v>
      </c>
      <c r="AQ106" s="1">
        <v>49571127</v>
      </c>
      <c r="AR106" s="1">
        <v>19018230</v>
      </c>
      <c r="AS106" s="1">
        <v>2852735</v>
      </c>
      <c r="AT106" s="3">
        <f t="shared" si="7"/>
        <v>120632969</v>
      </c>
    </row>
    <row r="107" spans="1:46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"قراردادي کارگري"</f>
        <v>قراردادي کارگري</v>
      </c>
      <c r="E107" s="1" t="str">
        <f>"پروژه تعميرات نيروگاه بوشهر"</f>
        <v>پروژه تعميرات نيروگاه بوشهر</v>
      </c>
      <c r="F107" s="1">
        <v>0</v>
      </c>
      <c r="G107" s="1">
        <v>3148659</v>
      </c>
      <c r="H107" s="1">
        <v>0</v>
      </c>
      <c r="I107" s="1">
        <v>7638459</v>
      </c>
      <c r="J107" s="1">
        <v>0</v>
      </c>
      <c r="K107" s="1">
        <v>0</v>
      </c>
      <c r="L107" s="1">
        <v>11521166</v>
      </c>
      <c r="M107" s="1">
        <v>2000000</v>
      </c>
      <c r="N107" s="1">
        <v>5468737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2640000</v>
      </c>
      <c r="U107" s="1">
        <v>0</v>
      </c>
      <c r="V107" s="1">
        <v>9670392</v>
      </c>
      <c r="W107" s="1">
        <v>4000000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5242590</v>
      </c>
      <c r="AE107" s="1">
        <v>0</v>
      </c>
      <c r="AF107" s="1">
        <v>5506281</v>
      </c>
      <c r="AG107" s="1">
        <v>0</v>
      </c>
      <c r="AH107" s="1">
        <v>0</v>
      </c>
      <c r="AI107" s="1">
        <v>0</v>
      </c>
      <c r="AJ107" s="1">
        <v>6045425</v>
      </c>
      <c r="AK107" s="1">
        <v>0</v>
      </c>
      <c r="AL107" s="1">
        <v>0</v>
      </c>
      <c r="AM107" s="1">
        <v>0</v>
      </c>
      <c r="AN107" s="1">
        <v>0</v>
      </c>
      <c r="AO107" s="1">
        <v>73203951</v>
      </c>
      <c r="AP107" s="1">
        <v>7875348</v>
      </c>
      <c r="AQ107" s="1">
        <v>65328603</v>
      </c>
      <c r="AR107" s="1">
        <v>13539534</v>
      </c>
      <c r="AS107" s="1">
        <v>2030930</v>
      </c>
      <c r="AT107" s="3">
        <f t="shared" si="7"/>
        <v>88774415</v>
      </c>
    </row>
    <row r="108" spans="1:46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 t="shared" ref="D108:D115" si="8">"قراردادي بهره بردار"</f>
        <v>قراردادي بهره بردار</v>
      </c>
      <c r="E108" s="1" t="str">
        <f t="shared" ref="E108:E115" si="9">"پروژه بهره برداري نيروگاه بوشهر"</f>
        <v>پروژه بهره برداري نيروگاه بوشهر</v>
      </c>
      <c r="F108" s="1">
        <v>17415690</v>
      </c>
      <c r="G108" s="1">
        <v>9034632</v>
      </c>
      <c r="H108" s="1">
        <v>0</v>
      </c>
      <c r="I108" s="1">
        <v>16220461</v>
      </c>
      <c r="J108" s="1">
        <v>0</v>
      </c>
      <c r="K108" s="1">
        <v>0</v>
      </c>
      <c r="L108" s="1">
        <v>0</v>
      </c>
      <c r="M108" s="1">
        <v>1000000</v>
      </c>
      <c r="N108" s="1">
        <v>3194556</v>
      </c>
      <c r="O108" s="1">
        <v>0</v>
      </c>
      <c r="P108" s="1">
        <v>0</v>
      </c>
      <c r="Q108" s="1">
        <v>0</v>
      </c>
      <c r="R108" s="1">
        <v>901205</v>
      </c>
      <c r="S108" s="1">
        <v>0</v>
      </c>
      <c r="T108" s="1">
        <v>0</v>
      </c>
      <c r="U108" s="1">
        <v>0</v>
      </c>
      <c r="V108" s="1">
        <v>23193556</v>
      </c>
      <c r="W108" s="1">
        <v>4000000</v>
      </c>
      <c r="X108" s="1">
        <v>2528084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2510008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12779635</v>
      </c>
      <c r="AM108" s="1">
        <v>0</v>
      </c>
      <c r="AN108" s="1">
        <v>0</v>
      </c>
      <c r="AO108" s="1">
        <v>92777827</v>
      </c>
      <c r="AP108" s="1">
        <v>40364343</v>
      </c>
      <c r="AQ108" s="1">
        <v>52413484</v>
      </c>
      <c r="AR108" s="1">
        <v>18375324</v>
      </c>
      <c r="AS108" s="1">
        <v>2756299</v>
      </c>
      <c r="AT108" s="3">
        <f t="shared" si="7"/>
        <v>113909450</v>
      </c>
    </row>
    <row r="109" spans="1:46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 t="shared" si="8"/>
        <v>قراردادي بهره بردار</v>
      </c>
      <c r="E109" s="1" t="str">
        <f t="shared" si="9"/>
        <v>پروژه بهره برداري نيروگاه بوشهر</v>
      </c>
      <c r="F109" s="1">
        <v>27500315</v>
      </c>
      <c r="G109" s="1">
        <v>20526737</v>
      </c>
      <c r="H109" s="1">
        <v>0</v>
      </c>
      <c r="I109" s="1">
        <v>24951804</v>
      </c>
      <c r="J109" s="1">
        <v>0</v>
      </c>
      <c r="K109" s="1">
        <v>5500000</v>
      </c>
      <c r="L109" s="1">
        <v>0</v>
      </c>
      <c r="M109" s="1">
        <v>1000000</v>
      </c>
      <c r="N109" s="1">
        <v>4252648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23567736</v>
      </c>
      <c r="W109" s="1">
        <v>4000000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3341366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7290253</v>
      </c>
      <c r="AM109" s="1">
        <v>0</v>
      </c>
      <c r="AN109" s="1">
        <v>0</v>
      </c>
      <c r="AO109" s="1">
        <v>121930859</v>
      </c>
      <c r="AP109" s="1">
        <v>40397723</v>
      </c>
      <c r="AQ109" s="1">
        <v>81533136</v>
      </c>
      <c r="AR109" s="1">
        <v>24386172</v>
      </c>
      <c r="AS109" s="1">
        <v>3657926</v>
      </c>
      <c r="AT109" s="3">
        <f t="shared" si="7"/>
        <v>149974957</v>
      </c>
    </row>
    <row r="110" spans="1:46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18146278</v>
      </c>
      <c r="G110" s="1">
        <v>4315617</v>
      </c>
      <c r="H110" s="1">
        <v>0</v>
      </c>
      <c r="I110" s="1">
        <v>16740762</v>
      </c>
      <c r="J110" s="1">
        <v>0</v>
      </c>
      <c r="K110" s="1">
        <v>3465000</v>
      </c>
      <c r="L110" s="1">
        <v>0</v>
      </c>
      <c r="M110" s="1">
        <v>1000000</v>
      </c>
      <c r="N110" s="1">
        <v>3450262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12930486</v>
      </c>
      <c r="W110" s="1">
        <v>4000000</v>
      </c>
      <c r="X110" s="1">
        <v>2634137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2710920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13975128</v>
      </c>
      <c r="AM110" s="1">
        <v>0</v>
      </c>
      <c r="AN110" s="1">
        <v>0</v>
      </c>
      <c r="AO110" s="1">
        <v>83368590</v>
      </c>
      <c r="AP110" s="1">
        <v>21108617</v>
      </c>
      <c r="AQ110" s="1">
        <v>62259973</v>
      </c>
      <c r="AR110" s="1">
        <v>16673718</v>
      </c>
      <c r="AS110" s="1">
        <v>2501058</v>
      </c>
      <c r="AT110" s="3">
        <f t="shared" si="7"/>
        <v>102543366</v>
      </c>
    </row>
    <row r="111" spans="1:46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28210748</v>
      </c>
      <c r="G111" s="1">
        <v>17941012</v>
      </c>
      <c r="H111" s="1">
        <v>0</v>
      </c>
      <c r="I111" s="1">
        <v>24473764</v>
      </c>
      <c r="J111" s="1">
        <v>0</v>
      </c>
      <c r="K111" s="1">
        <v>5500000</v>
      </c>
      <c r="L111" s="1">
        <v>0</v>
      </c>
      <c r="M111" s="1">
        <v>1000000</v>
      </c>
      <c r="N111" s="1">
        <v>4501300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25376641</v>
      </c>
      <c r="W111" s="1">
        <v>4000000</v>
      </c>
      <c r="X111" s="1">
        <v>3737711</v>
      </c>
      <c r="Y111" s="1">
        <v>0</v>
      </c>
      <c r="Z111" s="1">
        <v>0</v>
      </c>
      <c r="AA111" s="1">
        <v>0</v>
      </c>
      <c r="AB111" s="1">
        <v>0</v>
      </c>
      <c r="AC111" s="1">
        <v>4459102</v>
      </c>
      <c r="AD111" s="1">
        <v>0</v>
      </c>
      <c r="AE111" s="1">
        <v>3536735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15379116</v>
      </c>
      <c r="AM111" s="1">
        <v>0</v>
      </c>
      <c r="AN111" s="1">
        <v>0</v>
      </c>
      <c r="AO111" s="1">
        <v>138116129</v>
      </c>
      <c r="AP111" s="1">
        <v>46040073</v>
      </c>
      <c r="AQ111" s="1">
        <v>92076056</v>
      </c>
      <c r="AR111" s="1">
        <v>26552511</v>
      </c>
      <c r="AS111" s="1">
        <v>3982877</v>
      </c>
      <c r="AT111" s="3">
        <f t="shared" si="7"/>
        <v>168651517</v>
      </c>
    </row>
    <row r="112" spans="1:46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28120055</v>
      </c>
      <c r="G112" s="1">
        <v>9830850</v>
      </c>
      <c r="H112" s="1">
        <v>0</v>
      </c>
      <c r="I112" s="1">
        <v>27354810</v>
      </c>
      <c r="J112" s="1">
        <v>0</v>
      </c>
      <c r="K112" s="1">
        <v>5500000</v>
      </c>
      <c r="L112" s="1">
        <v>0</v>
      </c>
      <c r="M112" s="1">
        <v>1000000</v>
      </c>
      <c r="N112" s="1">
        <v>4469557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22781428</v>
      </c>
      <c r="W112" s="1">
        <v>4000000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3511795</v>
      </c>
      <c r="AF112" s="1">
        <v>3670854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6640484</v>
      </c>
      <c r="AM112" s="1">
        <v>0</v>
      </c>
      <c r="AN112" s="1">
        <v>0</v>
      </c>
      <c r="AO112" s="1">
        <v>116879833</v>
      </c>
      <c r="AP112" s="1">
        <v>44236522</v>
      </c>
      <c r="AQ112" s="1">
        <v>72643311</v>
      </c>
      <c r="AR112" s="1">
        <v>22641796</v>
      </c>
      <c r="AS112" s="1">
        <v>3396269</v>
      </c>
      <c r="AT112" s="3">
        <f t="shared" si="7"/>
        <v>142917898</v>
      </c>
    </row>
    <row r="113" spans="1:46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28419847</v>
      </c>
      <c r="G113" s="1">
        <v>6493745</v>
      </c>
      <c r="H113" s="1">
        <v>0</v>
      </c>
      <c r="I113" s="1">
        <v>25874128</v>
      </c>
      <c r="J113" s="1">
        <v>0</v>
      </c>
      <c r="K113" s="1">
        <v>4125000</v>
      </c>
      <c r="L113" s="1">
        <v>0</v>
      </c>
      <c r="M113" s="1">
        <v>1000000</v>
      </c>
      <c r="N113" s="1">
        <v>4574484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14662006</v>
      </c>
      <c r="W113" s="1">
        <v>4000000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3594238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6534978</v>
      </c>
      <c r="AM113" s="1">
        <v>0</v>
      </c>
      <c r="AN113" s="1">
        <v>0</v>
      </c>
      <c r="AO113" s="1">
        <v>99278426</v>
      </c>
      <c r="AP113" s="1">
        <v>17244832</v>
      </c>
      <c r="AQ113" s="1">
        <v>82033594</v>
      </c>
      <c r="AR113" s="1">
        <v>19855685</v>
      </c>
      <c r="AS113" s="1">
        <v>2978353</v>
      </c>
      <c r="AT113" s="3">
        <f t="shared" si="7"/>
        <v>122112464</v>
      </c>
    </row>
    <row r="114" spans="1:46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22718747</v>
      </c>
      <c r="G114" s="1">
        <v>0</v>
      </c>
      <c r="H114" s="1">
        <v>0</v>
      </c>
      <c r="I114" s="1">
        <v>21581849</v>
      </c>
      <c r="J114" s="1">
        <v>0</v>
      </c>
      <c r="K114" s="1">
        <v>4125000</v>
      </c>
      <c r="L114" s="1">
        <v>0</v>
      </c>
      <c r="M114" s="1">
        <v>1000000</v>
      </c>
      <c r="N114" s="1">
        <v>3877907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10818254</v>
      </c>
      <c r="W114" s="1">
        <v>4000000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3892267</v>
      </c>
      <c r="AD114" s="1">
        <v>0</v>
      </c>
      <c r="AE114" s="1">
        <v>3046927</v>
      </c>
      <c r="AF114" s="1">
        <v>1835427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4983714</v>
      </c>
      <c r="AM114" s="1">
        <v>0</v>
      </c>
      <c r="AN114" s="1">
        <v>0</v>
      </c>
      <c r="AO114" s="1">
        <v>81880092</v>
      </c>
      <c r="AP114" s="1">
        <v>37940976</v>
      </c>
      <c r="AQ114" s="1">
        <v>43939116</v>
      </c>
      <c r="AR114" s="1">
        <v>16008933</v>
      </c>
      <c r="AS114" s="1">
        <v>2401340</v>
      </c>
      <c r="AT114" s="3">
        <f t="shared" si="7"/>
        <v>100290365</v>
      </c>
    </row>
    <row r="115" spans="1:46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17901909</v>
      </c>
      <c r="G115" s="1">
        <v>12195003</v>
      </c>
      <c r="H115" s="1">
        <v>0</v>
      </c>
      <c r="I115" s="1">
        <v>14726458</v>
      </c>
      <c r="J115" s="1">
        <v>0</v>
      </c>
      <c r="K115" s="1">
        <v>4620000</v>
      </c>
      <c r="L115" s="1">
        <v>0</v>
      </c>
      <c r="M115" s="1">
        <v>1000000</v>
      </c>
      <c r="N115" s="1">
        <v>3364733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21915658</v>
      </c>
      <c r="W115" s="1">
        <v>4000000</v>
      </c>
      <c r="X115" s="1">
        <v>2598664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2643718</v>
      </c>
      <c r="AF115" s="1">
        <v>1835427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11456113</v>
      </c>
      <c r="AM115" s="1">
        <v>0</v>
      </c>
      <c r="AN115" s="1">
        <v>0</v>
      </c>
      <c r="AO115" s="1">
        <v>98257683</v>
      </c>
      <c r="AP115" s="1">
        <v>37896634</v>
      </c>
      <c r="AQ115" s="1">
        <v>60361049</v>
      </c>
      <c r="AR115" s="1">
        <v>19284451</v>
      </c>
      <c r="AS115" s="1">
        <v>2892668</v>
      </c>
      <c r="AT115" s="3">
        <f t="shared" si="7"/>
        <v>120434802</v>
      </c>
    </row>
    <row r="116" spans="1:46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"قراردادي کارگري"</f>
        <v>قراردادي کارگري</v>
      </c>
      <c r="E116" s="1" t="str">
        <f>"پروژه تعميرات نيروگاه بوشهر"</f>
        <v>پروژه تعميرات نيروگاه بوشهر</v>
      </c>
      <c r="F116" s="1">
        <v>0</v>
      </c>
      <c r="G116" s="1">
        <v>0</v>
      </c>
      <c r="H116" s="1">
        <v>0</v>
      </c>
      <c r="I116" s="1">
        <v>6608495</v>
      </c>
      <c r="J116" s="1">
        <v>0</v>
      </c>
      <c r="K116" s="1">
        <v>0</v>
      </c>
      <c r="L116" s="1">
        <v>11521166</v>
      </c>
      <c r="M116" s="1">
        <v>2000000</v>
      </c>
      <c r="N116" s="1">
        <v>4731338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2640000</v>
      </c>
      <c r="U116" s="1">
        <v>0</v>
      </c>
      <c r="V116" s="1">
        <v>8927978</v>
      </c>
      <c r="W116" s="1">
        <v>4000000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3670854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53030231</v>
      </c>
      <c r="AP116" s="1">
        <v>6646664</v>
      </c>
      <c r="AQ116" s="1">
        <v>46383567</v>
      </c>
      <c r="AR116" s="1">
        <v>9871875</v>
      </c>
      <c r="AS116" s="1">
        <v>1480781</v>
      </c>
      <c r="AT116" s="3">
        <f t="shared" si="7"/>
        <v>64382887</v>
      </c>
    </row>
    <row r="117" spans="1:46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"قراردادي بهره بردار"</f>
        <v>قراردادي بهره بردار</v>
      </c>
      <c r="E117" s="1" t="str">
        <f>"پروژه بهره برداري نيروگاه بوشهر"</f>
        <v>پروژه بهره برداري نيروگاه بوشهر</v>
      </c>
      <c r="F117" s="1">
        <v>19478970</v>
      </c>
      <c r="G117" s="1">
        <v>10294725</v>
      </c>
      <c r="H117" s="1">
        <v>0</v>
      </c>
      <c r="I117" s="1">
        <v>18906321</v>
      </c>
      <c r="J117" s="1">
        <v>0</v>
      </c>
      <c r="K117" s="1">
        <v>4620000</v>
      </c>
      <c r="L117" s="1">
        <v>0</v>
      </c>
      <c r="M117" s="1">
        <v>1000000</v>
      </c>
      <c r="N117" s="1">
        <v>3916704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19532102</v>
      </c>
      <c r="W117" s="1">
        <v>4000000</v>
      </c>
      <c r="X117" s="1">
        <v>2827592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3077410</v>
      </c>
      <c r="AF117" s="1">
        <v>1835427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16139027</v>
      </c>
      <c r="AM117" s="1">
        <v>0</v>
      </c>
      <c r="AN117" s="1">
        <v>0</v>
      </c>
      <c r="AO117" s="1">
        <v>105628278</v>
      </c>
      <c r="AP117" s="1">
        <v>33849925</v>
      </c>
      <c r="AQ117" s="1">
        <v>71778353</v>
      </c>
      <c r="AR117" s="1">
        <v>20758570</v>
      </c>
      <c r="AS117" s="1">
        <v>3113786</v>
      </c>
      <c r="AT117" s="3">
        <f t="shared" si="7"/>
        <v>129500634</v>
      </c>
    </row>
    <row r="118" spans="1:46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18435993</v>
      </c>
      <c r="G118" s="1">
        <v>4496355</v>
      </c>
      <c r="H118" s="1">
        <v>0</v>
      </c>
      <c r="I118" s="1">
        <v>18038005</v>
      </c>
      <c r="J118" s="1">
        <v>0</v>
      </c>
      <c r="K118" s="1">
        <v>4620000</v>
      </c>
      <c r="L118" s="1">
        <v>0</v>
      </c>
      <c r="M118" s="1">
        <v>1000000</v>
      </c>
      <c r="N118" s="1">
        <v>3551662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13472017</v>
      </c>
      <c r="W118" s="1">
        <v>4000000</v>
      </c>
      <c r="X118" s="1">
        <v>2676193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2790592</v>
      </c>
      <c r="AF118" s="1">
        <v>1835427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14511480</v>
      </c>
      <c r="AM118" s="1">
        <v>0</v>
      </c>
      <c r="AN118" s="1">
        <v>0</v>
      </c>
      <c r="AO118" s="1">
        <v>89427724</v>
      </c>
      <c r="AP118" s="1">
        <v>15685036</v>
      </c>
      <c r="AQ118" s="1">
        <v>73742688</v>
      </c>
      <c r="AR118" s="1">
        <v>17518459</v>
      </c>
      <c r="AS118" s="1">
        <v>2627769</v>
      </c>
      <c r="AT118" s="3">
        <f t="shared" si="7"/>
        <v>109573952</v>
      </c>
    </row>
    <row r="119" spans="1:46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0</v>
      </c>
      <c r="G119" s="1">
        <v>2714176</v>
      </c>
      <c r="H119" s="1">
        <v>0</v>
      </c>
      <c r="I119" s="1">
        <v>7152232</v>
      </c>
      <c r="J119" s="1">
        <v>0</v>
      </c>
      <c r="K119" s="1">
        <v>0</v>
      </c>
      <c r="L119" s="1">
        <v>11521166</v>
      </c>
      <c r="M119" s="1">
        <v>2000000</v>
      </c>
      <c r="N119" s="1">
        <v>5086937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2640000</v>
      </c>
      <c r="U119" s="1">
        <v>0</v>
      </c>
      <c r="V119" s="1">
        <v>9311996</v>
      </c>
      <c r="W119" s="1">
        <v>4000000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5013827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3860162</v>
      </c>
      <c r="AK119" s="1">
        <v>0</v>
      </c>
      <c r="AL119" s="1">
        <v>0</v>
      </c>
      <c r="AM119" s="1">
        <v>0</v>
      </c>
      <c r="AN119" s="1">
        <v>0</v>
      </c>
      <c r="AO119" s="1">
        <v>62965675</v>
      </c>
      <c r="AP119" s="1">
        <v>10750055</v>
      </c>
      <c r="AQ119" s="1">
        <v>52215620</v>
      </c>
      <c r="AR119" s="1">
        <v>12593135</v>
      </c>
      <c r="AS119" s="1">
        <v>1888970</v>
      </c>
      <c r="AT119" s="3">
        <f t="shared" si="7"/>
        <v>77447780</v>
      </c>
    </row>
    <row r="120" spans="1:46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 t="shared" ref="D120:D147" si="10"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18105970</v>
      </c>
      <c r="G120" s="1">
        <v>3693673</v>
      </c>
      <c r="H120" s="1">
        <v>0</v>
      </c>
      <c r="I120" s="1">
        <v>15962924</v>
      </c>
      <c r="J120" s="1">
        <v>0</v>
      </c>
      <c r="K120" s="1">
        <v>4620000</v>
      </c>
      <c r="L120" s="1">
        <v>0</v>
      </c>
      <c r="M120" s="1">
        <v>1000000</v>
      </c>
      <c r="N120" s="1">
        <v>3436154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12450391</v>
      </c>
      <c r="W120" s="1">
        <v>4000000</v>
      </c>
      <c r="X120" s="1">
        <v>2628286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2699835</v>
      </c>
      <c r="AF120" s="1">
        <v>3670854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12775504</v>
      </c>
      <c r="AM120" s="1">
        <v>0</v>
      </c>
      <c r="AN120" s="1">
        <v>0</v>
      </c>
      <c r="AO120" s="1">
        <v>85043591</v>
      </c>
      <c r="AP120" s="1">
        <v>42097806</v>
      </c>
      <c r="AQ120" s="1">
        <v>42945785</v>
      </c>
      <c r="AR120" s="1">
        <v>16274547</v>
      </c>
      <c r="AS120" s="1">
        <v>2441182</v>
      </c>
      <c r="AT120" s="3">
        <f t="shared" si="7"/>
        <v>103759320</v>
      </c>
    </row>
    <row r="121" spans="1:46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 t="shared" si="10"/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18299953</v>
      </c>
      <c r="G121" s="1">
        <v>6325171</v>
      </c>
      <c r="H121" s="1">
        <v>0</v>
      </c>
      <c r="I121" s="1">
        <v>17487569</v>
      </c>
      <c r="J121" s="1">
        <v>0</v>
      </c>
      <c r="K121" s="1">
        <v>4620000</v>
      </c>
      <c r="L121" s="1">
        <v>0</v>
      </c>
      <c r="M121" s="1">
        <v>1000000</v>
      </c>
      <c r="N121" s="1">
        <v>3504048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18953035</v>
      </c>
      <c r="W121" s="1">
        <v>4000000</v>
      </c>
      <c r="X121" s="1">
        <v>2656445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2753180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13699469</v>
      </c>
      <c r="AM121" s="1">
        <v>0</v>
      </c>
      <c r="AN121" s="1">
        <v>0</v>
      </c>
      <c r="AO121" s="1">
        <v>93298870</v>
      </c>
      <c r="AP121" s="1">
        <v>42904040</v>
      </c>
      <c r="AQ121" s="1">
        <v>50394830</v>
      </c>
      <c r="AR121" s="1">
        <v>18659774</v>
      </c>
      <c r="AS121" s="1">
        <v>2798966</v>
      </c>
      <c r="AT121" s="3">
        <f t="shared" si="7"/>
        <v>114757610</v>
      </c>
    </row>
    <row r="122" spans="1:46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18441032</v>
      </c>
      <c r="G122" s="1">
        <v>7275543</v>
      </c>
      <c r="H122" s="1">
        <v>0</v>
      </c>
      <c r="I122" s="1">
        <v>16580588</v>
      </c>
      <c r="J122" s="1">
        <v>0</v>
      </c>
      <c r="K122" s="1">
        <v>3465000</v>
      </c>
      <c r="L122" s="1">
        <v>0</v>
      </c>
      <c r="M122" s="1">
        <v>1000000</v>
      </c>
      <c r="N122" s="1">
        <v>3553426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11540670</v>
      </c>
      <c r="W122" s="1">
        <v>4000000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2791978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7742211</v>
      </c>
      <c r="AM122" s="1">
        <v>0</v>
      </c>
      <c r="AN122" s="1">
        <v>0</v>
      </c>
      <c r="AO122" s="1">
        <v>76390448</v>
      </c>
      <c r="AP122" s="1">
        <v>29562915</v>
      </c>
      <c r="AQ122" s="1">
        <v>46827533</v>
      </c>
      <c r="AR122" s="1">
        <v>15278090</v>
      </c>
      <c r="AS122" s="1">
        <v>2291713</v>
      </c>
      <c r="AT122" s="3">
        <f t="shared" si="7"/>
        <v>93960251</v>
      </c>
    </row>
    <row r="123" spans="1:46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 t="shared" si="10"/>
        <v>قراردادي بهره بردار</v>
      </c>
      <c r="E123" s="1" t="str">
        <f>"پروژه تعميرات نيروگاه بوشهر"</f>
        <v>پروژه تعميرات نيروگاه بوشهر</v>
      </c>
      <c r="F123" s="1">
        <v>27449930</v>
      </c>
      <c r="G123" s="1">
        <v>9836438</v>
      </c>
      <c r="H123" s="1">
        <v>0</v>
      </c>
      <c r="I123" s="1">
        <v>28219275</v>
      </c>
      <c r="J123" s="1">
        <v>0</v>
      </c>
      <c r="K123" s="1">
        <v>5500000</v>
      </c>
      <c r="L123" s="1">
        <v>0</v>
      </c>
      <c r="M123" s="1">
        <v>1000000</v>
      </c>
      <c r="N123" s="1">
        <v>4235013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16146983</v>
      </c>
      <c r="W123" s="1">
        <v>4000000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3327510</v>
      </c>
      <c r="AF123" s="1">
        <v>1835427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7744024</v>
      </c>
      <c r="AM123" s="1">
        <v>0</v>
      </c>
      <c r="AN123" s="1">
        <v>0</v>
      </c>
      <c r="AO123" s="1">
        <v>109294600</v>
      </c>
      <c r="AP123" s="1">
        <v>39441219</v>
      </c>
      <c r="AQ123" s="1">
        <v>69853381</v>
      </c>
      <c r="AR123" s="1">
        <v>21491835</v>
      </c>
      <c r="AS123" s="1">
        <v>3223775</v>
      </c>
      <c r="AT123" s="3">
        <f t="shared" si="7"/>
        <v>134010210</v>
      </c>
    </row>
    <row r="124" spans="1:46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 t="shared" si="10"/>
        <v>قراردادي بهره بردار</v>
      </c>
      <c r="E124" s="1" t="str">
        <f t="shared" ref="E124:E147" si="11">"پروژه بهره برداري نيروگاه بوشهر"</f>
        <v>پروژه بهره برداري نيروگاه بوشهر</v>
      </c>
      <c r="F124" s="1">
        <v>27973937</v>
      </c>
      <c r="G124" s="1">
        <v>3003772</v>
      </c>
      <c r="H124" s="1">
        <v>0</v>
      </c>
      <c r="I124" s="1">
        <v>32440149</v>
      </c>
      <c r="J124" s="1">
        <v>0</v>
      </c>
      <c r="K124" s="1">
        <v>5500000</v>
      </c>
      <c r="L124" s="1">
        <v>0</v>
      </c>
      <c r="M124" s="1">
        <v>1000000</v>
      </c>
      <c r="N124" s="1">
        <v>4698811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7739589</v>
      </c>
      <c r="W124" s="1">
        <v>4000000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3892267</v>
      </c>
      <c r="AD124" s="1">
        <v>0</v>
      </c>
      <c r="AE124" s="1">
        <v>3691922</v>
      </c>
      <c r="AF124" s="1">
        <v>1835427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4698811</v>
      </c>
      <c r="AM124" s="1">
        <v>0</v>
      </c>
      <c r="AN124" s="1">
        <v>0</v>
      </c>
      <c r="AO124" s="1">
        <v>100474685</v>
      </c>
      <c r="AP124" s="1">
        <v>32013043</v>
      </c>
      <c r="AQ124" s="1">
        <v>68461642</v>
      </c>
      <c r="AR124" s="1">
        <v>19727852</v>
      </c>
      <c r="AS124" s="1">
        <v>2959178</v>
      </c>
      <c r="AT124" s="3">
        <f t="shared" si="7"/>
        <v>123161715</v>
      </c>
    </row>
    <row r="125" spans="1:46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 t="shared" si="10"/>
        <v>قراردادي بهره بردار</v>
      </c>
      <c r="E125" s="1" t="str">
        <f t="shared" si="11"/>
        <v>پروژه بهره برداري نيروگاه بوشهر</v>
      </c>
      <c r="F125" s="1">
        <v>14286761</v>
      </c>
      <c r="G125" s="1">
        <v>1251783</v>
      </c>
      <c r="H125" s="1">
        <v>0</v>
      </c>
      <c r="I125" s="1">
        <v>8784255</v>
      </c>
      <c r="J125" s="1">
        <v>0</v>
      </c>
      <c r="K125" s="1">
        <v>4620000</v>
      </c>
      <c r="L125" s="1">
        <v>0</v>
      </c>
      <c r="M125" s="1">
        <v>1000000</v>
      </c>
      <c r="N125" s="1">
        <v>2408041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3225374</v>
      </c>
      <c r="W125" s="1">
        <v>4000000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1892032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4882654</v>
      </c>
      <c r="AM125" s="1">
        <v>0</v>
      </c>
      <c r="AN125" s="1">
        <v>0</v>
      </c>
      <c r="AO125" s="1">
        <v>46350900</v>
      </c>
      <c r="AP125" s="1">
        <v>4155197</v>
      </c>
      <c r="AQ125" s="1">
        <v>42195703</v>
      </c>
      <c r="AR125" s="1">
        <v>9270180</v>
      </c>
      <c r="AS125" s="1">
        <v>1390527</v>
      </c>
      <c r="AT125" s="3">
        <f t="shared" si="7"/>
        <v>57011607</v>
      </c>
    </row>
    <row r="126" spans="1:46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20892278</v>
      </c>
      <c r="G126" s="1">
        <v>0</v>
      </c>
      <c r="H126" s="1">
        <v>0</v>
      </c>
      <c r="I126" s="1">
        <v>19091325</v>
      </c>
      <c r="J126" s="1">
        <v>0</v>
      </c>
      <c r="K126" s="1">
        <v>4620000</v>
      </c>
      <c r="L126" s="1">
        <v>0</v>
      </c>
      <c r="M126" s="1">
        <v>1000000</v>
      </c>
      <c r="N126" s="1">
        <v>4001351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13002524</v>
      </c>
      <c r="W126" s="1">
        <v>4000000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3143919</v>
      </c>
      <c r="AF126" s="1">
        <v>3670854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8201019</v>
      </c>
      <c r="AM126" s="1">
        <v>0</v>
      </c>
      <c r="AN126" s="1">
        <v>0</v>
      </c>
      <c r="AO126" s="1">
        <v>81623270</v>
      </c>
      <c r="AP126" s="1">
        <v>31630426</v>
      </c>
      <c r="AQ126" s="1">
        <v>49992844</v>
      </c>
      <c r="AR126" s="1">
        <v>15590483</v>
      </c>
      <c r="AS126" s="1">
        <v>2338572</v>
      </c>
      <c r="AT126" s="3">
        <f t="shared" si="7"/>
        <v>99552325</v>
      </c>
    </row>
    <row r="127" spans="1:46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18473782</v>
      </c>
      <c r="G127" s="1">
        <v>8810155</v>
      </c>
      <c r="H127" s="1">
        <v>0</v>
      </c>
      <c r="I127" s="1">
        <v>17538498</v>
      </c>
      <c r="J127" s="1">
        <v>0</v>
      </c>
      <c r="K127" s="1">
        <v>4620000</v>
      </c>
      <c r="L127" s="1">
        <v>0</v>
      </c>
      <c r="M127" s="1">
        <v>1000000</v>
      </c>
      <c r="N127" s="1">
        <v>3564888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13198530</v>
      </c>
      <c r="W127" s="1">
        <v>4000000</v>
      </c>
      <c r="X127" s="1">
        <v>2681678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2800983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13785805</v>
      </c>
      <c r="AM127" s="1">
        <v>0</v>
      </c>
      <c r="AN127" s="1">
        <v>0</v>
      </c>
      <c r="AO127" s="1">
        <v>90474319</v>
      </c>
      <c r="AP127" s="1">
        <v>17853810</v>
      </c>
      <c r="AQ127" s="1">
        <v>72620509</v>
      </c>
      <c r="AR127" s="1">
        <v>18094864</v>
      </c>
      <c r="AS127" s="1">
        <v>2714230</v>
      </c>
      <c r="AT127" s="3">
        <f t="shared" si="7"/>
        <v>111283413</v>
      </c>
    </row>
    <row r="128" spans="1:46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27558258</v>
      </c>
      <c r="G128" s="1">
        <v>12200069</v>
      </c>
      <c r="H128" s="1">
        <v>0</v>
      </c>
      <c r="I128" s="1">
        <v>23949749</v>
      </c>
      <c r="J128" s="1">
        <v>0</v>
      </c>
      <c r="K128" s="1">
        <v>5500000</v>
      </c>
      <c r="L128" s="1">
        <v>0</v>
      </c>
      <c r="M128" s="1">
        <v>1000000</v>
      </c>
      <c r="N128" s="1">
        <v>4272928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21203786</v>
      </c>
      <c r="W128" s="1">
        <v>4000000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3357301</v>
      </c>
      <c r="AF128" s="1">
        <v>1835427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6104183</v>
      </c>
      <c r="AM128" s="1">
        <v>0</v>
      </c>
      <c r="AN128" s="1">
        <v>0</v>
      </c>
      <c r="AO128" s="1">
        <v>110981701</v>
      </c>
      <c r="AP128" s="1">
        <v>40006266</v>
      </c>
      <c r="AQ128" s="1">
        <v>70975435</v>
      </c>
      <c r="AR128" s="1">
        <v>21829255</v>
      </c>
      <c r="AS128" s="1">
        <v>3274388</v>
      </c>
      <c r="AT128" s="3">
        <f t="shared" si="7"/>
        <v>136085344</v>
      </c>
    </row>
    <row r="129" spans="1:46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20809143</v>
      </c>
      <c r="G129" s="1">
        <v>25250037</v>
      </c>
      <c r="H129" s="1">
        <v>0</v>
      </c>
      <c r="I129" s="1">
        <v>20738862</v>
      </c>
      <c r="J129" s="1">
        <v>0</v>
      </c>
      <c r="K129" s="1">
        <v>0</v>
      </c>
      <c r="L129" s="1">
        <v>0</v>
      </c>
      <c r="M129" s="1">
        <v>1000000</v>
      </c>
      <c r="N129" s="1">
        <v>4294090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13567991</v>
      </c>
      <c r="W129" s="1">
        <v>4000000</v>
      </c>
      <c r="X129" s="1">
        <v>3020682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3373928</v>
      </c>
      <c r="AF129" s="1">
        <v>5506281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11763716</v>
      </c>
      <c r="AM129" s="1">
        <v>0</v>
      </c>
      <c r="AN129" s="1">
        <v>0</v>
      </c>
      <c r="AO129" s="1">
        <v>113324730</v>
      </c>
      <c r="AP129" s="1">
        <v>37526868</v>
      </c>
      <c r="AQ129" s="1">
        <v>75797862</v>
      </c>
      <c r="AR129" s="1">
        <v>21563690</v>
      </c>
      <c r="AS129" s="1">
        <v>3234553</v>
      </c>
      <c r="AT129" s="3">
        <f t="shared" si="7"/>
        <v>138122973</v>
      </c>
    </row>
    <row r="130" spans="1:46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16644795</v>
      </c>
      <c r="G130" s="1">
        <v>4594532</v>
      </c>
      <c r="H130" s="1">
        <v>0</v>
      </c>
      <c r="I130" s="1">
        <v>15201130</v>
      </c>
      <c r="J130" s="1">
        <v>0</v>
      </c>
      <c r="K130" s="1">
        <v>4620000</v>
      </c>
      <c r="L130" s="1">
        <v>0</v>
      </c>
      <c r="M130" s="1">
        <v>1000000</v>
      </c>
      <c r="N130" s="1">
        <v>2924743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22105615</v>
      </c>
      <c r="W130" s="1">
        <v>4000000</v>
      </c>
      <c r="X130" s="1">
        <v>2416180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2298012</v>
      </c>
      <c r="AF130" s="1">
        <v>1835427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13171356</v>
      </c>
      <c r="AM130" s="1">
        <v>0</v>
      </c>
      <c r="AN130" s="1">
        <v>0</v>
      </c>
      <c r="AO130" s="1">
        <v>90811790</v>
      </c>
      <c r="AP130" s="1">
        <v>30575870</v>
      </c>
      <c r="AQ130" s="1">
        <v>60235920</v>
      </c>
      <c r="AR130" s="1">
        <v>17795273</v>
      </c>
      <c r="AS130" s="1">
        <v>2669291</v>
      </c>
      <c r="AT130" s="3">
        <f t="shared" si="7"/>
        <v>111276354</v>
      </c>
    </row>
    <row r="131" spans="1:46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27845454</v>
      </c>
      <c r="G131" s="1">
        <v>8047594</v>
      </c>
      <c r="H131" s="1">
        <v>0</v>
      </c>
      <c r="I131" s="1">
        <v>24195365</v>
      </c>
      <c r="J131" s="1">
        <v>0</v>
      </c>
      <c r="K131" s="1">
        <v>5500000</v>
      </c>
      <c r="L131" s="1">
        <v>0</v>
      </c>
      <c r="M131" s="1">
        <v>1000000</v>
      </c>
      <c r="N131" s="1">
        <v>4373447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22442767</v>
      </c>
      <c r="W131" s="1">
        <v>4000000</v>
      </c>
      <c r="X131" s="1">
        <v>4042082</v>
      </c>
      <c r="Y131" s="1">
        <v>0</v>
      </c>
      <c r="Z131" s="1">
        <v>0</v>
      </c>
      <c r="AA131" s="1">
        <v>0</v>
      </c>
      <c r="AB131" s="1">
        <v>0</v>
      </c>
      <c r="AC131" s="1">
        <v>4459102</v>
      </c>
      <c r="AD131" s="1">
        <v>0</v>
      </c>
      <c r="AE131" s="1">
        <v>3436280</v>
      </c>
      <c r="AF131" s="1">
        <v>1835427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27293483</v>
      </c>
      <c r="AM131" s="1">
        <v>0</v>
      </c>
      <c r="AN131" s="1">
        <v>0</v>
      </c>
      <c r="AO131" s="1">
        <v>138471001</v>
      </c>
      <c r="AP131" s="1">
        <v>45832360</v>
      </c>
      <c r="AQ131" s="1">
        <v>92638641</v>
      </c>
      <c r="AR131" s="1">
        <v>26552511</v>
      </c>
      <c r="AS131" s="1">
        <v>3982877</v>
      </c>
      <c r="AT131" s="3">
        <f t="shared" ref="AT131:AT194" si="12">AO131+AR131+AS131</f>
        <v>169006389</v>
      </c>
    </row>
    <row r="132" spans="1:46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28815372</v>
      </c>
      <c r="G132" s="1">
        <v>26553662</v>
      </c>
      <c r="H132" s="1">
        <v>0</v>
      </c>
      <c r="I132" s="1">
        <v>27659847</v>
      </c>
      <c r="J132" s="1">
        <v>0</v>
      </c>
      <c r="K132" s="1">
        <v>0</v>
      </c>
      <c r="L132" s="1">
        <v>0</v>
      </c>
      <c r="M132" s="1">
        <v>1000000</v>
      </c>
      <c r="N132" s="1">
        <v>4712919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34084059</v>
      </c>
      <c r="W132" s="1">
        <v>4000000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3892267</v>
      </c>
      <c r="AD132" s="1">
        <v>0</v>
      </c>
      <c r="AE132" s="1">
        <v>3703007</v>
      </c>
      <c r="AF132" s="1">
        <v>1835427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7809979</v>
      </c>
      <c r="AM132" s="1">
        <v>0</v>
      </c>
      <c r="AN132" s="1">
        <v>0</v>
      </c>
      <c r="AO132" s="1">
        <v>144066539</v>
      </c>
      <c r="AP132" s="1">
        <v>64098964</v>
      </c>
      <c r="AQ132" s="1">
        <v>79967575</v>
      </c>
      <c r="AR132" s="1">
        <v>26552511</v>
      </c>
      <c r="AS132" s="1">
        <v>3982877</v>
      </c>
      <c r="AT132" s="3">
        <f t="shared" si="12"/>
        <v>174601927</v>
      </c>
    </row>
    <row r="133" spans="1:46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17791061</v>
      </c>
      <c r="G133" s="1">
        <v>9061638</v>
      </c>
      <c r="H133" s="1">
        <v>0</v>
      </c>
      <c r="I133" s="1">
        <v>16354336</v>
      </c>
      <c r="J133" s="1">
        <v>0</v>
      </c>
      <c r="K133" s="1">
        <v>4620000</v>
      </c>
      <c r="L133" s="1">
        <v>0</v>
      </c>
      <c r="M133" s="1">
        <v>1000000</v>
      </c>
      <c r="N133" s="1">
        <v>3325936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22990140</v>
      </c>
      <c r="W133" s="1">
        <v>4000000</v>
      </c>
      <c r="X133" s="1">
        <v>2582573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2613235</v>
      </c>
      <c r="AF133" s="1">
        <v>3670854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12464324</v>
      </c>
      <c r="AM133" s="1">
        <v>0</v>
      </c>
      <c r="AN133" s="1">
        <v>0</v>
      </c>
      <c r="AO133" s="1">
        <v>100474097</v>
      </c>
      <c r="AP133" s="1">
        <v>36807061</v>
      </c>
      <c r="AQ133" s="1">
        <v>63667036</v>
      </c>
      <c r="AR133" s="1">
        <v>19360649</v>
      </c>
      <c r="AS133" s="1">
        <v>2904097</v>
      </c>
      <c r="AT133" s="3">
        <f t="shared" si="12"/>
        <v>122738843</v>
      </c>
    </row>
    <row r="134" spans="1:46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29034548</v>
      </c>
      <c r="G134" s="1">
        <v>22802494</v>
      </c>
      <c r="H134" s="1">
        <v>0</v>
      </c>
      <c r="I134" s="1">
        <v>27431075</v>
      </c>
      <c r="J134" s="1">
        <v>0</v>
      </c>
      <c r="K134" s="1">
        <v>5500000</v>
      </c>
      <c r="L134" s="1">
        <v>0</v>
      </c>
      <c r="M134" s="1">
        <v>1000000</v>
      </c>
      <c r="N134" s="1">
        <v>4789630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17080256</v>
      </c>
      <c r="W134" s="1">
        <v>4000000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3763280</v>
      </c>
      <c r="AF134" s="1">
        <v>1835427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7663408</v>
      </c>
      <c r="AM134" s="1">
        <v>0</v>
      </c>
      <c r="AN134" s="1">
        <v>0</v>
      </c>
      <c r="AO134" s="1">
        <v>124900118</v>
      </c>
      <c r="AP134" s="1">
        <v>42710574</v>
      </c>
      <c r="AQ134" s="1">
        <v>82189544</v>
      </c>
      <c r="AR134" s="1">
        <v>24612938</v>
      </c>
      <c r="AS134" s="1">
        <v>3691941</v>
      </c>
      <c r="AT134" s="3">
        <f t="shared" si="12"/>
        <v>153204997</v>
      </c>
    </row>
    <row r="135" spans="1:46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28266172</v>
      </c>
      <c r="G135" s="1">
        <v>67674260</v>
      </c>
      <c r="H135" s="1">
        <v>0</v>
      </c>
      <c r="I135" s="1">
        <v>26204752</v>
      </c>
      <c r="J135" s="1">
        <v>0</v>
      </c>
      <c r="K135" s="1">
        <v>5500000</v>
      </c>
      <c r="L135" s="1">
        <v>0</v>
      </c>
      <c r="M135" s="1">
        <v>1000000</v>
      </c>
      <c r="N135" s="1">
        <v>4520698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24505232</v>
      </c>
      <c r="W135" s="1">
        <v>4000000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3551977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6974791</v>
      </c>
      <c r="AM135" s="1">
        <v>0</v>
      </c>
      <c r="AN135" s="1">
        <v>0</v>
      </c>
      <c r="AO135" s="1">
        <v>172197882</v>
      </c>
      <c r="AP135" s="1">
        <v>50805592</v>
      </c>
      <c r="AQ135" s="1">
        <v>121392290</v>
      </c>
      <c r="AR135" s="1">
        <v>26552511</v>
      </c>
      <c r="AS135" s="1">
        <v>3982877</v>
      </c>
      <c r="AT135" s="3">
        <f t="shared" si="12"/>
        <v>202733270</v>
      </c>
    </row>
    <row r="136" spans="1:46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28115016</v>
      </c>
      <c r="G136" s="1">
        <v>31924606</v>
      </c>
      <c r="H136" s="1">
        <v>0</v>
      </c>
      <c r="I136" s="1">
        <v>25354396</v>
      </c>
      <c r="J136" s="1">
        <v>0</v>
      </c>
      <c r="K136" s="1">
        <v>5500000</v>
      </c>
      <c r="L136" s="1">
        <v>0</v>
      </c>
      <c r="M136" s="1">
        <v>1000000</v>
      </c>
      <c r="N136" s="1">
        <v>4467793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34605186</v>
      </c>
      <c r="W136" s="1">
        <v>4000000</v>
      </c>
      <c r="X136" s="1">
        <v>4081212</v>
      </c>
      <c r="Y136" s="1">
        <v>0</v>
      </c>
      <c r="Z136" s="1">
        <v>0</v>
      </c>
      <c r="AA136" s="1">
        <v>0</v>
      </c>
      <c r="AB136" s="1">
        <v>0</v>
      </c>
      <c r="AC136" s="1">
        <v>4459102</v>
      </c>
      <c r="AD136" s="1">
        <v>0</v>
      </c>
      <c r="AE136" s="1">
        <v>3510409</v>
      </c>
      <c r="AF136" s="1">
        <v>3670854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25159564</v>
      </c>
      <c r="AM136" s="1">
        <v>0</v>
      </c>
      <c r="AN136" s="1">
        <v>0</v>
      </c>
      <c r="AO136" s="1">
        <v>175848138</v>
      </c>
      <c r="AP136" s="1">
        <v>51933939</v>
      </c>
      <c r="AQ136" s="1">
        <v>123914199</v>
      </c>
      <c r="AR136" s="1">
        <v>26552511</v>
      </c>
      <c r="AS136" s="1">
        <v>3982877</v>
      </c>
      <c r="AT136" s="3">
        <f t="shared" si="12"/>
        <v>206383526</v>
      </c>
    </row>
    <row r="137" spans="1:46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18796249</v>
      </c>
      <c r="G137" s="1">
        <v>5512749</v>
      </c>
      <c r="H137" s="1">
        <v>0</v>
      </c>
      <c r="I137" s="1">
        <v>19086910</v>
      </c>
      <c r="J137" s="1">
        <v>0</v>
      </c>
      <c r="K137" s="1">
        <v>4620000</v>
      </c>
      <c r="L137" s="1">
        <v>0</v>
      </c>
      <c r="M137" s="1">
        <v>1000000</v>
      </c>
      <c r="N137" s="1">
        <v>3677751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26732002</v>
      </c>
      <c r="W137" s="1">
        <v>4000000</v>
      </c>
      <c r="X137" s="1">
        <v>2728488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2889662</v>
      </c>
      <c r="AF137" s="1">
        <v>1835427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15621343</v>
      </c>
      <c r="AM137" s="1">
        <v>0</v>
      </c>
      <c r="AN137" s="1">
        <v>0</v>
      </c>
      <c r="AO137" s="1">
        <v>106500581</v>
      </c>
      <c r="AP137" s="1">
        <v>47411128</v>
      </c>
      <c r="AQ137" s="1">
        <v>59089453</v>
      </c>
      <c r="AR137" s="1">
        <v>20933031</v>
      </c>
      <c r="AS137" s="1">
        <v>3139955</v>
      </c>
      <c r="AT137" s="3">
        <f t="shared" si="12"/>
        <v>130573567</v>
      </c>
    </row>
    <row r="138" spans="1:46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17811215</v>
      </c>
      <c r="G138" s="1">
        <v>9324594</v>
      </c>
      <c r="H138" s="1">
        <v>0</v>
      </c>
      <c r="I138" s="1">
        <v>15723582</v>
      </c>
      <c r="J138" s="1">
        <v>0</v>
      </c>
      <c r="K138" s="1">
        <v>4620000</v>
      </c>
      <c r="L138" s="1">
        <v>0</v>
      </c>
      <c r="M138" s="1">
        <v>1000000</v>
      </c>
      <c r="N138" s="1">
        <v>3332990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22608057</v>
      </c>
      <c r="W138" s="1">
        <v>4000000</v>
      </c>
      <c r="X138" s="1">
        <v>2585499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2618778</v>
      </c>
      <c r="AF138" s="1">
        <v>1835427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11318058</v>
      </c>
      <c r="AM138" s="1">
        <v>0</v>
      </c>
      <c r="AN138" s="1">
        <v>0</v>
      </c>
      <c r="AO138" s="1">
        <v>96778200</v>
      </c>
      <c r="AP138" s="1">
        <v>43380707</v>
      </c>
      <c r="AQ138" s="1">
        <v>53397493</v>
      </c>
      <c r="AR138" s="1">
        <v>18988555</v>
      </c>
      <c r="AS138" s="1">
        <v>2848283</v>
      </c>
      <c r="AT138" s="3">
        <f t="shared" si="12"/>
        <v>118615038</v>
      </c>
    </row>
    <row r="139" spans="1:46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24567889</v>
      </c>
      <c r="G139" s="1">
        <v>0</v>
      </c>
      <c r="H139" s="1">
        <v>0</v>
      </c>
      <c r="I139" s="1">
        <v>19117102</v>
      </c>
      <c r="J139" s="1">
        <v>0</v>
      </c>
      <c r="K139" s="1">
        <v>5500000</v>
      </c>
      <c r="L139" s="1">
        <v>0</v>
      </c>
      <c r="M139" s="1">
        <v>1000000</v>
      </c>
      <c r="N139" s="1">
        <v>3506693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5458264</v>
      </c>
      <c r="W139" s="1">
        <v>4000000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2755259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4635703</v>
      </c>
      <c r="AM139" s="1">
        <v>0</v>
      </c>
      <c r="AN139" s="1">
        <v>0</v>
      </c>
      <c r="AO139" s="1">
        <v>70540910</v>
      </c>
      <c r="AP139" s="1">
        <v>46683155</v>
      </c>
      <c r="AQ139" s="1">
        <v>23857755</v>
      </c>
      <c r="AR139" s="1">
        <v>14108182</v>
      </c>
      <c r="AS139" s="1">
        <v>2116227</v>
      </c>
      <c r="AT139" s="3">
        <f t="shared" si="12"/>
        <v>86765319</v>
      </c>
    </row>
    <row r="140" spans="1:46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15831072</v>
      </c>
      <c r="G140" s="1">
        <v>6823276</v>
      </c>
      <c r="H140" s="1">
        <v>0</v>
      </c>
      <c r="I140" s="1">
        <v>13597041</v>
      </c>
      <c r="J140" s="1">
        <v>0</v>
      </c>
      <c r="K140" s="1">
        <v>3465000</v>
      </c>
      <c r="L140" s="1">
        <v>0</v>
      </c>
      <c r="M140" s="1">
        <v>1000000</v>
      </c>
      <c r="N140" s="1">
        <v>2917689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12396868</v>
      </c>
      <c r="W140" s="1">
        <v>4000000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2292470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6684622</v>
      </c>
      <c r="AM140" s="1">
        <v>0</v>
      </c>
      <c r="AN140" s="1">
        <v>0</v>
      </c>
      <c r="AO140" s="1">
        <v>69008038</v>
      </c>
      <c r="AP140" s="1">
        <v>27177894</v>
      </c>
      <c r="AQ140" s="1">
        <v>41830144</v>
      </c>
      <c r="AR140" s="1">
        <v>13801608</v>
      </c>
      <c r="AS140" s="1">
        <v>2070241</v>
      </c>
      <c r="AT140" s="3">
        <f t="shared" si="12"/>
        <v>84879887</v>
      </c>
    </row>
    <row r="141" spans="1:46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18924731</v>
      </c>
      <c r="G141" s="1">
        <v>5563042</v>
      </c>
      <c r="H141" s="1">
        <v>0</v>
      </c>
      <c r="I141" s="1">
        <v>19265565</v>
      </c>
      <c r="J141" s="1">
        <v>0</v>
      </c>
      <c r="K141" s="1">
        <v>4620000</v>
      </c>
      <c r="L141" s="1">
        <v>0</v>
      </c>
      <c r="M141" s="1">
        <v>1000000</v>
      </c>
      <c r="N141" s="1">
        <v>3722721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26975881</v>
      </c>
      <c r="W141" s="1">
        <v>4000000</v>
      </c>
      <c r="X141" s="1">
        <v>2747138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2924995</v>
      </c>
      <c r="AF141" s="1">
        <v>1835427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15781946</v>
      </c>
      <c r="AM141" s="1">
        <v>0</v>
      </c>
      <c r="AN141" s="1">
        <v>0</v>
      </c>
      <c r="AO141" s="1">
        <v>107361446</v>
      </c>
      <c r="AP141" s="1">
        <v>45409470</v>
      </c>
      <c r="AQ141" s="1">
        <v>61951976</v>
      </c>
      <c r="AR141" s="1">
        <v>21105204</v>
      </c>
      <c r="AS141" s="1">
        <v>3165781</v>
      </c>
      <c r="AT141" s="3">
        <f t="shared" si="12"/>
        <v>131632431</v>
      </c>
    </row>
    <row r="142" spans="1:46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26618572</v>
      </c>
      <c r="G142" s="1">
        <v>59605495</v>
      </c>
      <c r="H142" s="1">
        <v>0</v>
      </c>
      <c r="I142" s="1">
        <v>23168284</v>
      </c>
      <c r="J142" s="1">
        <v>0</v>
      </c>
      <c r="K142" s="1">
        <v>5500000</v>
      </c>
      <c r="L142" s="1">
        <v>0</v>
      </c>
      <c r="M142" s="1">
        <v>1000000</v>
      </c>
      <c r="N142" s="1">
        <v>3944038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23278500</v>
      </c>
      <c r="W142" s="1">
        <v>4000000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3098887</v>
      </c>
      <c r="AF142" s="1">
        <v>1835427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6085087</v>
      </c>
      <c r="AM142" s="1">
        <v>0</v>
      </c>
      <c r="AN142" s="1">
        <v>0</v>
      </c>
      <c r="AO142" s="1">
        <v>158134290</v>
      </c>
      <c r="AP142" s="1">
        <v>50498697</v>
      </c>
      <c r="AQ142" s="1">
        <v>107635593</v>
      </c>
      <c r="AR142" s="1">
        <v>26552511</v>
      </c>
      <c r="AS142" s="1">
        <v>3982877</v>
      </c>
      <c r="AT142" s="3">
        <f t="shared" si="12"/>
        <v>188669678</v>
      </c>
    </row>
    <row r="143" spans="1:46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27926071</v>
      </c>
      <c r="G143" s="1">
        <v>12448576</v>
      </c>
      <c r="H143" s="1">
        <v>0</v>
      </c>
      <c r="I143" s="1">
        <v>24125006</v>
      </c>
      <c r="J143" s="1">
        <v>0</v>
      </c>
      <c r="K143" s="1">
        <v>5500000</v>
      </c>
      <c r="L143" s="1">
        <v>0</v>
      </c>
      <c r="M143" s="1">
        <v>1000000</v>
      </c>
      <c r="N143" s="1">
        <v>4401663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21001679</v>
      </c>
      <c r="W143" s="1">
        <v>4000000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3458449</v>
      </c>
      <c r="AF143" s="1">
        <v>1835427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7294184</v>
      </c>
      <c r="AM143" s="1">
        <v>0</v>
      </c>
      <c r="AN143" s="1">
        <v>0</v>
      </c>
      <c r="AO143" s="1">
        <v>112991055</v>
      </c>
      <c r="AP143" s="1">
        <v>34152423</v>
      </c>
      <c r="AQ143" s="1">
        <v>78838632</v>
      </c>
      <c r="AR143" s="1">
        <v>22231126</v>
      </c>
      <c r="AS143" s="1">
        <v>3334669</v>
      </c>
      <c r="AT143" s="3">
        <f t="shared" si="12"/>
        <v>138556850</v>
      </c>
    </row>
    <row r="144" spans="1:46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36295075</v>
      </c>
      <c r="G144" s="1">
        <v>0</v>
      </c>
      <c r="H144" s="1">
        <v>0</v>
      </c>
      <c r="I144" s="1">
        <v>38996787</v>
      </c>
      <c r="J144" s="1">
        <v>0</v>
      </c>
      <c r="K144" s="1">
        <v>0</v>
      </c>
      <c r="L144" s="1">
        <v>0</v>
      </c>
      <c r="M144" s="1">
        <v>1000000</v>
      </c>
      <c r="N144" s="1">
        <v>6520492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19488781</v>
      </c>
      <c r="W144" s="1">
        <v>4000000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5123244</v>
      </c>
      <c r="AF144" s="1">
        <v>3670854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6986242</v>
      </c>
      <c r="AM144" s="1">
        <v>0</v>
      </c>
      <c r="AN144" s="1">
        <v>0</v>
      </c>
      <c r="AO144" s="1">
        <v>122081475</v>
      </c>
      <c r="AP144" s="1">
        <v>43671869</v>
      </c>
      <c r="AQ144" s="1">
        <v>78409606</v>
      </c>
      <c r="AR144" s="1">
        <v>23682124</v>
      </c>
      <c r="AS144" s="1">
        <v>3552319</v>
      </c>
      <c r="AT144" s="3">
        <f t="shared" si="12"/>
        <v>149315918</v>
      </c>
    </row>
    <row r="145" spans="1:46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17768388</v>
      </c>
      <c r="G145" s="1">
        <v>0</v>
      </c>
      <c r="H145" s="1">
        <v>0</v>
      </c>
      <c r="I145" s="1">
        <v>15460486</v>
      </c>
      <c r="J145" s="1">
        <v>0</v>
      </c>
      <c r="K145" s="1">
        <v>3465000</v>
      </c>
      <c r="L145" s="1">
        <v>0</v>
      </c>
      <c r="M145" s="1">
        <v>1000000</v>
      </c>
      <c r="N145" s="1">
        <v>3318000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10870560</v>
      </c>
      <c r="W145" s="1">
        <v>4000000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2607000</v>
      </c>
      <c r="AF145" s="1">
        <v>1835427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7103828</v>
      </c>
      <c r="AM145" s="1">
        <v>0</v>
      </c>
      <c r="AN145" s="1">
        <v>0</v>
      </c>
      <c r="AO145" s="1">
        <v>67428689</v>
      </c>
      <c r="AP145" s="1">
        <v>32763957</v>
      </c>
      <c r="AQ145" s="1">
        <v>34664732</v>
      </c>
      <c r="AR145" s="1">
        <v>13118652</v>
      </c>
      <c r="AS145" s="1">
        <v>1967798</v>
      </c>
      <c r="AT145" s="3">
        <f t="shared" si="12"/>
        <v>82515139</v>
      </c>
    </row>
    <row r="146" spans="1:46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28772545</v>
      </c>
      <c r="G146" s="1">
        <v>7907690</v>
      </c>
      <c r="H146" s="1">
        <v>0</v>
      </c>
      <c r="I146" s="1">
        <v>26069168</v>
      </c>
      <c r="J146" s="1">
        <v>0</v>
      </c>
      <c r="K146" s="1">
        <v>4125000</v>
      </c>
      <c r="L146" s="1">
        <v>0</v>
      </c>
      <c r="M146" s="1">
        <v>1000000</v>
      </c>
      <c r="N146" s="1">
        <v>4697928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22370043</v>
      </c>
      <c r="W146" s="1">
        <v>4000000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3691230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7785139</v>
      </c>
      <c r="AM146" s="1">
        <v>0</v>
      </c>
      <c r="AN146" s="1">
        <v>0</v>
      </c>
      <c r="AO146" s="1">
        <v>110418743</v>
      </c>
      <c r="AP146" s="1">
        <v>16391726</v>
      </c>
      <c r="AQ146" s="1">
        <v>94027017</v>
      </c>
      <c r="AR146" s="1">
        <v>22083749</v>
      </c>
      <c r="AS146" s="1">
        <v>3312562</v>
      </c>
      <c r="AT146" s="3">
        <f t="shared" si="12"/>
        <v>135815054</v>
      </c>
    </row>
    <row r="147" spans="1:46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19826629</v>
      </c>
      <c r="G147" s="1">
        <v>5916082</v>
      </c>
      <c r="H147" s="1">
        <v>0</v>
      </c>
      <c r="I147" s="1">
        <v>20519653</v>
      </c>
      <c r="J147" s="1">
        <v>0</v>
      </c>
      <c r="K147" s="1">
        <v>4620000</v>
      </c>
      <c r="L147" s="1">
        <v>0</v>
      </c>
      <c r="M147" s="1">
        <v>1000000</v>
      </c>
      <c r="N147" s="1">
        <v>4038384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28687815</v>
      </c>
      <c r="W147" s="1">
        <v>4000000</v>
      </c>
      <c r="X147" s="1">
        <v>2878059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3173016</v>
      </c>
      <c r="AF147" s="1">
        <v>3670854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16909318</v>
      </c>
      <c r="AM147" s="1">
        <v>0</v>
      </c>
      <c r="AN147" s="1">
        <v>0</v>
      </c>
      <c r="AO147" s="1">
        <v>115239810</v>
      </c>
      <c r="AP147" s="1">
        <v>32034613</v>
      </c>
      <c r="AQ147" s="1">
        <v>83205197</v>
      </c>
      <c r="AR147" s="1">
        <v>22313791</v>
      </c>
      <c r="AS147" s="1">
        <v>3347069</v>
      </c>
      <c r="AT147" s="3">
        <f t="shared" si="12"/>
        <v>140900670</v>
      </c>
    </row>
    <row r="148" spans="1:46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"قراردادي کارگري"</f>
        <v>قراردادي کارگري</v>
      </c>
      <c r="E148" s="1" t="str">
        <f>"پروژه تعميرات نيروگاه بوشهر"</f>
        <v>پروژه تعميرات نيروگاه بوشهر</v>
      </c>
      <c r="F148" s="1">
        <v>0</v>
      </c>
      <c r="G148" s="1">
        <v>5073916</v>
      </c>
      <c r="H148" s="1">
        <v>0</v>
      </c>
      <c r="I148" s="1">
        <v>6513150</v>
      </c>
      <c r="J148" s="1">
        <v>0</v>
      </c>
      <c r="K148" s="1">
        <v>0</v>
      </c>
      <c r="L148" s="1">
        <v>11572430</v>
      </c>
      <c r="M148" s="1">
        <v>2000000</v>
      </c>
      <c r="N148" s="1">
        <v>4510492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2640000</v>
      </c>
      <c r="U148" s="1">
        <v>0</v>
      </c>
      <c r="V148" s="1">
        <v>8781011</v>
      </c>
      <c r="W148" s="1">
        <v>4000000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4674901</v>
      </c>
      <c r="AE148" s="1">
        <v>0</v>
      </c>
      <c r="AF148" s="1">
        <v>5506281</v>
      </c>
      <c r="AG148" s="1">
        <v>0</v>
      </c>
      <c r="AH148" s="1">
        <v>0</v>
      </c>
      <c r="AI148" s="1">
        <v>0</v>
      </c>
      <c r="AJ148" s="1">
        <v>3608118</v>
      </c>
      <c r="AK148" s="1">
        <v>0</v>
      </c>
      <c r="AL148" s="1">
        <v>0</v>
      </c>
      <c r="AM148" s="1">
        <v>0</v>
      </c>
      <c r="AN148" s="1">
        <v>0</v>
      </c>
      <c r="AO148" s="1">
        <v>67450234</v>
      </c>
      <c r="AP148" s="1">
        <v>11084692</v>
      </c>
      <c r="AQ148" s="1">
        <v>56365542</v>
      </c>
      <c r="AR148" s="1">
        <v>12388791</v>
      </c>
      <c r="AS148" s="1">
        <v>1858319</v>
      </c>
      <c r="AT148" s="3">
        <f t="shared" si="12"/>
        <v>81697344</v>
      </c>
    </row>
    <row r="149" spans="1:46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 t="shared" ref="D149:D169" si="13">"قراردادي بهره بردار"</f>
        <v>قراردادي بهره بردار</v>
      </c>
      <c r="E149" s="1" t="str">
        <f t="shared" ref="E149:E164" si="14">"پروژه بهره برداري نيروگاه بوشهر"</f>
        <v>پروژه بهره برداري نيروگاه بوشهر</v>
      </c>
      <c r="F149" s="1">
        <v>30415106</v>
      </c>
      <c r="G149" s="1">
        <v>17402385</v>
      </c>
      <c r="H149" s="1">
        <v>0</v>
      </c>
      <c r="I149" s="1">
        <v>33139614</v>
      </c>
      <c r="J149" s="1">
        <v>0</v>
      </c>
      <c r="K149" s="1">
        <v>5500000</v>
      </c>
      <c r="L149" s="1">
        <v>0</v>
      </c>
      <c r="M149" s="1">
        <v>1000000</v>
      </c>
      <c r="N149" s="1">
        <v>4776404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8007034</v>
      </c>
      <c r="W149" s="1">
        <v>4000000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3892267</v>
      </c>
      <c r="AD149" s="1">
        <v>0</v>
      </c>
      <c r="AE149" s="1">
        <v>3752889</v>
      </c>
      <c r="AF149" s="1">
        <v>3670854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4094060</v>
      </c>
      <c r="AM149" s="1">
        <v>0</v>
      </c>
      <c r="AN149" s="1">
        <v>0</v>
      </c>
      <c r="AO149" s="1">
        <v>119650613</v>
      </c>
      <c r="AP149" s="1">
        <v>41796773</v>
      </c>
      <c r="AQ149" s="1">
        <v>77853840</v>
      </c>
      <c r="AR149" s="1">
        <v>23195952</v>
      </c>
      <c r="AS149" s="1">
        <v>3479393</v>
      </c>
      <c r="AT149" s="3">
        <f t="shared" si="12"/>
        <v>146325958</v>
      </c>
    </row>
    <row r="150" spans="1:46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 t="shared" si="13"/>
        <v>قراردادي بهره بردار</v>
      </c>
      <c r="E150" s="1" t="str">
        <f t="shared" si="14"/>
        <v>پروژه بهره برداري نيروگاه بوشهر</v>
      </c>
      <c r="F150" s="1">
        <v>29795367</v>
      </c>
      <c r="G150" s="1">
        <v>17211945</v>
      </c>
      <c r="H150" s="1">
        <v>0</v>
      </c>
      <c r="I150" s="1">
        <v>26814317</v>
      </c>
      <c r="J150" s="1">
        <v>0</v>
      </c>
      <c r="K150" s="1">
        <v>4125000</v>
      </c>
      <c r="L150" s="1">
        <v>0</v>
      </c>
      <c r="M150" s="1">
        <v>1000000</v>
      </c>
      <c r="N150" s="1">
        <v>5055916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17190192</v>
      </c>
      <c r="W150" s="1">
        <v>4000000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3972505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7511647</v>
      </c>
      <c r="AM150" s="1">
        <v>0</v>
      </c>
      <c r="AN150" s="1">
        <v>0</v>
      </c>
      <c r="AO150" s="1">
        <v>116676889</v>
      </c>
      <c r="AP150" s="1">
        <v>18705408</v>
      </c>
      <c r="AQ150" s="1">
        <v>97971481</v>
      </c>
      <c r="AR150" s="1">
        <v>23335378</v>
      </c>
      <c r="AS150" s="1">
        <v>3500307</v>
      </c>
      <c r="AT150" s="3">
        <f t="shared" si="12"/>
        <v>143512574</v>
      </c>
    </row>
    <row r="151" spans="1:46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17775946</v>
      </c>
      <c r="G151" s="1">
        <v>3718108</v>
      </c>
      <c r="H151" s="1">
        <v>0</v>
      </c>
      <c r="I151" s="1">
        <v>16335309</v>
      </c>
      <c r="J151" s="1">
        <v>0</v>
      </c>
      <c r="K151" s="1">
        <v>4620000</v>
      </c>
      <c r="L151" s="1">
        <v>0</v>
      </c>
      <c r="M151" s="1">
        <v>1000000</v>
      </c>
      <c r="N151" s="1">
        <v>3320646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12532753</v>
      </c>
      <c r="W151" s="1">
        <v>4000000</v>
      </c>
      <c r="X151" s="1">
        <v>2580379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2609079</v>
      </c>
      <c r="AF151" s="1">
        <v>1835427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13289887</v>
      </c>
      <c r="AM151" s="1">
        <v>0</v>
      </c>
      <c r="AN151" s="1">
        <v>0</v>
      </c>
      <c r="AO151" s="1">
        <v>83617534</v>
      </c>
      <c r="AP151" s="1">
        <v>41197728</v>
      </c>
      <c r="AQ151" s="1">
        <v>42419806</v>
      </c>
      <c r="AR151" s="1">
        <v>16356421</v>
      </c>
      <c r="AS151" s="1">
        <v>2453463</v>
      </c>
      <c r="AT151" s="3">
        <f t="shared" si="12"/>
        <v>102427418</v>
      </c>
    </row>
    <row r="152" spans="1:46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19030540</v>
      </c>
      <c r="G152" s="1">
        <v>4131980</v>
      </c>
      <c r="H152" s="1">
        <v>0</v>
      </c>
      <c r="I152" s="1">
        <v>18483865</v>
      </c>
      <c r="J152" s="1">
        <v>0</v>
      </c>
      <c r="K152" s="1">
        <v>4620000</v>
      </c>
      <c r="L152" s="1">
        <v>0</v>
      </c>
      <c r="M152" s="1">
        <v>1000000</v>
      </c>
      <c r="N152" s="1">
        <v>3759753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13927807</v>
      </c>
      <c r="W152" s="1">
        <v>4000000</v>
      </c>
      <c r="X152" s="1">
        <v>2762498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2954092</v>
      </c>
      <c r="AF152" s="1">
        <v>3670854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15039015</v>
      </c>
      <c r="AM152" s="1">
        <v>0</v>
      </c>
      <c r="AN152" s="1">
        <v>0</v>
      </c>
      <c r="AO152" s="1">
        <v>93380404</v>
      </c>
      <c r="AP152" s="1">
        <v>46286249</v>
      </c>
      <c r="AQ152" s="1">
        <v>47094155</v>
      </c>
      <c r="AR152" s="1">
        <v>17941910</v>
      </c>
      <c r="AS152" s="1">
        <v>2691287</v>
      </c>
      <c r="AT152" s="3">
        <f t="shared" si="12"/>
        <v>114013601</v>
      </c>
    </row>
    <row r="153" spans="1:46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18748383</v>
      </c>
      <c r="G153" s="1">
        <v>7428689</v>
      </c>
      <c r="H153" s="1">
        <v>0</v>
      </c>
      <c r="I153" s="1">
        <v>17559364</v>
      </c>
      <c r="J153" s="1">
        <v>0</v>
      </c>
      <c r="K153" s="1">
        <v>4620000</v>
      </c>
      <c r="L153" s="1">
        <v>0</v>
      </c>
      <c r="M153" s="1">
        <v>1000000</v>
      </c>
      <c r="N153" s="1">
        <v>3660999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13354741</v>
      </c>
      <c r="W153" s="1">
        <v>4000000</v>
      </c>
      <c r="X153" s="1">
        <v>2721539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2876498</v>
      </c>
      <c r="AF153" s="1">
        <v>1835427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13983442</v>
      </c>
      <c r="AM153" s="1">
        <v>0</v>
      </c>
      <c r="AN153" s="1">
        <v>0</v>
      </c>
      <c r="AO153" s="1">
        <v>91789082</v>
      </c>
      <c r="AP153" s="1">
        <v>20029402</v>
      </c>
      <c r="AQ153" s="1">
        <v>71759680</v>
      </c>
      <c r="AR153" s="1">
        <v>17990731</v>
      </c>
      <c r="AS153" s="1">
        <v>2698610</v>
      </c>
      <c r="AT153" s="3">
        <f t="shared" si="12"/>
        <v>112478423</v>
      </c>
    </row>
    <row r="154" spans="1:46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18685401</v>
      </c>
      <c r="G154" s="1">
        <v>8520403</v>
      </c>
      <c r="H154" s="1">
        <v>0</v>
      </c>
      <c r="I154" s="1">
        <v>19020428</v>
      </c>
      <c r="J154" s="1">
        <v>0</v>
      </c>
      <c r="K154" s="1">
        <v>4620000</v>
      </c>
      <c r="L154" s="1">
        <v>0</v>
      </c>
      <c r="M154" s="1">
        <v>1000000</v>
      </c>
      <c r="N154" s="1">
        <v>3638955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26560602</v>
      </c>
      <c r="W154" s="1">
        <v>4000000</v>
      </c>
      <c r="X154" s="1">
        <v>2712397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2859179</v>
      </c>
      <c r="AF154" s="1">
        <v>1835427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15482784</v>
      </c>
      <c r="AM154" s="1">
        <v>0</v>
      </c>
      <c r="AN154" s="1">
        <v>0</v>
      </c>
      <c r="AO154" s="1">
        <v>108935576</v>
      </c>
      <c r="AP154" s="1">
        <v>44681576</v>
      </c>
      <c r="AQ154" s="1">
        <v>64254000</v>
      </c>
      <c r="AR154" s="1">
        <v>21420030</v>
      </c>
      <c r="AS154" s="1">
        <v>3213004</v>
      </c>
      <c r="AT154" s="3">
        <f t="shared" si="12"/>
        <v>133568610</v>
      </c>
    </row>
    <row r="155" spans="1:46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28407251</v>
      </c>
      <c r="G155" s="1">
        <v>81769956</v>
      </c>
      <c r="H155" s="1">
        <v>0</v>
      </c>
      <c r="I155" s="1">
        <v>25160581</v>
      </c>
      <c r="J155" s="1">
        <v>0</v>
      </c>
      <c r="K155" s="1">
        <v>5500000</v>
      </c>
      <c r="L155" s="1">
        <v>0</v>
      </c>
      <c r="M155" s="1">
        <v>1000000</v>
      </c>
      <c r="N155" s="1">
        <v>4570076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34351692</v>
      </c>
      <c r="W155" s="1">
        <v>4000000</v>
      </c>
      <c r="X155" s="1">
        <v>4123633</v>
      </c>
      <c r="Y155" s="1">
        <v>32885743</v>
      </c>
      <c r="Z155" s="1">
        <v>0</v>
      </c>
      <c r="AA155" s="1">
        <v>0</v>
      </c>
      <c r="AB155" s="1">
        <v>0</v>
      </c>
      <c r="AC155" s="1">
        <v>4459102</v>
      </c>
      <c r="AD155" s="1">
        <v>0</v>
      </c>
      <c r="AE155" s="1">
        <v>3590773</v>
      </c>
      <c r="AF155" s="1">
        <v>1835427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25416731</v>
      </c>
      <c r="AM155" s="1">
        <v>0</v>
      </c>
      <c r="AN155" s="1">
        <v>0</v>
      </c>
      <c r="AO155" s="1">
        <v>257070965</v>
      </c>
      <c r="AP155" s="1">
        <v>125988493</v>
      </c>
      <c r="AQ155" s="1">
        <v>131082472</v>
      </c>
      <c r="AR155" s="1">
        <v>26552511</v>
      </c>
      <c r="AS155" s="1">
        <v>3982877</v>
      </c>
      <c r="AT155" s="3">
        <f t="shared" si="12"/>
        <v>287606353</v>
      </c>
    </row>
    <row r="156" spans="1:46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24522542</v>
      </c>
      <c r="G156" s="1">
        <v>0</v>
      </c>
      <c r="H156" s="1">
        <v>0</v>
      </c>
      <c r="I156" s="1">
        <v>19746122</v>
      </c>
      <c r="J156" s="1">
        <v>0</v>
      </c>
      <c r="K156" s="1">
        <v>5500000</v>
      </c>
      <c r="L156" s="1">
        <v>0</v>
      </c>
      <c r="M156" s="1">
        <v>1000000</v>
      </c>
      <c r="N156" s="1">
        <v>3490822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5508154</v>
      </c>
      <c r="W156" s="1">
        <v>4000000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2742789</v>
      </c>
      <c r="AF156" s="1">
        <v>1835427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4579271</v>
      </c>
      <c r="AM156" s="1">
        <v>0</v>
      </c>
      <c r="AN156" s="1">
        <v>0</v>
      </c>
      <c r="AO156" s="1">
        <v>72925127</v>
      </c>
      <c r="AP156" s="1">
        <v>24501549</v>
      </c>
      <c r="AQ156" s="1">
        <v>48423578</v>
      </c>
      <c r="AR156" s="1">
        <v>14217940</v>
      </c>
      <c r="AS156" s="1">
        <v>2132691</v>
      </c>
      <c r="AT156" s="3">
        <f t="shared" si="12"/>
        <v>89275758</v>
      </c>
    </row>
    <row r="157" spans="1:46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26860421</v>
      </c>
      <c r="G157" s="1">
        <v>9084227</v>
      </c>
      <c r="H157" s="1">
        <v>0</v>
      </c>
      <c r="I157" s="1">
        <v>26200362</v>
      </c>
      <c r="J157" s="1">
        <v>0</v>
      </c>
      <c r="K157" s="1">
        <v>5500000</v>
      </c>
      <c r="L157" s="1">
        <v>0</v>
      </c>
      <c r="M157" s="1">
        <v>1000000</v>
      </c>
      <c r="N157" s="1">
        <v>4309080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6501842</v>
      </c>
      <c r="W157" s="1">
        <v>4000000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3385705</v>
      </c>
      <c r="AF157" s="1">
        <v>1835427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4262851</v>
      </c>
      <c r="AM157" s="1">
        <v>0</v>
      </c>
      <c r="AN157" s="1">
        <v>0</v>
      </c>
      <c r="AO157" s="1">
        <v>92939915</v>
      </c>
      <c r="AP157" s="1">
        <v>37912808</v>
      </c>
      <c r="AQ157" s="1">
        <v>55027107</v>
      </c>
      <c r="AR157" s="1">
        <v>18220898</v>
      </c>
      <c r="AS157" s="1">
        <v>2733135</v>
      </c>
      <c r="AT157" s="3">
        <f t="shared" si="12"/>
        <v>113893948</v>
      </c>
    </row>
    <row r="158" spans="1:46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17947256</v>
      </c>
      <c r="G158" s="1">
        <v>4431691</v>
      </c>
      <c r="H158" s="1">
        <v>0</v>
      </c>
      <c r="I158" s="1">
        <v>17228333</v>
      </c>
      <c r="J158" s="1">
        <v>0</v>
      </c>
      <c r="K158" s="1">
        <v>4620000</v>
      </c>
      <c r="L158" s="1">
        <v>0</v>
      </c>
      <c r="M158" s="1">
        <v>1000000</v>
      </c>
      <c r="N158" s="1">
        <v>3380604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23987405</v>
      </c>
      <c r="W158" s="1">
        <v>4000000</v>
      </c>
      <c r="X158" s="1">
        <v>2605247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2656189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13304449</v>
      </c>
      <c r="AM158" s="1">
        <v>0</v>
      </c>
      <c r="AN158" s="1">
        <v>0</v>
      </c>
      <c r="AO158" s="1">
        <v>95161174</v>
      </c>
      <c r="AP158" s="1">
        <v>37501620</v>
      </c>
      <c r="AQ158" s="1">
        <v>57659554</v>
      </c>
      <c r="AR158" s="1">
        <v>19032235</v>
      </c>
      <c r="AS158" s="1">
        <v>2854835</v>
      </c>
      <c r="AT158" s="3">
        <f t="shared" si="12"/>
        <v>117048244</v>
      </c>
    </row>
    <row r="159" spans="1:46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18806326</v>
      </c>
      <c r="G159" s="1">
        <v>10376454</v>
      </c>
      <c r="H159" s="1">
        <v>0</v>
      </c>
      <c r="I159" s="1">
        <v>17682468</v>
      </c>
      <c r="J159" s="1">
        <v>0</v>
      </c>
      <c r="K159" s="1">
        <v>3465000</v>
      </c>
      <c r="L159" s="1">
        <v>0</v>
      </c>
      <c r="M159" s="1">
        <v>1000000</v>
      </c>
      <c r="N159" s="1">
        <v>3681279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20065189</v>
      </c>
      <c r="W159" s="1">
        <v>4000000</v>
      </c>
      <c r="X159" s="1">
        <v>2729951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2892433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14266607</v>
      </c>
      <c r="AM159" s="1">
        <v>0</v>
      </c>
      <c r="AN159" s="1">
        <v>0</v>
      </c>
      <c r="AO159" s="1">
        <v>98965707</v>
      </c>
      <c r="AP159" s="1">
        <v>33974923</v>
      </c>
      <c r="AQ159" s="1">
        <v>64990784</v>
      </c>
      <c r="AR159" s="1">
        <v>19793141</v>
      </c>
      <c r="AS159" s="1">
        <v>2968971</v>
      </c>
      <c r="AT159" s="3">
        <f t="shared" si="12"/>
        <v>121727819</v>
      </c>
    </row>
    <row r="160" spans="1:46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18229414</v>
      </c>
      <c r="G160" s="1">
        <v>11252758</v>
      </c>
      <c r="H160" s="1">
        <v>0</v>
      </c>
      <c r="I160" s="1">
        <v>16379238</v>
      </c>
      <c r="J160" s="1">
        <v>0</v>
      </c>
      <c r="K160" s="1">
        <v>4620000</v>
      </c>
      <c r="L160" s="1">
        <v>0</v>
      </c>
      <c r="M160" s="1">
        <v>1000000</v>
      </c>
      <c r="N160" s="1">
        <v>3479359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12848565</v>
      </c>
      <c r="W160" s="1">
        <v>4000000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2733783</v>
      </c>
      <c r="AF160" s="1">
        <v>1835427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7663357</v>
      </c>
      <c r="AM160" s="1">
        <v>0</v>
      </c>
      <c r="AN160" s="1">
        <v>0</v>
      </c>
      <c r="AO160" s="1">
        <v>84041901</v>
      </c>
      <c r="AP160" s="1">
        <v>14071197</v>
      </c>
      <c r="AQ160" s="1">
        <v>69970704</v>
      </c>
      <c r="AR160" s="1">
        <v>16441295</v>
      </c>
      <c r="AS160" s="1">
        <v>2466194</v>
      </c>
      <c r="AT160" s="3">
        <f t="shared" si="12"/>
        <v>102949390</v>
      </c>
    </row>
    <row r="161" spans="1:46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18284837</v>
      </c>
      <c r="G161" s="1">
        <v>4430399</v>
      </c>
      <c r="H161" s="1">
        <v>0</v>
      </c>
      <c r="I161" s="1">
        <v>17505689</v>
      </c>
      <c r="J161" s="1">
        <v>0</v>
      </c>
      <c r="K161" s="1">
        <v>4620000</v>
      </c>
      <c r="L161" s="1">
        <v>0</v>
      </c>
      <c r="M161" s="1">
        <v>1000000</v>
      </c>
      <c r="N161" s="1">
        <v>3498757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13274399</v>
      </c>
      <c r="W161" s="1">
        <v>4000000</v>
      </c>
      <c r="X161" s="1">
        <v>2654251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2749024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14448499</v>
      </c>
      <c r="AM161" s="1">
        <v>0</v>
      </c>
      <c r="AN161" s="1">
        <v>0</v>
      </c>
      <c r="AO161" s="1">
        <v>86465855</v>
      </c>
      <c r="AP161" s="1">
        <v>15883796</v>
      </c>
      <c r="AQ161" s="1">
        <v>70582059</v>
      </c>
      <c r="AR161" s="1">
        <v>17293171</v>
      </c>
      <c r="AS161" s="1">
        <v>2593976</v>
      </c>
      <c r="AT161" s="3">
        <f t="shared" si="12"/>
        <v>106353002</v>
      </c>
    </row>
    <row r="162" spans="1:46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28374500</v>
      </c>
      <c r="G162" s="1">
        <v>0</v>
      </c>
      <c r="H162" s="1">
        <v>0</v>
      </c>
      <c r="I162" s="1">
        <v>24839465</v>
      </c>
      <c r="J162" s="1">
        <v>0</v>
      </c>
      <c r="K162" s="1">
        <v>4125000</v>
      </c>
      <c r="L162" s="1">
        <v>0</v>
      </c>
      <c r="M162" s="1">
        <v>1000000</v>
      </c>
      <c r="N162" s="1">
        <v>4558613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8702061</v>
      </c>
      <c r="W162" s="1">
        <v>4000000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3581768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5584585</v>
      </c>
      <c r="AM162" s="1">
        <v>0</v>
      </c>
      <c r="AN162" s="1">
        <v>0</v>
      </c>
      <c r="AO162" s="1">
        <v>84765992</v>
      </c>
      <c r="AP162" s="1">
        <v>19285504</v>
      </c>
      <c r="AQ162" s="1">
        <v>65480488</v>
      </c>
      <c r="AR162" s="1">
        <v>16953198</v>
      </c>
      <c r="AS162" s="1">
        <v>2542980</v>
      </c>
      <c r="AT162" s="3">
        <f t="shared" si="12"/>
        <v>104262170</v>
      </c>
    </row>
    <row r="163" spans="1:46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18511571</v>
      </c>
      <c r="G163" s="1">
        <v>9698641</v>
      </c>
      <c r="H163" s="1">
        <v>0</v>
      </c>
      <c r="I163" s="1">
        <v>17307717</v>
      </c>
      <c r="J163" s="1">
        <v>0</v>
      </c>
      <c r="K163" s="1">
        <v>4620000</v>
      </c>
      <c r="L163" s="1">
        <v>0</v>
      </c>
      <c r="M163" s="1">
        <v>1000000</v>
      </c>
      <c r="N163" s="1">
        <v>3578114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24703916</v>
      </c>
      <c r="W163" s="1">
        <v>4000000</v>
      </c>
      <c r="X163" s="1">
        <v>2687164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2811376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13936482</v>
      </c>
      <c r="AM163" s="1">
        <v>0</v>
      </c>
      <c r="AN163" s="1">
        <v>0</v>
      </c>
      <c r="AO163" s="1">
        <v>102854981</v>
      </c>
      <c r="AP163" s="1">
        <v>32625324</v>
      </c>
      <c r="AQ163" s="1">
        <v>70229657</v>
      </c>
      <c r="AR163" s="1">
        <v>20570996</v>
      </c>
      <c r="AS163" s="1">
        <v>3085649</v>
      </c>
      <c r="AT163" s="3">
        <f t="shared" si="12"/>
        <v>126511626</v>
      </c>
    </row>
    <row r="164" spans="1:46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27905917</v>
      </c>
      <c r="G164" s="1">
        <v>0</v>
      </c>
      <c r="H164" s="1">
        <v>0</v>
      </c>
      <c r="I164" s="1">
        <v>24310558</v>
      </c>
      <c r="J164" s="1">
        <v>0</v>
      </c>
      <c r="K164" s="1">
        <v>4125000</v>
      </c>
      <c r="L164" s="1">
        <v>0</v>
      </c>
      <c r="M164" s="1">
        <v>1000000</v>
      </c>
      <c r="N164" s="1">
        <v>4394609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13386093</v>
      </c>
      <c r="W164" s="1">
        <v>4000000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3452907</v>
      </c>
      <c r="AF164" s="1">
        <v>3670854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5234029</v>
      </c>
      <c r="AM164" s="1">
        <v>0</v>
      </c>
      <c r="AN164" s="1">
        <v>0</v>
      </c>
      <c r="AO164" s="1">
        <v>91479967</v>
      </c>
      <c r="AP164" s="1">
        <v>20735123</v>
      </c>
      <c r="AQ164" s="1">
        <v>70744844</v>
      </c>
      <c r="AR164" s="1">
        <v>17561823</v>
      </c>
      <c r="AS164" s="1">
        <v>2634273</v>
      </c>
      <c r="AT164" s="3">
        <f t="shared" si="12"/>
        <v>111676063</v>
      </c>
    </row>
    <row r="165" spans="1:46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 t="shared" si="13"/>
        <v>قراردادي بهره بردار</v>
      </c>
      <c r="E165" s="1" t="str">
        <f>"پروژه تعميرات نيروگاه بوشهر"</f>
        <v>پروژه تعميرات نيروگاه بوشهر</v>
      </c>
      <c r="F165" s="1">
        <v>24436887</v>
      </c>
      <c r="G165" s="1">
        <v>14453216</v>
      </c>
      <c r="H165" s="1">
        <v>0</v>
      </c>
      <c r="I165" s="1">
        <v>23664875</v>
      </c>
      <c r="J165" s="1">
        <v>0</v>
      </c>
      <c r="K165" s="1">
        <v>5500000</v>
      </c>
      <c r="L165" s="1">
        <v>0</v>
      </c>
      <c r="M165" s="1">
        <v>1000000</v>
      </c>
      <c r="N165" s="1">
        <v>4254412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6420775</v>
      </c>
      <c r="W165" s="1">
        <v>4000000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3342752</v>
      </c>
      <c r="AF165" s="1">
        <v>1835427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8508823</v>
      </c>
      <c r="AM165" s="1">
        <v>0</v>
      </c>
      <c r="AN165" s="1">
        <v>0</v>
      </c>
      <c r="AO165" s="1">
        <v>97417167</v>
      </c>
      <c r="AP165" s="1">
        <v>37965957</v>
      </c>
      <c r="AQ165" s="1">
        <v>59451210</v>
      </c>
      <c r="AR165" s="1">
        <v>19116348</v>
      </c>
      <c r="AS165" s="1">
        <v>2867452</v>
      </c>
      <c r="AT165" s="3">
        <f t="shared" si="12"/>
        <v>119400967</v>
      </c>
    </row>
    <row r="166" spans="1:46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 t="shared" si="13"/>
        <v>قراردادي بهره بردار</v>
      </c>
      <c r="E166" s="1" t="str">
        <f>"پروژه بهره برداري نيروگاه بوشهر"</f>
        <v>پروژه بهره برداري نيروگاه بوشهر</v>
      </c>
      <c r="F166" s="1">
        <v>17813735</v>
      </c>
      <c r="G166" s="1">
        <v>5390600</v>
      </c>
      <c r="H166" s="1">
        <v>0</v>
      </c>
      <c r="I166" s="1">
        <v>16063775</v>
      </c>
      <c r="J166" s="1">
        <v>0</v>
      </c>
      <c r="K166" s="1">
        <v>3465000</v>
      </c>
      <c r="L166" s="1">
        <v>0</v>
      </c>
      <c r="M166" s="1">
        <v>1000000</v>
      </c>
      <c r="N166" s="1">
        <v>3333871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11181712</v>
      </c>
      <c r="W166" s="1">
        <v>4000000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2619470</v>
      </c>
      <c r="AF166" s="1">
        <v>1835427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7750902</v>
      </c>
      <c r="AM166" s="1">
        <v>0</v>
      </c>
      <c r="AN166" s="1">
        <v>0</v>
      </c>
      <c r="AO166" s="1">
        <v>74454492</v>
      </c>
      <c r="AP166" s="1">
        <v>41693551</v>
      </c>
      <c r="AQ166" s="1">
        <v>32760941</v>
      </c>
      <c r="AR166" s="1">
        <v>14523813</v>
      </c>
      <c r="AS166" s="1">
        <v>2178572</v>
      </c>
      <c r="AT166" s="3">
        <f t="shared" si="12"/>
        <v>91156877</v>
      </c>
    </row>
    <row r="167" spans="1:46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15184006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1835427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17019433</v>
      </c>
      <c r="AP167" s="1">
        <v>17019433</v>
      </c>
      <c r="AQ167" s="1">
        <v>0</v>
      </c>
      <c r="AR167" s="1">
        <v>0</v>
      </c>
      <c r="AS167" s="1">
        <v>0</v>
      </c>
      <c r="AT167" s="3">
        <f t="shared" si="12"/>
        <v>17019433</v>
      </c>
    </row>
    <row r="168" spans="1:46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26205412</v>
      </c>
      <c r="G168" s="1">
        <v>4830864</v>
      </c>
      <c r="H168" s="1">
        <v>0</v>
      </c>
      <c r="I168" s="1">
        <v>24704993</v>
      </c>
      <c r="J168" s="1">
        <v>0</v>
      </c>
      <c r="K168" s="1">
        <v>4125000</v>
      </c>
      <c r="L168" s="1">
        <v>0</v>
      </c>
      <c r="M168" s="1">
        <v>1000000</v>
      </c>
      <c r="N168" s="1">
        <v>4079826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8751063</v>
      </c>
      <c r="W168" s="1">
        <v>4000000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3892267</v>
      </c>
      <c r="AD168" s="1">
        <v>0</v>
      </c>
      <c r="AE168" s="1">
        <v>3205578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5227794</v>
      </c>
      <c r="AM168" s="1">
        <v>0</v>
      </c>
      <c r="AN168" s="1">
        <v>0</v>
      </c>
      <c r="AO168" s="1">
        <v>90022797</v>
      </c>
      <c r="AP168" s="1">
        <v>20375707</v>
      </c>
      <c r="AQ168" s="1">
        <v>69647090</v>
      </c>
      <c r="AR168" s="1">
        <v>18004559</v>
      </c>
      <c r="AS168" s="1">
        <v>2700684</v>
      </c>
      <c r="AT168" s="3">
        <f t="shared" si="12"/>
        <v>110728040</v>
      </c>
    </row>
    <row r="169" spans="1:46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 t="shared" si="13"/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28530695</v>
      </c>
      <c r="G169" s="1">
        <v>18622180</v>
      </c>
      <c r="H169" s="1">
        <v>0</v>
      </c>
      <c r="I169" s="1">
        <v>28930823</v>
      </c>
      <c r="J169" s="1">
        <v>0</v>
      </c>
      <c r="K169" s="1">
        <v>5500000</v>
      </c>
      <c r="L169" s="1">
        <v>0</v>
      </c>
      <c r="M169" s="1">
        <v>1000000</v>
      </c>
      <c r="N169" s="1">
        <v>4613282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16865766</v>
      </c>
      <c r="W169" s="1">
        <v>4000000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3624720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8435714</v>
      </c>
      <c r="AM169" s="1">
        <v>0</v>
      </c>
      <c r="AN169" s="1">
        <v>0</v>
      </c>
      <c r="AO169" s="1">
        <v>120123180</v>
      </c>
      <c r="AP169" s="1">
        <v>47423951</v>
      </c>
      <c r="AQ169" s="1">
        <v>72699229</v>
      </c>
      <c r="AR169" s="1">
        <v>24024636</v>
      </c>
      <c r="AS169" s="1">
        <v>3603695</v>
      </c>
      <c r="AT169" s="3">
        <f t="shared" si="12"/>
        <v>147751511</v>
      </c>
    </row>
    <row r="170" spans="1:46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"قراردادي کارگري"</f>
        <v>قراردادي کارگري</v>
      </c>
      <c r="E170" s="1" t="str">
        <f>"پروژه تعميرات نيروگاه بوشهر"</f>
        <v>پروژه تعميرات نيروگاه بوشهر</v>
      </c>
      <c r="F170" s="1">
        <v>0</v>
      </c>
      <c r="G170" s="1">
        <v>4235275</v>
      </c>
      <c r="H170" s="1">
        <v>0</v>
      </c>
      <c r="I170" s="1">
        <v>5101562</v>
      </c>
      <c r="J170" s="1">
        <v>0</v>
      </c>
      <c r="K170" s="1">
        <v>0</v>
      </c>
      <c r="L170" s="1">
        <v>11572430</v>
      </c>
      <c r="M170" s="1">
        <v>2000000</v>
      </c>
      <c r="N170" s="1">
        <v>3568857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2640000</v>
      </c>
      <c r="U170" s="1">
        <v>0</v>
      </c>
      <c r="V170" s="1">
        <v>8317751</v>
      </c>
      <c r="W170" s="1">
        <v>4000000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4379203</v>
      </c>
      <c r="AE170" s="1">
        <v>0</v>
      </c>
      <c r="AF170" s="1">
        <v>5506281</v>
      </c>
      <c r="AG170" s="1">
        <v>1766538</v>
      </c>
      <c r="AH170" s="1">
        <v>0</v>
      </c>
      <c r="AI170" s="1">
        <v>0</v>
      </c>
      <c r="AJ170" s="1">
        <v>3388220</v>
      </c>
      <c r="AK170" s="1">
        <v>0</v>
      </c>
      <c r="AL170" s="1">
        <v>0</v>
      </c>
      <c r="AM170" s="1">
        <v>0</v>
      </c>
      <c r="AN170" s="1">
        <v>0</v>
      </c>
      <c r="AO170" s="1">
        <v>63661415</v>
      </c>
      <c r="AP170" s="1">
        <v>12519344</v>
      </c>
      <c r="AQ170" s="1">
        <v>51142071</v>
      </c>
      <c r="AR170" s="1">
        <v>11631027</v>
      </c>
      <c r="AS170" s="1">
        <v>1744654</v>
      </c>
      <c r="AT170" s="3">
        <f t="shared" si="12"/>
        <v>77037096</v>
      </c>
    </row>
    <row r="171" spans="1:46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"قراردادي بهره بردار"</f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33299667</v>
      </c>
      <c r="G171" s="1">
        <v>13528336</v>
      </c>
      <c r="H171" s="1">
        <v>0</v>
      </c>
      <c r="I171" s="1">
        <v>34573712</v>
      </c>
      <c r="J171" s="1">
        <v>0</v>
      </c>
      <c r="K171" s="1">
        <v>0</v>
      </c>
      <c r="L171" s="1">
        <v>0</v>
      </c>
      <c r="M171" s="1">
        <v>1000000</v>
      </c>
      <c r="N171" s="1">
        <v>5472099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17935993</v>
      </c>
      <c r="W171" s="1">
        <v>4000000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3892267</v>
      </c>
      <c r="AD171" s="1">
        <v>0</v>
      </c>
      <c r="AE171" s="1">
        <v>4299507</v>
      </c>
      <c r="AF171" s="1">
        <v>5506281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7035556</v>
      </c>
      <c r="AM171" s="1">
        <v>0</v>
      </c>
      <c r="AN171" s="1">
        <v>0</v>
      </c>
      <c r="AO171" s="1">
        <v>130543418</v>
      </c>
      <c r="AP171" s="1">
        <v>45045107</v>
      </c>
      <c r="AQ171" s="1">
        <v>85498311</v>
      </c>
      <c r="AR171" s="1">
        <v>25007427</v>
      </c>
      <c r="AS171" s="1">
        <v>3751114</v>
      </c>
      <c r="AT171" s="3">
        <f t="shared" si="12"/>
        <v>159301959</v>
      </c>
    </row>
    <row r="172" spans="1:46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"قراردادي کارگري"</f>
        <v>قراردادي کارگري</v>
      </c>
      <c r="E172" s="1" t="str">
        <f t="shared" ref="E172:E192" si="15">"پروژه تعميرات نيروگاه بوشهر"</f>
        <v>پروژه تعميرات نيروگاه بوشهر</v>
      </c>
      <c r="F172" s="1">
        <v>0</v>
      </c>
      <c r="G172" s="1">
        <v>13183280</v>
      </c>
      <c r="H172" s="1">
        <v>0</v>
      </c>
      <c r="I172" s="1">
        <v>7601861</v>
      </c>
      <c r="J172" s="1">
        <v>0</v>
      </c>
      <c r="K172" s="1">
        <v>0</v>
      </c>
      <c r="L172" s="1">
        <v>11521166</v>
      </c>
      <c r="M172" s="1">
        <v>2000000</v>
      </c>
      <c r="N172" s="1">
        <v>5442536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2640000</v>
      </c>
      <c r="U172" s="1">
        <v>0</v>
      </c>
      <c r="V172" s="1">
        <v>9644011</v>
      </c>
      <c r="W172" s="1">
        <v>4000000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5225752</v>
      </c>
      <c r="AE172" s="1">
        <v>0</v>
      </c>
      <c r="AF172" s="1">
        <v>3670854</v>
      </c>
      <c r="AG172" s="1">
        <v>0</v>
      </c>
      <c r="AH172" s="1">
        <v>0</v>
      </c>
      <c r="AI172" s="1">
        <v>0</v>
      </c>
      <c r="AJ172" s="1">
        <v>4017761</v>
      </c>
      <c r="AK172" s="1">
        <v>0</v>
      </c>
      <c r="AL172" s="1">
        <v>0</v>
      </c>
      <c r="AM172" s="1">
        <v>0</v>
      </c>
      <c r="AN172" s="1">
        <v>0</v>
      </c>
      <c r="AO172" s="1">
        <v>79220006</v>
      </c>
      <c r="AP172" s="1">
        <v>10803369</v>
      </c>
      <c r="AQ172" s="1">
        <v>68416637</v>
      </c>
      <c r="AR172" s="1">
        <v>15109830</v>
      </c>
      <c r="AS172" s="1">
        <v>2266475</v>
      </c>
      <c r="AT172" s="3">
        <f t="shared" si="12"/>
        <v>96596311</v>
      </c>
    </row>
    <row r="173" spans="1:46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"قراردادي کارگري"</f>
        <v>قراردادي کارگري</v>
      </c>
      <c r="E173" s="1" t="str">
        <f t="shared" si="15"/>
        <v>پروژه تعميرات نيروگاه بوشهر</v>
      </c>
      <c r="F173" s="1">
        <v>0</v>
      </c>
      <c r="G173" s="1">
        <v>14030619</v>
      </c>
      <c r="H173" s="1">
        <v>0</v>
      </c>
      <c r="I173" s="1">
        <v>6804883</v>
      </c>
      <c r="J173" s="1">
        <v>0</v>
      </c>
      <c r="K173" s="1">
        <v>0</v>
      </c>
      <c r="L173" s="1">
        <v>11521166</v>
      </c>
      <c r="M173" s="1">
        <v>2000000</v>
      </c>
      <c r="N173" s="1">
        <v>4839888</v>
      </c>
      <c r="O173" s="1">
        <v>0</v>
      </c>
      <c r="P173" s="1">
        <v>0</v>
      </c>
      <c r="Q173" s="1">
        <v>0</v>
      </c>
      <c r="R173" s="1">
        <v>93643</v>
      </c>
      <c r="S173" s="1">
        <v>0</v>
      </c>
      <c r="T173" s="1">
        <v>2640000</v>
      </c>
      <c r="U173" s="1">
        <v>0</v>
      </c>
      <c r="V173" s="1">
        <v>9062006</v>
      </c>
      <c r="W173" s="1">
        <v>4000000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4854259</v>
      </c>
      <c r="AE173" s="1">
        <v>0</v>
      </c>
      <c r="AF173" s="1">
        <v>1835427</v>
      </c>
      <c r="AG173" s="1">
        <v>0</v>
      </c>
      <c r="AH173" s="1">
        <v>0</v>
      </c>
      <c r="AI173" s="1">
        <v>0</v>
      </c>
      <c r="AJ173" s="1">
        <v>5612247</v>
      </c>
      <c r="AK173" s="1">
        <v>0</v>
      </c>
      <c r="AL173" s="1">
        <v>0</v>
      </c>
      <c r="AM173" s="1">
        <v>0</v>
      </c>
      <c r="AN173" s="1">
        <v>0</v>
      </c>
      <c r="AO173" s="1">
        <v>76489927</v>
      </c>
      <c r="AP173" s="1">
        <v>14359314</v>
      </c>
      <c r="AQ173" s="1">
        <v>62130613</v>
      </c>
      <c r="AR173" s="1">
        <v>14912171</v>
      </c>
      <c r="AS173" s="1">
        <v>2236826</v>
      </c>
      <c r="AT173" s="3">
        <f t="shared" si="12"/>
        <v>93638924</v>
      </c>
    </row>
    <row r="174" spans="1:46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"قراردادي بهره بردار"</f>
        <v>قراردادي بهره بردار</v>
      </c>
      <c r="E174" s="1" t="str">
        <f t="shared" si="15"/>
        <v>پروژه تعميرات نيروگاه بوشهر</v>
      </c>
      <c r="F174" s="1">
        <v>26527878</v>
      </c>
      <c r="G174" s="1">
        <v>20073244</v>
      </c>
      <c r="H174" s="1">
        <v>0</v>
      </c>
      <c r="I174" s="1">
        <v>30657110</v>
      </c>
      <c r="J174" s="1">
        <v>0</v>
      </c>
      <c r="K174" s="1">
        <v>0</v>
      </c>
      <c r="L174" s="1">
        <v>0</v>
      </c>
      <c r="M174" s="1">
        <v>1000000</v>
      </c>
      <c r="N174" s="1">
        <v>4192690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7388742</v>
      </c>
      <c r="W174" s="1">
        <v>4000000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3401010</v>
      </c>
      <c r="AD174" s="1">
        <v>0</v>
      </c>
      <c r="AE174" s="1">
        <v>3294256</v>
      </c>
      <c r="AF174" s="1">
        <v>1835427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5814467</v>
      </c>
      <c r="AM174" s="1">
        <v>0</v>
      </c>
      <c r="AN174" s="1">
        <v>0</v>
      </c>
      <c r="AO174" s="1">
        <v>108184824</v>
      </c>
      <c r="AP174" s="1">
        <v>48817353</v>
      </c>
      <c r="AQ174" s="1">
        <v>59367471</v>
      </c>
      <c r="AR174" s="1">
        <v>21269879</v>
      </c>
      <c r="AS174" s="1">
        <v>3190482</v>
      </c>
      <c r="AT174" s="3">
        <f t="shared" si="12"/>
        <v>132645185</v>
      </c>
    </row>
    <row r="175" spans="1:46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 t="shared" ref="D175:D192" si="16">"قراردادي کارگري"</f>
        <v>قراردادي کارگري</v>
      </c>
      <c r="E175" s="1" t="str">
        <f t="shared" si="15"/>
        <v>پروژه تعميرات نيروگاه بوشهر</v>
      </c>
      <c r="F175" s="1">
        <v>0</v>
      </c>
      <c r="G175" s="1">
        <v>10342886</v>
      </c>
      <c r="H175" s="1">
        <v>0</v>
      </c>
      <c r="I175" s="1">
        <v>7574613</v>
      </c>
      <c r="J175" s="1">
        <v>0</v>
      </c>
      <c r="K175" s="1">
        <v>0</v>
      </c>
      <c r="L175" s="1">
        <v>11572430</v>
      </c>
      <c r="M175" s="1">
        <v>2000000</v>
      </c>
      <c r="N175" s="1">
        <v>4690163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2640000</v>
      </c>
      <c r="U175" s="1">
        <v>0</v>
      </c>
      <c r="V175" s="1">
        <v>3894851</v>
      </c>
      <c r="W175" s="1">
        <v>4000000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1835427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57461679</v>
      </c>
      <c r="AP175" s="1">
        <v>8413390</v>
      </c>
      <c r="AQ175" s="1">
        <v>49048289</v>
      </c>
      <c r="AR175" s="1">
        <v>11125250</v>
      </c>
      <c r="AS175" s="1">
        <v>1668788</v>
      </c>
      <c r="AT175" s="3">
        <f t="shared" si="12"/>
        <v>70255717</v>
      </c>
    </row>
    <row r="176" spans="1:46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 t="shared" si="16"/>
        <v>قراردادي کارگري</v>
      </c>
      <c r="E176" s="1" t="str">
        <f t="shared" si="15"/>
        <v>پروژه تعميرات نيروگاه بوشهر</v>
      </c>
      <c r="F176" s="1">
        <v>0</v>
      </c>
      <c r="G176" s="1">
        <v>2629146</v>
      </c>
      <c r="H176" s="1">
        <v>0</v>
      </c>
      <c r="I176" s="1">
        <v>5680693</v>
      </c>
      <c r="J176" s="1">
        <v>0</v>
      </c>
      <c r="K176" s="1">
        <v>0</v>
      </c>
      <c r="L176" s="1">
        <v>11572430</v>
      </c>
      <c r="M176" s="1">
        <v>2000000</v>
      </c>
      <c r="N176" s="1">
        <v>4267187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2640000</v>
      </c>
      <c r="U176" s="1">
        <v>0</v>
      </c>
      <c r="V176" s="1">
        <v>11877328</v>
      </c>
      <c r="W176" s="1">
        <v>4000000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4428193</v>
      </c>
      <c r="AE176" s="1">
        <v>0</v>
      </c>
      <c r="AF176" s="1">
        <v>1835427</v>
      </c>
      <c r="AG176" s="1">
        <v>0</v>
      </c>
      <c r="AH176" s="1">
        <v>0</v>
      </c>
      <c r="AI176" s="1">
        <v>0</v>
      </c>
      <c r="AJ176" s="1">
        <v>9348074</v>
      </c>
      <c r="AK176" s="1">
        <v>0</v>
      </c>
      <c r="AL176" s="1">
        <v>0</v>
      </c>
      <c r="AM176" s="1">
        <v>0</v>
      </c>
      <c r="AN176" s="1">
        <v>0</v>
      </c>
      <c r="AO176" s="1">
        <v>68279454</v>
      </c>
      <c r="AP176" s="1">
        <v>8686319</v>
      </c>
      <c r="AQ176" s="1">
        <v>59593135</v>
      </c>
      <c r="AR176" s="1">
        <v>13288805</v>
      </c>
      <c r="AS176" s="1">
        <v>1993321</v>
      </c>
      <c r="AT176" s="3">
        <f t="shared" si="12"/>
        <v>83561580</v>
      </c>
    </row>
    <row r="177" spans="1:46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0</v>
      </c>
      <c r="G177" s="1">
        <v>4229568</v>
      </c>
      <c r="H177" s="1">
        <v>0</v>
      </c>
      <c r="I177" s="1">
        <v>6770604</v>
      </c>
      <c r="J177" s="1">
        <v>0</v>
      </c>
      <c r="K177" s="1">
        <v>0</v>
      </c>
      <c r="L177" s="1">
        <v>11521166</v>
      </c>
      <c r="M177" s="1">
        <v>2000000</v>
      </c>
      <c r="N177" s="1">
        <v>5090679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2640000</v>
      </c>
      <c r="U177" s="1">
        <v>0</v>
      </c>
      <c r="V177" s="1">
        <v>13052201</v>
      </c>
      <c r="W177" s="1">
        <v>4000000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4958211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10411245</v>
      </c>
      <c r="AK177" s="1">
        <v>0</v>
      </c>
      <c r="AL177" s="1">
        <v>0</v>
      </c>
      <c r="AM177" s="1">
        <v>0</v>
      </c>
      <c r="AN177" s="1">
        <v>0</v>
      </c>
      <c r="AO177" s="1">
        <v>74345965</v>
      </c>
      <c r="AP177" s="1">
        <v>11173193</v>
      </c>
      <c r="AQ177" s="1">
        <v>63172772</v>
      </c>
      <c r="AR177" s="1">
        <v>14869193</v>
      </c>
      <c r="AS177" s="1">
        <v>2230379</v>
      </c>
      <c r="AT177" s="3">
        <f t="shared" si="12"/>
        <v>91445537</v>
      </c>
    </row>
    <row r="178" spans="1:46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0</v>
      </c>
      <c r="G178" s="1">
        <v>6594735</v>
      </c>
      <c r="H178" s="1">
        <v>0</v>
      </c>
      <c r="I178" s="1">
        <v>6506191</v>
      </c>
      <c r="J178" s="1">
        <v>0</v>
      </c>
      <c r="K178" s="1">
        <v>0</v>
      </c>
      <c r="L178" s="1">
        <v>11521166</v>
      </c>
      <c r="M178" s="1">
        <v>2000000</v>
      </c>
      <c r="N178" s="1">
        <v>4787485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2640000</v>
      </c>
      <c r="U178" s="1">
        <v>0</v>
      </c>
      <c r="V178" s="1">
        <v>12652030</v>
      </c>
      <c r="W178" s="1">
        <v>4000000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4777683</v>
      </c>
      <c r="AE178" s="1">
        <v>0</v>
      </c>
      <c r="AF178" s="1">
        <v>3670854</v>
      </c>
      <c r="AG178" s="1">
        <v>0</v>
      </c>
      <c r="AH178" s="1">
        <v>0</v>
      </c>
      <c r="AI178" s="1">
        <v>0</v>
      </c>
      <c r="AJ178" s="1">
        <v>12058945</v>
      </c>
      <c r="AK178" s="1">
        <v>0</v>
      </c>
      <c r="AL178" s="1">
        <v>0</v>
      </c>
      <c r="AM178" s="1">
        <v>0</v>
      </c>
      <c r="AN178" s="1">
        <v>0</v>
      </c>
      <c r="AO178" s="1">
        <v>80245466</v>
      </c>
      <c r="AP178" s="1">
        <v>14416586</v>
      </c>
      <c r="AQ178" s="1">
        <v>65828880</v>
      </c>
      <c r="AR178" s="1">
        <v>15314922</v>
      </c>
      <c r="AS178" s="1">
        <v>2297238</v>
      </c>
      <c r="AT178" s="3">
        <f t="shared" si="12"/>
        <v>97857626</v>
      </c>
    </row>
    <row r="179" spans="1:46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0</v>
      </c>
      <c r="G179" s="1">
        <v>9574165</v>
      </c>
      <c r="H179" s="1">
        <v>0</v>
      </c>
      <c r="I179" s="1">
        <v>6339334</v>
      </c>
      <c r="J179" s="1">
        <v>0</v>
      </c>
      <c r="K179" s="1">
        <v>0</v>
      </c>
      <c r="L179" s="1">
        <v>11521166</v>
      </c>
      <c r="M179" s="1">
        <v>2000000</v>
      </c>
      <c r="N179" s="1">
        <v>4634015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2640000</v>
      </c>
      <c r="U179" s="1">
        <v>0</v>
      </c>
      <c r="V179" s="1">
        <v>12468466</v>
      </c>
      <c r="W179" s="1">
        <v>4000000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1835427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63817202</v>
      </c>
      <c r="AP179" s="1">
        <v>20145641</v>
      </c>
      <c r="AQ179" s="1">
        <v>43671561</v>
      </c>
      <c r="AR179" s="1">
        <v>12396355</v>
      </c>
      <c r="AS179" s="1">
        <v>1859453</v>
      </c>
      <c r="AT179" s="3">
        <f t="shared" si="12"/>
        <v>78073010</v>
      </c>
    </row>
    <row r="180" spans="1:46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0</v>
      </c>
      <c r="G180" s="1">
        <v>8184173</v>
      </c>
      <c r="H180" s="1">
        <v>0</v>
      </c>
      <c r="I180" s="1">
        <v>5402828</v>
      </c>
      <c r="J180" s="1">
        <v>0</v>
      </c>
      <c r="K180" s="1">
        <v>0</v>
      </c>
      <c r="L180" s="1">
        <v>11521166</v>
      </c>
      <c r="M180" s="1">
        <v>2000000</v>
      </c>
      <c r="N180" s="1">
        <v>4443115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2640000</v>
      </c>
      <c r="U180" s="1">
        <v>0</v>
      </c>
      <c r="V180" s="1">
        <v>11612911</v>
      </c>
      <c r="W180" s="1">
        <v>4000000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3670854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61916966</v>
      </c>
      <c r="AP180" s="1">
        <v>9799997</v>
      </c>
      <c r="AQ180" s="1">
        <v>52116969</v>
      </c>
      <c r="AR180" s="1">
        <v>11649222</v>
      </c>
      <c r="AS180" s="1">
        <v>1747383</v>
      </c>
      <c r="AT180" s="3">
        <f t="shared" si="12"/>
        <v>75313571</v>
      </c>
    </row>
    <row r="181" spans="1:46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0</v>
      </c>
      <c r="G181" s="1">
        <v>26730434</v>
      </c>
      <c r="H181" s="1">
        <v>0</v>
      </c>
      <c r="I181" s="1">
        <v>7324765</v>
      </c>
      <c r="J181" s="1">
        <v>0</v>
      </c>
      <c r="K181" s="1">
        <v>0</v>
      </c>
      <c r="L181" s="1">
        <v>11521166</v>
      </c>
      <c r="M181" s="1">
        <v>2000000</v>
      </c>
      <c r="N181" s="1">
        <v>5244148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2640000</v>
      </c>
      <c r="U181" s="1">
        <v>0</v>
      </c>
      <c r="V181" s="1">
        <v>13362646</v>
      </c>
      <c r="W181" s="1">
        <v>4000000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1835427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84556916</v>
      </c>
      <c r="AP181" s="1">
        <v>13998676</v>
      </c>
      <c r="AQ181" s="1">
        <v>70558240</v>
      </c>
      <c r="AR181" s="1">
        <v>16544298</v>
      </c>
      <c r="AS181" s="1">
        <v>2481645</v>
      </c>
      <c r="AT181" s="3">
        <f t="shared" si="12"/>
        <v>103582859</v>
      </c>
    </row>
    <row r="182" spans="1:46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0</v>
      </c>
      <c r="G182" s="1">
        <v>6768061</v>
      </c>
      <c r="H182" s="1">
        <v>0</v>
      </c>
      <c r="I182" s="1">
        <v>3731015</v>
      </c>
      <c r="J182" s="1">
        <v>0</v>
      </c>
      <c r="K182" s="1">
        <v>0</v>
      </c>
      <c r="L182" s="1">
        <v>11572430</v>
      </c>
      <c r="M182" s="1">
        <v>2000000</v>
      </c>
      <c r="N182" s="1">
        <v>2747703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2640000</v>
      </c>
      <c r="U182" s="1">
        <v>0</v>
      </c>
      <c r="V182" s="1">
        <v>13269824</v>
      </c>
      <c r="W182" s="1">
        <v>4000000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3542974</v>
      </c>
      <c r="AE182" s="1">
        <v>0</v>
      </c>
      <c r="AF182" s="1">
        <v>5506281</v>
      </c>
      <c r="AG182" s="1">
        <v>0</v>
      </c>
      <c r="AH182" s="1">
        <v>0</v>
      </c>
      <c r="AI182" s="1">
        <v>0</v>
      </c>
      <c r="AJ182" s="1">
        <v>3331968</v>
      </c>
      <c r="AK182" s="1">
        <v>0</v>
      </c>
      <c r="AL182" s="1">
        <v>0</v>
      </c>
      <c r="AM182" s="1">
        <v>0</v>
      </c>
      <c r="AN182" s="1">
        <v>0</v>
      </c>
      <c r="AO182" s="1">
        <v>64678935</v>
      </c>
      <c r="AP182" s="1">
        <v>8494570</v>
      </c>
      <c r="AQ182" s="1">
        <v>56184365</v>
      </c>
      <c r="AR182" s="1">
        <v>11834531</v>
      </c>
      <c r="AS182" s="1">
        <v>1775180</v>
      </c>
      <c r="AT182" s="3">
        <f t="shared" si="12"/>
        <v>78288646</v>
      </c>
    </row>
    <row r="183" spans="1:46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0</v>
      </c>
      <c r="G183" s="1">
        <v>9226871</v>
      </c>
      <c r="H183" s="1">
        <v>0</v>
      </c>
      <c r="I183" s="1">
        <v>7798273</v>
      </c>
      <c r="J183" s="1">
        <v>0</v>
      </c>
      <c r="K183" s="1">
        <v>0</v>
      </c>
      <c r="L183" s="1">
        <v>11521166</v>
      </c>
      <c r="M183" s="1">
        <v>2000000</v>
      </c>
      <c r="N183" s="1">
        <v>5738244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2640000</v>
      </c>
      <c r="U183" s="1">
        <v>0</v>
      </c>
      <c r="V183" s="1">
        <v>16414561</v>
      </c>
      <c r="W183" s="1">
        <v>4000000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3670854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73840904</v>
      </c>
      <c r="AP183" s="1">
        <v>12211327</v>
      </c>
      <c r="AQ183" s="1">
        <v>61629577</v>
      </c>
      <c r="AR183" s="1">
        <v>14034010</v>
      </c>
      <c r="AS183" s="1">
        <v>2105102</v>
      </c>
      <c r="AT183" s="3">
        <f t="shared" si="12"/>
        <v>89980016</v>
      </c>
    </row>
    <row r="184" spans="1:46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0</v>
      </c>
      <c r="G184" s="1">
        <v>3354683</v>
      </c>
      <c r="H184" s="1">
        <v>0</v>
      </c>
      <c r="I184" s="1">
        <v>7372277</v>
      </c>
      <c r="J184" s="1">
        <v>0</v>
      </c>
      <c r="K184" s="1">
        <v>0</v>
      </c>
      <c r="L184" s="1">
        <v>11572430</v>
      </c>
      <c r="M184" s="1">
        <v>2000000</v>
      </c>
      <c r="N184" s="1">
        <v>5315268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2640000</v>
      </c>
      <c r="U184" s="1">
        <v>0</v>
      </c>
      <c r="V184" s="1">
        <v>13181670</v>
      </c>
      <c r="W184" s="1">
        <v>4000000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5153848</v>
      </c>
      <c r="AE184" s="1">
        <v>0</v>
      </c>
      <c r="AF184" s="1">
        <v>1835427</v>
      </c>
      <c r="AG184" s="1">
        <v>0</v>
      </c>
      <c r="AH184" s="1">
        <v>0</v>
      </c>
      <c r="AI184" s="1">
        <v>0</v>
      </c>
      <c r="AJ184" s="1">
        <v>8587989</v>
      </c>
      <c r="AK184" s="1">
        <v>0</v>
      </c>
      <c r="AL184" s="1">
        <v>0</v>
      </c>
      <c r="AM184" s="1">
        <v>0</v>
      </c>
      <c r="AN184" s="1">
        <v>0</v>
      </c>
      <c r="AO184" s="1">
        <v>75112601</v>
      </c>
      <c r="AP184" s="1">
        <v>8417722</v>
      </c>
      <c r="AQ184" s="1">
        <v>66694879</v>
      </c>
      <c r="AR184" s="1">
        <v>14655435</v>
      </c>
      <c r="AS184" s="1">
        <v>2198315</v>
      </c>
      <c r="AT184" s="3">
        <f t="shared" si="12"/>
        <v>91966351</v>
      </c>
    </row>
    <row r="185" spans="1:46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0</v>
      </c>
      <c r="G185" s="1">
        <v>3056898</v>
      </c>
      <c r="H185" s="1">
        <v>0</v>
      </c>
      <c r="I185" s="1">
        <v>6550133</v>
      </c>
      <c r="J185" s="1">
        <v>0</v>
      </c>
      <c r="K185" s="1">
        <v>0</v>
      </c>
      <c r="L185" s="1">
        <v>11521166</v>
      </c>
      <c r="M185" s="1">
        <v>2000000</v>
      </c>
      <c r="N185" s="1">
        <v>4596584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2640000</v>
      </c>
      <c r="U185" s="1">
        <v>0</v>
      </c>
      <c r="V185" s="1">
        <v>16732619</v>
      </c>
      <c r="W185" s="1">
        <v>4000000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4710209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4347588</v>
      </c>
      <c r="AK185" s="1">
        <v>0</v>
      </c>
      <c r="AL185" s="1">
        <v>0</v>
      </c>
      <c r="AM185" s="1">
        <v>0</v>
      </c>
      <c r="AN185" s="1">
        <v>0</v>
      </c>
      <c r="AO185" s="1">
        <v>68888707</v>
      </c>
      <c r="AP185" s="1">
        <v>7518858</v>
      </c>
      <c r="AQ185" s="1">
        <v>61369849</v>
      </c>
      <c r="AR185" s="1">
        <v>13777741</v>
      </c>
      <c r="AS185" s="1">
        <v>2066661</v>
      </c>
      <c r="AT185" s="3">
        <f t="shared" si="12"/>
        <v>84733109</v>
      </c>
    </row>
    <row r="186" spans="1:46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0</v>
      </c>
      <c r="G186" s="1">
        <v>10216064</v>
      </c>
      <c r="H186" s="1">
        <v>0</v>
      </c>
      <c r="I186" s="1">
        <v>7731148</v>
      </c>
      <c r="J186" s="1">
        <v>0</v>
      </c>
      <c r="K186" s="1">
        <v>0</v>
      </c>
      <c r="L186" s="1">
        <v>11521166</v>
      </c>
      <c r="M186" s="1">
        <v>2000000</v>
      </c>
      <c r="N186" s="1">
        <v>5498683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2640000</v>
      </c>
      <c r="U186" s="1">
        <v>0</v>
      </c>
      <c r="V186" s="1">
        <v>18422329</v>
      </c>
      <c r="W186" s="1">
        <v>4000000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5279774</v>
      </c>
      <c r="AE186" s="1">
        <v>0</v>
      </c>
      <c r="AF186" s="1">
        <v>1835427</v>
      </c>
      <c r="AG186" s="1">
        <v>0</v>
      </c>
      <c r="AH186" s="1">
        <v>0</v>
      </c>
      <c r="AI186" s="1">
        <v>0</v>
      </c>
      <c r="AJ186" s="1">
        <v>7264757</v>
      </c>
      <c r="AK186" s="1">
        <v>0</v>
      </c>
      <c r="AL186" s="1">
        <v>0</v>
      </c>
      <c r="AM186" s="1">
        <v>0</v>
      </c>
      <c r="AN186" s="1">
        <v>0</v>
      </c>
      <c r="AO186" s="1">
        <v>86856845</v>
      </c>
      <c r="AP186" s="1">
        <v>14841761</v>
      </c>
      <c r="AQ186" s="1">
        <v>72015084</v>
      </c>
      <c r="AR186" s="1">
        <v>17004284</v>
      </c>
      <c r="AS186" s="1">
        <v>2550643</v>
      </c>
      <c r="AT186" s="3">
        <f t="shared" si="12"/>
        <v>106411772</v>
      </c>
    </row>
    <row r="187" spans="1:46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0</v>
      </c>
      <c r="G187" s="1">
        <v>0</v>
      </c>
      <c r="H187" s="1">
        <v>0</v>
      </c>
      <c r="I187" s="1">
        <v>6650322</v>
      </c>
      <c r="J187" s="1">
        <v>0</v>
      </c>
      <c r="K187" s="1">
        <v>0</v>
      </c>
      <c r="L187" s="1">
        <v>11521166</v>
      </c>
      <c r="M187" s="1">
        <v>2000000</v>
      </c>
      <c r="N187" s="1">
        <v>4761283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2640000</v>
      </c>
      <c r="U187" s="1">
        <v>0</v>
      </c>
      <c r="V187" s="1">
        <v>16963262</v>
      </c>
      <c r="W187" s="1">
        <v>4000000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1835427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59358380</v>
      </c>
      <c r="AP187" s="1">
        <v>11125584</v>
      </c>
      <c r="AQ187" s="1">
        <v>48232796</v>
      </c>
      <c r="AR187" s="1">
        <v>11504591</v>
      </c>
      <c r="AS187" s="1">
        <v>1725689</v>
      </c>
      <c r="AT187" s="3">
        <f t="shared" si="12"/>
        <v>72588660</v>
      </c>
    </row>
    <row r="188" spans="1:46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0</v>
      </c>
      <c r="G188" s="1">
        <v>4060364</v>
      </c>
      <c r="H188" s="1">
        <v>0</v>
      </c>
      <c r="I188" s="1">
        <v>6325464</v>
      </c>
      <c r="J188" s="1">
        <v>0</v>
      </c>
      <c r="K188" s="1">
        <v>0</v>
      </c>
      <c r="L188" s="1">
        <v>11521166</v>
      </c>
      <c r="M188" s="1">
        <v>2000000</v>
      </c>
      <c r="N188" s="1">
        <v>4787485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2640000</v>
      </c>
      <c r="U188" s="1">
        <v>0</v>
      </c>
      <c r="V188" s="1">
        <v>12591939</v>
      </c>
      <c r="W188" s="1">
        <v>4000000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4750574</v>
      </c>
      <c r="AE188" s="1">
        <v>0</v>
      </c>
      <c r="AF188" s="1">
        <v>3670854</v>
      </c>
      <c r="AG188" s="1">
        <v>0</v>
      </c>
      <c r="AH188" s="1">
        <v>0</v>
      </c>
      <c r="AI188" s="1">
        <v>0</v>
      </c>
      <c r="AJ188" s="1">
        <v>5996845</v>
      </c>
      <c r="AK188" s="1">
        <v>0</v>
      </c>
      <c r="AL188" s="1">
        <v>0</v>
      </c>
      <c r="AM188" s="1">
        <v>0</v>
      </c>
      <c r="AN188" s="1">
        <v>0</v>
      </c>
      <c r="AO188" s="1">
        <v>71381068</v>
      </c>
      <c r="AP188" s="1">
        <v>8740381</v>
      </c>
      <c r="AQ188" s="1">
        <v>62640687</v>
      </c>
      <c r="AR188" s="1">
        <v>13542043</v>
      </c>
      <c r="AS188" s="1">
        <v>2031306</v>
      </c>
      <c r="AT188" s="3">
        <f t="shared" si="12"/>
        <v>86954417</v>
      </c>
    </row>
    <row r="189" spans="1:46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0</v>
      </c>
      <c r="G189" s="1">
        <v>5596078</v>
      </c>
      <c r="H189" s="1">
        <v>0</v>
      </c>
      <c r="I189" s="1">
        <v>5653739</v>
      </c>
      <c r="J189" s="1">
        <v>0</v>
      </c>
      <c r="K189" s="1">
        <v>0</v>
      </c>
      <c r="L189" s="1">
        <v>11572430</v>
      </c>
      <c r="M189" s="1">
        <v>2000000</v>
      </c>
      <c r="N189" s="1">
        <v>3915331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2640000</v>
      </c>
      <c r="U189" s="1">
        <v>0</v>
      </c>
      <c r="V189" s="1">
        <v>15477380</v>
      </c>
      <c r="W189" s="1">
        <v>4000000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4287094</v>
      </c>
      <c r="AE189" s="1">
        <v>0</v>
      </c>
      <c r="AF189" s="1">
        <v>3670854</v>
      </c>
      <c r="AG189" s="1">
        <v>0</v>
      </c>
      <c r="AH189" s="1">
        <v>0</v>
      </c>
      <c r="AI189" s="1">
        <v>0</v>
      </c>
      <c r="AJ189" s="1">
        <v>3979433</v>
      </c>
      <c r="AK189" s="1">
        <v>0</v>
      </c>
      <c r="AL189" s="1">
        <v>0</v>
      </c>
      <c r="AM189" s="1">
        <v>0</v>
      </c>
      <c r="AN189" s="1">
        <v>0</v>
      </c>
      <c r="AO189" s="1">
        <v>70231469</v>
      </c>
      <c r="AP189" s="1">
        <v>11394466</v>
      </c>
      <c r="AQ189" s="1">
        <v>58837003</v>
      </c>
      <c r="AR189" s="1">
        <v>13312123</v>
      </c>
      <c r="AS189" s="1">
        <v>1996818</v>
      </c>
      <c r="AT189" s="3">
        <f t="shared" si="12"/>
        <v>85540410</v>
      </c>
    </row>
    <row r="190" spans="1:46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0</v>
      </c>
      <c r="G190" s="1">
        <v>4528431</v>
      </c>
      <c r="H190" s="1">
        <v>0</v>
      </c>
      <c r="I190" s="1">
        <v>8282092</v>
      </c>
      <c r="J190" s="1">
        <v>0</v>
      </c>
      <c r="K190" s="1">
        <v>0</v>
      </c>
      <c r="L190" s="1">
        <v>11331151</v>
      </c>
      <c r="M190" s="1">
        <v>2000000</v>
      </c>
      <c r="N190" s="1">
        <v>5386725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2640000</v>
      </c>
      <c r="U190" s="1">
        <v>0</v>
      </c>
      <c r="V190" s="1">
        <v>18378537</v>
      </c>
      <c r="W190" s="1">
        <v>4000000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5265012</v>
      </c>
      <c r="AE190" s="1">
        <v>0</v>
      </c>
      <c r="AF190" s="1">
        <v>3670854</v>
      </c>
      <c r="AG190" s="1">
        <v>0</v>
      </c>
      <c r="AH190" s="1">
        <v>0</v>
      </c>
      <c r="AI190" s="1">
        <v>0</v>
      </c>
      <c r="AJ190" s="1">
        <v>4830327</v>
      </c>
      <c r="AK190" s="1">
        <v>0</v>
      </c>
      <c r="AL190" s="1">
        <v>0</v>
      </c>
      <c r="AM190" s="1">
        <v>0</v>
      </c>
      <c r="AN190" s="1">
        <v>0</v>
      </c>
      <c r="AO190" s="1">
        <v>80413242</v>
      </c>
      <c r="AP190" s="1">
        <v>12488094</v>
      </c>
      <c r="AQ190" s="1">
        <v>67925148</v>
      </c>
      <c r="AR190" s="1">
        <v>15348478</v>
      </c>
      <c r="AS190" s="1">
        <v>2302272</v>
      </c>
      <c r="AT190" s="3">
        <f t="shared" si="12"/>
        <v>98063992</v>
      </c>
    </row>
    <row r="191" spans="1:46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0</v>
      </c>
      <c r="G191" s="1">
        <v>0</v>
      </c>
      <c r="H191" s="1">
        <v>0</v>
      </c>
      <c r="I191" s="1">
        <v>5787372</v>
      </c>
      <c r="J191" s="1">
        <v>0</v>
      </c>
      <c r="K191" s="1">
        <v>0</v>
      </c>
      <c r="L191" s="1">
        <v>11572430</v>
      </c>
      <c r="M191" s="1">
        <v>2000000</v>
      </c>
      <c r="N191" s="1">
        <v>4061314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2640000</v>
      </c>
      <c r="U191" s="1">
        <v>0</v>
      </c>
      <c r="V191" s="1">
        <v>15725238</v>
      </c>
      <c r="W191" s="1">
        <v>4000000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5506281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59009133</v>
      </c>
      <c r="AP191" s="1">
        <v>6695871</v>
      </c>
      <c r="AQ191" s="1">
        <v>52313262</v>
      </c>
      <c r="AR191" s="1">
        <v>10700570</v>
      </c>
      <c r="AS191" s="1">
        <v>1605086</v>
      </c>
      <c r="AT191" s="3">
        <f t="shared" si="12"/>
        <v>71314789</v>
      </c>
    </row>
    <row r="192" spans="1:46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0</v>
      </c>
      <c r="G192" s="1">
        <v>3882018</v>
      </c>
      <c r="H192" s="1">
        <v>0</v>
      </c>
      <c r="I192" s="1">
        <v>4068337</v>
      </c>
      <c r="J192" s="1">
        <v>0</v>
      </c>
      <c r="K192" s="1">
        <v>0</v>
      </c>
      <c r="L192" s="1">
        <v>11572430</v>
      </c>
      <c r="M192" s="1">
        <v>2000000</v>
      </c>
      <c r="N192" s="1">
        <v>3186353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2640000</v>
      </c>
      <c r="U192" s="1">
        <v>0</v>
      </c>
      <c r="V192" s="1">
        <v>14010734</v>
      </c>
      <c r="W192" s="1">
        <v>4000000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3792719</v>
      </c>
      <c r="AE192" s="1">
        <v>0</v>
      </c>
      <c r="AF192" s="1">
        <v>5506281</v>
      </c>
      <c r="AG192" s="1">
        <v>0</v>
      </c>
      <c r="AH192" s="1">
        <v>0</v>
      </c>
      <c r="AI192" s="1">
        <v>0</v>
      </c>
      <c r="AJ192" s="1">
        <v>3549274</v>
      </c>
      <c r="AK192" s="1">
        <v>0</v>
      </c>
      <c r="AL192" s="1">
        <v>0</v>
      </c>
      <c r="AM192" s="1">
        <v>0</v>
      </c>
      <c r="AN192" s="1">
        <v>0</v>
      </c>
      <c r="AO192" s="1">
        <v>64665822</v>
      </c>
      <c r="AP192" s="1">
        <v>10587263</v>
      </c>
      <c r="AQ192" s="1">
        <v>54078559</v>
      </c>
      <c r="AR192" s="1">
        <v>11831908</v>
      </c>
      <c r="AS192" s="1">
        <v>1774786</v>
      </c>
      <c r="AT192" s="3">
        <f t="shared" si="12"/>
        <v>78272516</v>
      </c>
    </row>
    <row r="193" spans="1:46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"قراردادي بهره بردار"</f>
        <v>قراردادي بهره بردار</v>
      </c>
      <c r="E193" s="1" t="str">
        <f>"پروژه بهره برداري نيروگاه بوشهر"</f>
        <v>پروژه بهره برداري نيروگاه بوشهر</v>
      </c>
      <c r="F193" s="1">
        <v>39199789</v>
      </c>
      <c r="G193" s="1">
        <v>106610617</v>
      </c>
      <c r="H193" s="1">
        <v>0</v>
      </c>
      <c r="I193" s="1">
        <v>44546468</v>
      </c>
      <c r="J193" s="1">
        <v>0</v>
      </c>
      <c r="K193" s="1">
        <v>5500000</v>
      </c>
      <c r="L193" s="1">
        <v>0</v>
      </c>
      <c r="M193" s="1">
        <v>1000000</v>
      </c>
      <c r="N193" s="1">
        <v>6445544</v>
      </c>
      <c r="O193" s="1">
        <v>0</v>
      </c>
      <c r="P193" s="1">
        <v>0</v>
      </c>
      <c r="Q193" s="1">
        <v>0</v>
      </c>
      <c r="R193" s="1">
        <v>18707547</v>
      </c>
      <c r="S193" s="1">
        <v>0</v>
      </c>
      <c r="T193" s="1">
        <v>0</v>
      </c>
      <c r="U193" s="1">
        <v>0</v>
      </c>
      <c r="V193" s="1">
        <v>35629546</v>
      </c>
      <c r="W193" s="1">
        <v>4000000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5064356</v>
      </c>
      <c r="AF193" s="1">
        <v>3670854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10312870</v>
      </c>
      <c r="AM193" s="1">
        <v>0</v>
      </c>
      <c r="AN193" s="1">
        <v>0</v>
      </c>
      <c r="AO193" s="1">
        <v>280687591</v>
      </c>
      <c r="AP193" s="1">
        <v>96906770</v>
      </c>
      <c r="AQ193" s="1">
        <v>183780821</v>
      </c>
      <c r="AR193" s="1">
        <v>26552511</v>
      </c>
      <c r="AS193" s="1">
        <v>3982877</v>
      </c>
      <c r="AT193" s="3">
        <f t="shared" si="12"/>
        <v>311222979</v>
      </c>
    </row>
    <row r="194" spans="1:46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"قراردادي کارگري"</f>
        <v>قراردادي کارگري</v>
      </c>
      <c r="E194" s="1" t="str">
        <f>"پروژه تعميرات نيروگاه بوشهر"</f>
        <v>پروژه تعميرات نيروگاه بوشهر</v>
      </c>
      <c r="F194" s="1">
        <v>0</v>
      </c>
      <c r="G194" s="1">
        <v>3055325</v>
      </c>
      <c r="H194" s="1">
        <v>0</v>
      </c>
      <c r="I194" s="1">
        <v>5987148</v>
      </c>
      <c r="J194" s="1">
        <v>0</v>
      </c>
      <c r="K194" s="1">
        <v>0</v>
      </c>
      <c r="L194" s="1">
        <v>11521166</v>
      </c>
      <c r="M194" s="1">
        <v>2000000</v>
      </c>
      <c r="N194" s="1">
        <v>4634015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2640000</v>
      </c>
      <c r="U194" s="1">
        <v>0</v>
      </c>
      <c r="V194" s="1">
        <v>12351364</v>
      </c>
      <c r="W194" s="1">
        <v>4000000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4642044</v>
      </c>
      <c r="AE194" s="1">
        <v>0</v>
      </c>
      <c r="AF194" s="1">
        <v>1835427</v>
      </c>
      <c r="AG194" s="1">
        <v>0</v>
      </c>
      <c r="AH194" s="1">
        <v>0</v>
      </c>
      <c r="AI194" s="1">
        <v>0</v>
      </c>
      <c r="AJ194" s="1">
        <v>3910816</v>
      </c>
      <c r="AK194" s="1">
        <v>0</v>
      </c>
      <c r="AL194" s="1">
        <v>0</v>
      </c>
      <c r="AM194" s="1">
        <v>0</v>
      </c>
      <c r="AN194" s="1">
        <v>0</v>
      </c>
      <c r="AO194" s="1">
        <v>65381934</v>
      </c>
      <c r="AP194" s="1">
        <v>8840423</v>
      </c>
      <c r="AQ194" s="1">
        <v>56541511</v>
      </c>
      <c r="AR194" s="1">
        <v>12709301</v>
      </c>
      <c r="AS194" s="1">
        <v>1906395</v>
      </c>
      <c r="AT194" s="3">
        <f t="shared" si="12"/>
        <v>79997630</v>
      </c>
    </row>
    <row r="195" spans="1:46" x14ac:dyDescent="0.2">
      <c r="A195" s="1" t="str">
        <f>"00228"</f>
        <v>00228</v>
      </c>
      <c r="B195" s="1" t="str">
        <f>"محمود"</f>
        <v>محمود</v>
      </c>
      <c r="C195" s="1" t="str">
        <f>"شوركي"</f>
        <v>شوركي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0</v>
      </c>
      <c r="G195" s="1">
        <v>27887681</v>
      </c>
      <c r="H195" s="1">
        <v>0</v>
      </c>
      <c r="I195" s="1">
        <v>8391325</v>
      </c>
      <c r="J195" s="1">
        <v>0</v>
      </c>
      <c r="K195" s="1">
        <v>0</v>
      </c>
      <c r="L195" s="1">
        <v>11521166</v>
      </c>
      <c r="M195" s="1">
        <v>2000000</v>
      </c>
      <c r="N195" s="1">
        <v>6007750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2640000</v>
      </c>
      <c r="U195" s="1">
        <v>0</v>
      </c>
      <c r="V195" s="1">
        <v>9235222</v>
      </c>
      <c r="W195" s="1">
        <v>4000000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3670854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86693626</v>
      </c>
      <c r="AP195" s="1">
        <v>16033892</v>
      </c>
      <c r="AQ195" s="1">
        <v>70659734</v>
      </c>
      <c r="AR195" s="1">
        <v>16604554</v>
      </c>
      <c r="AS195" s="1">
        <v>2490683</v>
      </c>
      <c r="AT195" s="3">
        <f t="shared" ref="AT195:AT258" si="17">AO195+AR195+AS195</f>
        <v>105788863</v>
      </c>
    </row>
    <row r="196" spans="1:46" x14ac:dyDescent="0.2">
      <c r="A196" s="1" t="str">
        <f>"00229"</f>
        <v>00229</v>
      </c>
      <c r="B196" s="1" t="str">
        <f>"حسين"</f>
        <v>حسين</v>
      </c>
      <c r="C196" s="1" t="str">
        <f>"پردل"</f>
        <v>پردل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0</v>
      </c>
      <c r="G196" s="1">
        <v>13827561</v>
      </c>
      <c r="H196" s="1">
        <v>0</v>
      </c>
      <c r="I196" s="1">
        <v>8505998</v>
      </c>
      <c r="J196" s="1">
        <v>0</v>
      </c>
      <c r="K196" s="1">
        <v>0</v>
      </c>
      <c r="L196" s="1">
        <v>11572430</v>
      </c>
      <c r="M196" s="1">
        <v>2000000</v>
      </c>
      <c r="N196" s="1">
        <v>4615300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2640000</v>
      </c>
      <c r="U196" s="1">
        <v>0</v>
      </c>
      <c r="V196" s="1">
        <v>8230031</v>
      </c>
      <c r="W196" s="1">
        <v>4000000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1835427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65995816</v>
      </c>
      <c r="AP196" s="1">
        <v>19162006</v>
      </c>
      <c r="AQ196" s="1">
        <v>46833810</v>
      </c>
      <c r="AR196" s="1">
        <v>12832078</v>
      </c>
      <c r="AS196" s="1">
        <v>1924812</v>
      </c>
      <c r="AT196" s="3">
        <f t="shared" si="17"/>
        <v>80752706</v>
      </c>
    </row>
    <row r="197" spans="1:46" x14ac:dyDescent="0.2">
      <c r="A197" s="1" t="str">
        <f>"00230"</f>
        <v>00230</v>
      </c>
      <c r="B197" s="1" t="str">
        <f>"عباس"</f>
        <v>عباس</v>
      </c>
      <c r="C197" s="1" t="str">
        <f>"شيركاني"</f>
        <v>شيركاني</v>
      </c>
      <c r="D197" s="1" t="str">
        <f>"قراردادي بهره بردار"</f>
        <v>قراردادي بهره بردار</v>
      </c>
      <c r="E197" s="1" t="str">
        <f>"پروژه بهره برداري نيروگاه بوشهر"</f>
        <v>پروژه بهره برداري نيروگاه بوشهر</v>
      </c>
      <c r="F197" s="1">
        <v>15291949</v>
      </c>
      <c r="G197" s="1">
        <v>4250160</v>
      </c>
      <c r="H197" s="1">
        <v>0</v>
      </c>
      <c r="I197" s="1">
        <v>11017977</v>
      </c>
      <c r="J197" s="1">
        <v>0</v>
      </c>
      <c r="K197" s="1">
        <v>4620000</v>
      </c>
      <c r="L197" s="1">
        <v>0</v>
      </c>
      <c r="M197" s="1">
        <v>1000000</v>
      </c>
      <c r="N197" s="1">
        <v>2451246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18548596</v>
      </c>
      <c r="W197" s="1">
        <v>4000000</v>
      </c>
      <c r="X197" s="1">
        <v>2219799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1925979</v>
      </c>
      <c r="AF197" s="1">
        <v>3670854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10995087</v>
      </c>
      <c r="AM197" s="1">
        <v>0</v>
      </c>
      <c r="AN197" s="1">
        <v>0</v>
      </c>
      <c r="AO197" s="1">
        <v>79991647</v>
      </c>
      <c r="AP197" s="1">
        <v>27183359</v>
      </c>
      <c r="AQ197" s="1">
        <v>52808288</v>
      </c>
      <c r="AR197" s="1">
        <v>15264159</v>
      </c>
      <c r="AS197" s="1">
        <v>2289624</v>
      </c>
      <c r="AT197" s="3">
        <f t="shared" si="17"/>
        <v>97545430</v>
      </c>
    </row>
    <row r="198" spans="1:46" x14ac:dyDescent="0.2">
      <c r="A198" s="1" t="str">
        <f>"00231"</f>
        <v>00231</v>
      </c>
      <c r="B198" s="1" t="str">
        <f>"شاهرخ"</f>
        <v>شاهرخ</v>
      </c>
      <c r="C198" s="1" t="str">
        <f>"چمن کار"</f>
        <v>چمن کار</v>
      </c>
      <c r="D198" s="1" t="str">
        <f t="shared" ref="D198:D208" si="18">"قراردادي کارگري"</f>
        <v>قراردادي کارگري</v>
      </c>
      <c r="E198" s="1" t="str">
        <f t="shared" ref="E198:E208" si="19">"پروژه تعميرات نيروگاه بوشهر"</f>
        <v>پروژه تعميرات نيروگاه بوشهر</v>
      </c>
      <c r="F198" s="1">
        <v>0</v>
      </c>
      <c r="G198" s="1">
        <v>17974687</v>
      </c>
      <c r="H198" s="1">
        <v>0</v>
      </c>
      <c r="I198" s="1">
        <v>14180063</v>
      </c>
      <c r="J198" s="1">
        <v>0</v>
      </c>
      <c r="K198" s="1">
        <v>0</v>
      </c>
      <c r="L198" s="1">
        <v>11331151</v>
      </c>
      <c r="M198" s="1">
        <v>2000000</v>
      </c>
      <c r="N198" s="1">
        <v>6353787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2640000</v>
      </c>
      <c r="U198" s="1">
        <v>0</v>
      </c>
      <c r="V198" s="1">
        <v>17714805</v>
      </c>
      <c r="W198" s="1">
        <v>4000000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1835427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90578649</v>
      </c>
      <c r="AP198" s="1">
        <v>10938689</v>
      </c>
      <c r="AQ198" s="1">
        <v>79639960</v>
      </c>
      <c r="AR198" s="1">
        <v>17748644</v>
      </c>
      <c r="AS198" s="1">
        <v>2662297</v>
      </c>
      <c r="AT198" s="3">
        <f t="shared" si="17"/>
        <v>110989590</v>
      </c>
    </row>
    <row r="199" spans="1:46" x14ac:dyDescent="0.2">
      <c r="A199" s="1" t="str">
        <f>"00232"</f>
        <v>00232</v>
      </c>
      <c r="B199" s="1" t="str">
        <f>"مهدي"</f>
        <v>مهدي</v>
      </c>
      <c r="C199" s="1" t="str">
        <f>"خليلي نيا"</f>
        <v>خليلي نيا</v>
      </c>
      <c r="D199" s="1" t="str">
        <f t="shared" si="18"/>
        <v>قراردادي کارگري</v>
      </c>
      <c r="E199" s="1" t="str">
        <f t="shared" si="19"/>
        <v>پروژه تعميرات نيروگاه بوشهر</v>
      </c>
      <c r="F199" s="1">
        <v>0</v>
      </c>
      <c r="G199" s="1">
        <v>5875102</v>
      </c>
      <c r="H199" s="1">
        <v>0</v>
      </c>
      <c r="I199" s="1">
        <v>6671234</v>
      </c>
      <c r="J199" s="1">
        <v>0</v>
      </c>
      <c r="K199" s="1">
        <v>0</v>
      </c>
      <c r="L199" s="1">
        <v>11521166</v>
      </c>
      <c r="M199" s="1">
        <v>2000000</v>
      </c>
      <c r="N199" s="1">
        <v>4776255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2640000</v>
      </c>
      <c r="U199" s="1">
        <v>0</v>
      </c>
      <c r="V199" s="1">
        <v>16991808</v>
      </c>
      <c r="W199" s="1">
        <v>4000000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4797575</v>
      </c>
      <c r="AE199" s="1">
        <v>0</v>
      </c>
      <c r="AF199" s="1">
        <v>3670854</v>
      </c>
      <c r="AG199" s="1">
        <v>0</v>
      </c>
      <c r="AH199" s="1">
        <v>0</v>
      </c>
      <c r="AI199" s="1">
        <v>0</v>
      </c>
      <c r="AJ199" s="1">
        <v>8847213</v>
      </c>
      <c r="AK199" s="1">
        <v>0</v>
      </c>
      <c r="AL199" s="1">
        <v>0</v>
      </c>
      <c r="AM199" s="1">
        <v>0</v>
      </c>
      <c r="AN199" s="1">
        <v>0</v>
      </c>
      <c r="AO199" s="1">
        <v>80806388</v>
      </c>
      <c r="AP199" s="1">
        <v>13166980</v>
      </c>
      <c r="AQ199" s="1">
        <v>67639408</v>
      </c>
      <c r="AR199" s="1">
        <v>15427107</v>
      </c>
      <c r="AS199" s="1">
        <v>2314066</v>
      </c>
      <c r="AT199" s="3">
        <f t="shared" si="17"/>
        <v>98547561</v>
      </c>
    </row>
    <row r="200" spans="1:46" x14ac:dyDescent="0.2">
      <c r="A200" s="1" t="str">
        <f>"00233"</f>
        <v>00233</v>
      </c>
      <c r="B200" s="1" t="str">
        <f>"عباس"</f>
        <v>عباس</v>
      </c>
      <c r="C200" s="1" t="str">
        <f>"نيكروان"</f>
        <v>نيكروان</v>
      </c>
      <c r="D200" s="1" t="str">
        <f t="shared" si="18"/>
        <v>قراردادي کارگري</v>
      </c>
      <c r="E200" s="1" t="str">
        <f t="shared" si="19"/>
        <v>پروژه تعميرات نيروگاه بوشهر</v>
      </c>
      <c r="F200" s="1">
        <v>0</v>
      </c>
      <c r="G200" s="1">
        <v>6201220</v>
      </c>
      <c r="H200" s="1">
        <v>0</v>
      </c>
      <c r="I200" s="1">
        <v>6575925</v>
      </c>
      <c r="J200" s="1">
        <v>0</v>
      </c>
      <c r="K200" s="1">
        <v>0</v>
      </c>
      <c r="L200" s="1">
        <v>11521166</v>
      </c>
      <c r="M200" s="1">
        <v>2000000</v>
      </c>
      <c r="N200" s="1">
        <v>4772512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2640000</v>
      </c>
      <c r="U200" s="1">
        <v>0</v>
      </c>
      <c r="V200" s="1">
        <v>16944585</v>
      </c>
      <c r="W200" s="1">
        <v>4000000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4781658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6614635</v>
      </c>
      <c r="AK200" s="1">
        <v>0</v>
      </c>
      <c r="AL200" s="1">
        <v>0</v>
      </c>
      <c r="AM200" s="1">
        <v>0</v>
      </c>
      <c r="AN200" s="1">
        <v>0</v>
      </c>
      <c r="AO200" s="1">
        <v>75059817</v>
      </c>
      <c r="AP200" s="1">
        <v>9863950</v>
      </c>
      <c r="AQ200" s="1">
        <v>65195867</v>
      </c>
      <c r="AR200" s="1">
        <v>15011963</v>
      </c>
      <c r="AS200" s="1">
        <v>2251795</v>
      </c>
      <c r="AT200" s="3">
        <f t="shared" si="17"/>
        <v>92323575</v>
      </c>
    </row>
    <row r="201" spans="1:46" x14ac:dyDescent="0.2">
      <c r="A201" s="1" t="str">
        <f>"00234"</f>
        <v>00234</v>
      </c>
      <c r="B201" s="1" t="str">
        <f>"حسن"</f>
        <v>حسن</v>
      </c>
      <c r="C201" s="1" t="str">
        <f>"فقيه"</f>
        <v>فقيه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0</v>
      </c>
      <c r="G201" s="1">
        <v>5793932</v>
      </c>
      <c r="H201" s="1">
        <v>0</v>
      </c>
      <c r="I201" s="1">
        <v>6468914</v>
      </c>
      <c r="J201" s="1">
        <v>0</v>
      </c>
      <c r="K201" s="1">
        <v>0</v>
      </c>
      <c r="L201" s="1">
        <v>11521166</v>
      </c>
      <c r="M201" s="1">
        <v>2000000</v>
      </c>
      <c r="N201" s="1">
        <v>4663960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2640000</v>
      </c>
      <c r="U201" s="1">
        <v>0</v>
      </c>
      <c r="V201" s="1">
        <v>16783427</v>
      </c>
      <c r="W201" s="1">
        <v>4000000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5506281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68239206</v>
      </c>
      <c r="AP201" s="1">
        <v>10948264</v>
      </c>
      <c r="AQ201" s="1">
        <v>57290942</v>
      </c>
      <c r="AR201" s="1">
        <v>12546585</v>
      </c>
      <c r="AS201" s="1">
        <v>1881988</v>
      </c>
      <c r="AT201" s="3">
        <f t="shared" si="17"/>
        <v>82667779</v>
      </c>
    </row>
    <row r="202" spans="1:46" x14ac:dyDescent="0.2">
      <c r="A202" s="1" t="str">
        <f>"00235"</f>
        <v>00235</v>
      </c>
      <c r="B202" s="1" t="str">
        <f>"حسين"</f>
        <v>حسين</v>
      </c>
      <c r="C202" s="1" t="str">
        <f>"خليلي"</f>
        <v>خليلي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0</v>
      </c>
      <c r="G202" s="1">
        <v>7783547</v>
      </c>
      <c r="H202" s="1">
        <v>0</v>
      </c>
      <c r="I202" s="1">
        <v>8150328</v>
      </c>
      <c r="J202" s="1">
        <v>0</v>
      </c>
      <c r="K202" s="1">
        <v>0</v>
      </c>
      <c r="L202" s="1">
        <v>11521166</v>
      </c>
      <c r="M202" s="1">
        <v>2000000</v>
      </c>
      <c r="N202" s="1">
        <v>5719528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2640000</v>
      </c>
      <c r="U202" s="1">
        <v>0</v>
      </c>
      <c r="V202" s="1">
        <v>18893866</v>
      </c>
      <c r="W202" s="1">
        <v>4000000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5438719</v>
      </c>
      <c r="AE202" s="1">
        <v>0</v>
      </c>
      <c r="AF202" s="1">
        <v>3670854</v>
      </c>
      <c r="AG202" s="1">
        <v>0</v>
      </c>
      <c r="AH202" s="1">
        <v>0</v>
      </c>
      <c r="AI202" s="1">
        <v>0</v>
      </c>
      <c r="AJ202" s="1">
        <v>4981470</v>
      </c>
      <c r="AK202" s="1">
        <v>0</v>
      </c>
      <c r="AL202" s="1">
        <v>0</v>
      </c>
      <c r="AM202" s="1">
        <v>0</v>
      </c>
      <c r="AN202" s="1">
        <v>0</v>
      </c>
      <c r="AO202" s="1">
        <v>85666582</v>
      </c>
      <c r="AP202" s="1">
        <v>14227236</v>
      </c>
      <c r="AQ202" s="1">
        <v>71439346</v>
      </c>
      <c r="AR202" s="1">
        <v>16399146</v>
      </c>
      <c r="AS202" s="1">
        <v>2459872</v>
      </c>
      <c r="AT202" s="3">
        <f t="shared" si="17"/>
        <v>104525600</v>
      </c>
    </row>
    <row r="203" spans="1:46" x14ac:dyDescent="0.2">
      <c r="A203" s="1" t="str">
        <f>"00236"</f>
        <v>00236</v>
      </c>
      <c r="B203" s="1" t="str">
        <f>"مهدي"</f>
        <v>مهدي</v>
      </c>
      <c r="C203" s="1" t="str">
        <f>"افتخار"</f>
        <v>افتخار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0</v>
      </c>
      <c r="G203" s="1">
        <v>0</v>
      </c>
      <c r="H203" s="1">
        <v>0</v>
      </c>
      <c r="I203" s="1">
        <v>7486840</v>
      </c>
      <c r="J203" s="1">
        <v>0</v>
      </c>
      <c r="K203" s="1">
        <v>0</v>
      </c>
      <c r="L203" s="1">
        <v>11521166</v>
      </c>
      <c r="M203" s="1">
        <v>2000000</v>
      </c>
      <c r="N203" s="1">
        <v>5360186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2640000</v>
      </c>
      <c r="U203" s="1">
        <v>0</v>
      </c>
      <c r="V203" s="1">
        <v>17901639</v>
      </c>
      <c r="W203" s="1">
        <v>4000000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5172831</v>
      </c>
      <c r="AE203" s="1">
        <v>0</v>
      </c>
      <c r="AF203" s="1">
        <v>3670854</v>
      </c>
      <c r="AG203" s="1">
        <v>0</v>
      </c>
      <c r="AH203" s="1">
        <v>0</v>
      </c>
      <c r="AI203" s="1">
        <v>0</v>
      </c>
      <c r="AJ203" s="1">
        <v>7097618</v>
      </c>
      <c r="AK203" s="1">
        <v>0</v>
      </c>
      <c r="AL203" s="1">
        <v>0</v>
      </c>
      <c r="AM203" s="1">
        <v>0</v>
      </c>
      <c r="AN203" s="1">
        <v>0</v>
      </c>
      <c r="AO203" s="1">
        <v>76968486</v>
      </c>
      <c r="AP203" s="1">
        <v>13742758</v>
      </c>
      <c r="AQ203" s="1">
        <v>63225728</v>
      </c>
      <c r="AR203" s="1">
        <v>14659526</v>
      </c>
      <c r="AS203" s="1">
        <v>2198929</v>
      </c>
      <c r="AT203" s="3">
        <f t="shared" si="17"/>
        <v>93826941</v>
      </c>
    </row>
    <row r="204" spans="1:46" x14ac:dyDescent="0.2">
      <c r="A204" s="1" t="str">
        <f>"00237"</f>
        <v>00237</v>
      </c>
      <c r="B204" s="1" t="str">
        <f>"عارف"</f>
        <v>عارف</v>
      </c>
      <c r="C204" s="1" t="str">
        <f>"حسن احمدي"</f>
        <v>حسن احمدي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0</v>
      </c>
      <c r="G204" s="1">
        <v>8260430</v>
      </c>
      <c r="H204" s="1">
        <v>0</v>
      </c>
      <c r="I204" s="1">
        <v>6024060</v>
      </c>
      <c r="J204" s="1">
        <v>0</v>
      </c>
      <c r="K204" s="1">
        <v>0</v>
      </c>
      <c r="L204" s="1">
        <v>11521166</v>
      </c>
      <c r="M204" s="1">
        <v>2000000</v>
      </c>
      <c r="N204" s="1">
        <v>4465574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2640000</v>
      </c>
      <c r="U204" s="1">
        <v>0</v>
      </c>
      <c r="V204" s="1">
        <v>16329448</v>
      </c>
      <c r="W204" s="1">
        <v>4000000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4574308</v>
      </c>
      <c r="AE204" s="1">
        <v>0</v>
      </c>
      <c r="AF204" s="1">
        <v>5506281</v>
      </c>
      <c r="AG204" s="1">
        <v>0</v>
      </c>
      <c r="AH204" s="1">
        <v>0</v>
      </c>
      <c r="AI204" s="1">
        <v>0</v>
      </c>
      <c r="AJ204" s="1">
        <v>4229340</v>
      </c>
      <c r="AK204" s="1">
        <v>0</v>
      </c>
      <c r="AL204" s="1">
        <v>0</v>
      </c>
      <c r="AM204" s="1">
        <v>0</v>
      </c>
      <c r="AN204" s="1">
        <v>0</v>
      </c>
      <c r="AO204" s="1">
        <v>78035197</v>
      </c>
      <c r="AP204" s="1">
        <v>12810042</v>
      </c>
      <c r="AQ204" s="1">
        <v>65225155</v>
      </c>
      <c r="AR204" s="1">
        <v>14505783</v>
      </c>
      <c r="AS204" s="1">
        <v>2175867</v>
      </c>
      <c r="AT204" s="3">
        <f t="shared" si="17"/>
        <v>94716847</v>
      </c>
    </row>
    <row r="205" spans="1:46" x14ac:dyDescent="0.2">
      <c r="A205" s="1" t="str">
        <f>"00238"</f>
        <v>00238</v>
      </c>
      <c r="B205" s="1" t="str">
        <f>"محمد"</f>
        <v>محمد</v>
      </c>
      <c r="C205" s="1" t="str">
        <f>"حيدري"</f>
        <v>حيدري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0</v>
      </c>
      <c r="G205" s="1">
        <v>2999636</v>
      </c>
      <c r="H205" s="1">
        <v>0</v>
      </c>
      <c r="I205" s="1">
        <v>6230094</v>
      </c>
      <c r="J205" s="1">
        <v>0</v>
      </c>
      <c r="K205" s="1">
        <v>0</v>
      </c>
      <c r="L205" s="1">
        <v>11521166</v>
      </c>
      <c r="M205" s="1">
        <v>2000000</v>
      </c>
      <c r="N205" s="1">
        <v>4491776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2640000</v>
      </c>
      <c r="U205" s="1">
        <v>0</v>
      </c>
      <c r="V205" s="1">
        <v>16454947</v>
      </c>
      <c r="W205" s="1">
        <v>4000000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4616611</v>
      </c>
      <c r="AE205" s="1">
        <v>0</v>
      </c>
      <c r="AF205" s="1">
        <v>3670854</v>
      </c>
      <c r="AG205" s="1">
        <v>0</v>
      </c>
      <c r="AH205" s="1">
        <v>0</v>
      </c>
      <c r="AI205" s="1">
        <v>0</v>
      </c>
      <c r="AJ205" s="1">
        <v>4266148</v>
      </c>
      <c r="AK205" s="1">
        <v>0</v>
      </c>
      <c r="AL205" s="1">
        <v>0</v>
      </c>
      <c r="AM205" s="1">
        <v>0</v>
      </c>
      <c r="AN205" s="1">
        <v>0</v>
      </c>
      <c r="AO205" s="1">
        <v>71425606</v>
      </c>
      <c r="AP205" s="1">
        <v>11145111</v>
      </c>
      <c r="AQ205" s="1">
        <v>60280495</v>
      </c>
      <c r="AR205" s="1">
        <v>13550950</v>
      </c>
      <c r="AS205" s="1">
        <v>2032643</v>
      </c>
      <c r="AT205" s="3">
        <f t="shared" si="17"/>
        <v>87009199</v>
      </c>
    </row>
    <row r="206" spans="1:46" x14ac:dyDescent="0.2">
      <c r="A206" s="1" t="str">
        <f>"00239"</f>
        <v>00239</v>
      </c>
      <c r="B206" s="1" t="str">
        <f>"حيدر"</f>
        <v>حيدر</v>
      </c>
      <c r="C206" s="1" t="str">
        <f>"توكلي"</f>
        <v>توكلي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0</v>
      </c>
      <c r="G206" s="1">
        <v>17268978</v>
      </c>
      <c r="H206" s="1">
        <v>0</v>
      </c>
      <c r="I206" s="1">
        <v>8662487</v>
      </c>
      <c r="J206" s="1">
        <v>0</v>
      </c>
      <c r="K206" s="1">
        <v>0</v>
      </c>
      <c r="L206" s="1">
        <v>11521166</v>
      </c>
      <c r="M206" s="1">
        <v>2000000</v>
      </c>
      <c r="N206" s="1">
        <v>5809364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2640000</v>
      </c>
      <c r="U206" s="1">
        <v>0</v>
      </c>
      <c r="V206" s="1">
        <v>14026412</v>
      </c>
      <c r="W206" s="1">
        <v>4000000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5506281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82399863</v>
      </c>
      <c r="AP206" s="1">
        <v>17848518</v>
      </c>
      <c r="AQ206" s="1">
        <v>64551345</v>
      </c>
      <c r="AR206" s="1">
        <v>15378716</v>
      </c>
      <c r="AS206" s="1">
        <v>2306807</v>
      </c>
      <c r="AT206" s="3">
        <f t="shared" si="17"/>
        <v>100085386</v>
      </c>
    </row>
    <row r="207" spans="1:46" x14ac:dyDescent="0.2">
      <c r="A207" s="1" t="str">
        <f>"00240"</f>
        <v>00240</v>
      </c>
      <c r="B207" s="1" t="str">
        <f>"عبدالنبي"</f>
        <v>عبدالنبي</v>
      </c>
      <c r="C207" s="1" t="str">
        <f>"بحريني"</f>
        <v>بحريني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0</v>
      </c>
      <c r="G207" s="1">
        <v>19516382</v>
      </c>
      <c r="H207" s="1">
        <v>0</v>
      </c>
      <c r="I207" s="1">
        <v>8011928</v>
      </c>
      <c r="J207" s="1">
        <v>0</v>
      </c>
      <c r="K207" s="1">
        <v>0</v>
      </c>
      <c r="L207" s="1">
        <v>11521166</v>
      </c>
      <c r="M207" s="1">
        <v>2000000</v>
      </c>
      <c r="N207" s="1">
        <v>5337727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2640000</v>
      </c>
      <c r="U207" s="1">
        <v>0</v>
      </c>
      <c r="V207" s="1">
        <v>12672844</v>
      </c>
      <c r="W207" s="1">
        <v>4000000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3670854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79512583</v>
      </c>
      <c r="AP207" s="1">
        <v>23607077</v>
      </c>
      <c r="AQ207" s="1">
        <v>55905506</v>
      </c>
      <c r="AR207" s="1">
        <v>15168346</v>
      </c>
      <c r="AS207" s="1">
        <v>2275252</v>
      </c>
      <c r="AT207" s="3">
        <f t="shared" si="17"/>
        <v>96956181</v>
      </c>
    </row>
    <row r="208" spans="1:46" x14ac:dyDescent="0.2">
      <c r="A208" s="1" t="str">
        <f>"00241"</f>
        <v>00241</v>
      </c>
      <c r="B208" s="1" t="str">
        <f>"سجاد"</f>
        <v>سجاد</v>
      </c>
      <c r="C208" s="1" t="str">
        <f>"مقدم پور"</f>
        <v>مقدم پور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0</v>
      </c>
      <c r="G208" s="1">
        <v>0</v>
      </c>
      <c r="H208" s="1">
        <v>0</v>
      </c>
      <c r="I208" s="1">
        <v>9781061</v>
      </c>
      <c r="J208" s="1">
        <v>0</v>
      </c>
      <c r="K208" s="1">
        <v>0</v>
      </c>
      <c r="L208" s="1">
        <v>11331151</v>
      </c>
      <c r="M208" s="1">
        <v>2000000</v>
      </c>
      <c r="N208" s="1">
        <v>6440204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2640000</v>
      </c>
      <c r="U208" s="1">
        <v>0</v>
      </c>
      <c r="V208" s="1">
        <v>11915228</v>
      </c>
      <c r="W208" s="1">
        <v>4000000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1835427</v>
      </c>
      <c r="AG208" s="1">
        <v>0</v>
      </c>
      <c r="AH208" s="1">
        <v>0</v>
      </c>
      <c r="AI208" s="1">
        <v>5000000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67018455</v>
      </c>
      <c r="AP208" s="1">
        <v>7512377</v>
      </c>
      <c r="AQ208" s="1">
        <v>59506078</v>
      </c>
      <c r="AR208" s="1">
        <v>12036606</v>
      </c>
      <c r="AS208" s="1">
        <v>1805491</v>
      </c>
      <c r="AT208" s="3">
        <f t="shared" si="17"/>
        <v>80860552</v>
      </c>
    </row>
    <row r="209" spans="1:46" x14ac:dyDescent="0.2">
      <c r="A209" s="1" t="str">
        <f>"00242"</f>
        <v>00242</v>
      </c>
      <c r="B209" s="1" t="str">
        <f>"مجاهد"</f>
        <v>مجاهد</v>
      </c>
      <c r="C209" s="1" t="str">
        <f>"نصاري"</f>
        <v>نصاري</v>
      </c>
      <c r="D209" s="1" t="str">
        <f>"قراردادي بهره بردار"</f>
        <v>قراردادي بهره بردار</v>
      </c>
      <c r="E209" s="1" t="str">
        <f>"پروژه بهره برداري نيروگاه بوشهر"</f>
        <v>پروژه بهره برداري نيروگاه بوشهر</v>
      </c>
      <c r="F209" s="1">
        <v>17974968</v>
      </c>
      <c r="G209" s="1">
        <v>0</v>
      </c>
      <c r="H209" s="1">
        <v>0</v>
      </c>
      <c r="I209" s="1">
        <v>14486206</v>
      </c>
      <c r="J209" s="1">
        <v>0</v>
      </c>
      <c r="K209" s="1">
        <v>0</v>
      </c>
      <c r="L209" s="1">
        <v>0</v>
      </c>
      <c r="M209" s="1">
        <v>1000000</v>
      </c>
      <c r="N209" s="1">
        <v>3390304</v>
      </c>
      <c r="O209" s="1">
        <v>0</v>
      </c>
      <c r="P209" s="1">
        <v>0</v>
      </c>
      <c r="Q209" s="1">
        <v>0</v>
      </c>
      <c r="R209" s="1">
        <v>167307</v>
      </c>
      <c r="S209" s="1">
        <v>0</v>
      </c>
      <c r="T209" s="1">
        <v>0</v>
      </c>
      <c r="U209" s="1">
        <v>0</v>
      </c>
      <c r="V209" s="1">
        <v>14929771</v>
      </c>
      <c r="W209" s="1">
        <v>4000000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2663809</v>
      </c>
      <c r="AF209" s="1">
        <v>3670854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9645265</v>
      </c>
      <c r="AM209" s="1">
        <v>0</v>
      </c>
      <c r="AN209" s="1">
        <v>0</v>
      </c>
      <c r="AO209" s="1">
        <v>71928484</v>
      </c>
      <c r="AP209" s="1">
        <v>35216547</v>
      </c>
      <c r="AQ209" s="1">
        <v>36711937</v>
      </c>
      <c r="AR209" s="1">
        <v>13618065</v>
      </c>
      <c r="AS209" s="1">
        <v>2042710</v>
      </c>
      <c r="AT209" s="3">
        <f t="shared" si="17"/>
        <v>87589259</v>
      </c>
    </row>
    <row r="210" spans="1:46" x14ac:dyDescent="0.2">
      <c r="A210" s="1" t="str">
        <f>"00243"</f>
        <v>00243</v>
      </c>
      <c r="B210" s="1" t="str">
        <f>"هادي"</f>
        <v>هادي</v>
      </c>
      <c r="C210" s="1" t="str">
        <f>"آذرباد"</f>
        <v>آذرباد</v>
      </c>
      <c r="D210" s="1" t="str">
        <f>"قراردادي کارگري"</f>
        <v>قراردادي کارگري</v>
      </c>
      <c r="E210" s="1" t="str">
        <f>"پروژه تعميرات نيروگاه بوشهر"</f>
        <v>پروژه تعميرات نيروگاه بوشهر</v>
      </c>
      <c r="F210" s="1">
        <v>0</v>
      </c>
      <c r="G210" s="1">
        <v>14665842</v>
      </c>
      <c r="H210" s="1">
        <v>0</v>
      </c>
      <c r="I210" s="1">
        <v>11847919</v>
      </c>
      <c r="J210" s="1">
        <v>0</v>
      </c>
      <c r="K210" s="1">
        <v>0</v>
      </c>
      <c r="L210" s="1">
        <v>11331151</v>
      </c>
      <c r="M210" s="1">
        <v>2000000</v>
      </c>
      <c r="N210" s="1">
        <v>7522488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2640000</v>
      </c>
      <c r="U210" s="1">
        <v>0</v>
      </c>
      <c r="V210" s="1">
        <v>16321992</v>
      </c>
      <c r="W210" s="1">
        <v>4000000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1835427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86269484</v>
      </c>
      <c r="AP210" s="1">
        <v>30445573</v>
      </c>
      <c r="AQ210" s="1">
        <v>55823911</v>
      </c>
      <c r="AR210" s="1">
        <v>16886811</v>
      </c>
      <c r="AS210" s="1">
        <v>2533022</v>
      </c>
      <c r="AT210" s="3">
        <f t="shared" si="17"/>
        <v>105689317</v>
      </c>
    </row>
    <row r="211" spans="1:46" x14ac:dyDescent="0.2">
      <c r="A211" s="1" t="str">
        <f>"00244"</f>
        <v>00244</v>
      </c>
      <c r="B211" s="1" t="str">
        <f>"فريدون"</f>
        <v>فريدون</v>
      </c>
      <c r="C211" s="1" t="str">
        <f>"بناءزاده"</f>
        <v>بناءزاده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35592199</v>
      </c>
      <c r="G211" s="1">
        <v>2341265</v>
      </c>
      <c r="H211" s="1">
        <v>0</v>
      </c>
      <c r="I211" s="1">
        <v>36861176</v>
      </c>
      <c r="J211" s="1">
        <v>0</v>
      </c>
      <c r="K211" s="1">
        <v>5500000</v>
      </c>
      <c r="L211" s="1">
        <v>0</v>
      </c>
      <c r="M211" s="1">
        <v>1000000</v>
      </c>
      <c r="N211" s="1">
        <v>5547047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20313713</v>
      </c>
      <c r="W211" s="1">
        <v>4000000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4358394</v>
      </c>
      <c r="AF211" s="1">
        <v>3670854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7924353</v>
      </c>
      <c r="AM211" s="1">
        <v>0</v>
      </c>
      <c r="AN211" s="1">
        <v>0</v>
      </c>
      <c r="AO211" s="1">
        <v>127109001</v>
      </c>
      <c r="AP211" s="1">
        <v>19534336</v>
      </c>
      <c r="AQ211" s="1">
        <v>107574665</v>
      </c>
      <c r="AR211" s="1">
        <v>24687629</v>
      </c>
      <c r="AS211" s="1">
        <v>3703144</v>
      </c>
      <c r="AT211" s="3">
        <f t="shared" si="17"/>
        <v>155499774</v>
      </c>
    </row>
    <row r="212" spans="1:46" x14ac:dyDescent="0.2">
      <c r="A212" s="1" t="str">
        <f>"00246"</f>
        <v>00246</v>
      </c>
      <c r="B212" s="1" t="str">
        <f>"جاويد"</f>
        <v>جاويد</v>
      </c>
      <c r="C212" s="1" t="str">
        <f>"ارمي"</f>
        <v>ارمي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16032613</v>
      </c>
      <c r="G212" s="1">
        <v>6642277</v>
      </c>
      <c r="H212" s="1">
        <v>0</v>
      </c>
      <c r="I212" s="1">
        <v>12314718</v>
      </c>
      <c r="J212" s="1">
        <v>0</v>
      </c>
      <c r="K212" s="1">
        <v>4620000</v>
      </c>
      <c r="L212" s="1">
        <v>0</v>
      </c>
      <c r="M212" s="1">
        <v>1000000</v>
      </c>
      <c r="N212" s="1">
        <v>2710479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15171784</v>
      </c>
      <c r="W212" s="1">
        <v>4000000</v>
      </c>
      <c r="X212" s="1">
        <v>2075712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2129662</v>
      </c>
      <c r="AF212" s="1">
        <v>1835427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10472339</v>
      </c>
      <c r="AM212" s="1">
        <v>0</v>
      </c>
      <c r="AN212" s="1">
        <v>0</v>
      </c>
      <c r="AO212" s="1">
        <v>79005011</v>
      </c>
      <c r="AP212" s="1">
        <v>33071281</v>
      </c>
      <c r="AQ212" s="1">
        <v>45933730</v>
      </c>
      <c r="AR212" s="1">
        <v>15433917</v>
      </c>
      <c r="AS212" s="1">
        <v>2315088</v>
      </c>
      <c r="AT212" s="3">
        <f t="shared" si="17"/>
        <v>96754016</v>
      </c>
    </row>
    <row r="213" spans="1:46" x14ac:dyDescent="0.2">
      <c r="A213" s="1" t="str">
        <f>"00247"</f>
        <v>00247</v>
      </c>
      <c r="B213" s="1" t="str">
        <f>"آرمان"</f>
        <v>آرمان</v>
      </c>
      <c r="C213" s="1" t="str">
        <f>"غريبي"</f>
        <v>غريبي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15939400</v>
      </c>
      <c r="G213" s="1">
        <v>6976396</v>
      </c>
      <c r="H213" s="1">
        <v>0</v>
      </c>
      <c r="I213" s="1">
        <v>11966084</v>
      </c>
      <c r="J213" s="1">
        <v>0</v>
      </c>
      <c r="K213" s="1">
        <v>4620000</v>
      </c>
      <c r="L213" s="1">
        <v>0</v>
      </c>
      <c r="M213" s="1">
        <v>1000000</v>
      </c>
      <c r="N213" s="1">
        <v>2677854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14997604</v>
      </c>
      <c r="W213" s="1">
        <v>4000000</v>
      </c>
      <c r="X213" s="1">
        <v>2313784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2104029</v>
      </c>
      <c r="AF213" s="1">
        <v>3670854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10471206</v>
      </c>
      <c r="AM213" s="1">
        <v>0</v>
      </c>
      <c r="AN213" s="1">
        <v>0</v>
      </c>
      <c r="AO213" s="1">
        <v>80737211</v>
      </c>
      <c r="AP213" s="1">
        <v>11025854</v>
      </c>
      <c r="AQ213" s="1">
        <v>69711357</v>
      </c>
      <c r="AR213" s="1">
        <v>15413271</v>
      </c>
      <c r="AS213" s="1">
        <v>2311991</v>
      </c>
      <c r="AT213" s="3">
        <f t="shared" si="17"/>
        <v>98462473</v>
      </c>
    </row>
    <row r="214" spans="1:46" x14ac:dyDescent="0.2">
      <c r="A214" s="1" t="str">
        <f>"00248"</f>
        <v>00248</v>
      </c>
      <c r="B214" s="1" t="str">
        <f>"احسان"</f>
        <v>احسان</v>
      </c>
      <c r="C214" s="1" t="str">
        <f>"محمدي نژاد"</f>
        <v>محمدي نژاد</v>
      </c>
      <c r="D214" s="1" t="str">
        <f>"قراردادي کارگري"</f>
        <v>قراردادي کارگري</v>
      </c>
      <c r="E214" s="1" t="str">
        <f>"پروژه تعميرات نيروگاه بوشهر"</f>
        <v>پروژه تعميرات نيروگاه بوشهر</v>
      </c>
      <c r="F214" s="1">
        <v>0</v>
      </c>
      <c r="G214" s="1">
        <v>2453681</v>
      </c>
      <c r="H214" s="1">
        <v>0</v>
      </c>
      <c r="I214" s="1">
        <v>6334212</v>
      </c>
      <c r="J214" s="1">
        <v>0</v>
      </c>
      <c r="K214" s="1">
        <v>0</v>
      </c>
      <c r="L214" s="1">
        <v>11521166</v>
      </c>
      <c r="M214" s="1">
        <v>2000000</v>
      </c>
      <c r="N214" s="1">
        <v>4630273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2640000</v>
      </c>
      <c r="U214" s="1">
        <v>0</v>
      </c>
      <c r="V214" s="1">
        <v>12182030</v>
      </c>
      <c r="W214" s="1">
        <v>4000000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4692475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5888833</v>
      </c>
      <c r="AK214" s="1">
        <v>0</v>
      </c>
      <c r="AL214" s="1">
        <v>0</v>
      </c>
      <c r="AM214" s="1">
        <v>0</v>
      </c>
      <c r="AN214" s="1">
        <v>0</v>
      </c>
      <c r="AO214" s="1">
        <v>65140188</v>
      </c>
      <c r="AP214" s="1">
        <v>9672650</v>
      </c>
      <c r="AQ214" s="1">
        <v>55467538</v>
      </c>
      <c r="AR214" s="1">
        <v>13028038</v>
      </c>
      <c r="AS214" s="1">
        <v>1954206</v>
      </c>
      <c r="AT214" s="3">
        <f t="shared" si="17"/>
        <v>80122432</v>
      </c>
    </row>
    <row r="215" spans="1:46" x14ac:dyDescent="0.2">
      <c r="A215" s="1" t="str">
        <f>"00249"</f>
        <v>00249</v>
      </c>
      <c r="B215" s="1" t="str">
        <f>"سيدمسعود"</f>
        <v>سيدمسعود</v>
      </c>
      <c r="C215" s="1" t="str">
        <f>"امامزاده نژاد"</f>
        <v>امامزاده نژاد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16664949</v>
      </c>
      <c r="G215" s="1">
        <v>11304244</v>
      </c>
      <c r="H215" s="1">
        <v>0</v>
      </c>
      <c r="I215" s="1">
        <v>12988630</v>
      </c>
      <c r="J215" s="1">
        <v>0</v>
      </c>
      <c r="K215" s="1">
        <v>4620000</v>
      </c>
      <c r="L215" s="1">
        <v>0</v>
      </c>
      <c r="M215" s="1">
        <v>1000000</v>
      </c>
      <c r="N215" s="1">
        <v>2931797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15889412</v>
      </c>
      <c r="W215" s="1">
        <v>4000000</v>
      </c>
      <c r="X215" s="1">
        <v>2419106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2303554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10835996</v>
      </c>
      <c r="AM215" s="1">
        <v>0</v>
      </c>
      <c r="AN215" s="1">
        <v>0</v>
      </c>
      <c r="AO215" s="1">
        <v>84957688</v>
      </c>
      <c r="AP215" s="1">
        <v>14040103</v>
      </c>
      <c r="AQ215" s="1">
        <v>70917585</v>
      </c>
      <c r="AR215" s="1">
        <v>16991538</v>
      </c>
      <c r="AS215" s="1">
        <v>2548731</v>
      </c>
      <c r="AT215" s="3">
        <f t="shared" si="17"/>
        <v>104497957</v>
      </c>
    </row>
    <row r="216" spans="1:46" x14ac:dyDescent="0.2">
      <c r="A216" s="1" t="str">
        <f>"00250"</f>
        <v>00250</v>
      </c>
      <c r="B216" s="1" t="str">
        <f>"مهدي"</f>
        <v>مهدي</v>
      </c>
      <c r="C216" s="1" t="str">
        <f>"بندرگاهي"</f>
        <v>بندرگاهي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16216520</v>
      </c>
      <c r="G216" s="1">
        <v>3810406</v>
      </c>
      <c r="H216" s="1">
        <v>0</v>
      </c>
      <c r="I216" s="1">
        <v>12766038</v>
      </c>
      <c r="J216" s="1">
        <v>0</v>
      </c>
      <c r="K216" s="1">
        <v>4620000</v>
      </c>
      <c r="L216" s="1">
        <v>0</v>
      </c>
      <c r="M216" s="1">
        <v>1000000</v>
      </c>
      <c r="N216" s="1">
        <v>2774846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15472782</v>
      </c>
      <c r="W216" s="1">
        <v>4000000</v>
      </c>
      <c r="X216" s="1">
        <v>2354011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2180236</v>
      </c>
      <c r="AF216" s="1">
        <v>3670854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10588352</v>
      </c>
      <c r="AM216" s="1">
        <v>0</v>
      </c>
      <c r="AN216" s="1">
        <v>0</v>
      </c>
      <c r="AO216" s="1">
        <v>79454045</v>
      </c>
      <c r="AP216" s="1">
        <v>31115504</v>
      </c>
      <c r="AQ216" s="1">
        <v>48338541</v>
      </c>
      <c r="AR216" s="1">
        <v>15156638</v>
      </c>
      <c r="AS216" s="1">
        <v>2273496</v>
      </c>
      <c r="AT216" s="3">
        <f t="shared" si="17"/>
        <v>96884179</v>
      </c>
    </row>
    <row r="217" spans="1:46" x14ac:dyDescent="0.2">
      <c r="A217" s="1" t="str">
        <f>"00251"</f>
        <v>00251</v>
      </c>
      <c r="B217" s="1" t="str">
        <f>"قدرت اله"</f>
        <v>قدرت اله</v>
      </c>
      <c r="C217" s="1" t="str">
        <f>"ايازي"</f>
        <v>ايازي</v>
      </c>
      <c r="D217" s="1" t="str">
        <f>"قراردادي کارگري"</f>
        <v>قراردادي کارگري</v>
      </c>
      <c r="E217" s="1" t="str">
        <f>"پروژه تعميرات نيروگاه بوشهر"</f>
        <v>پروژه تعميرات نيروگاه بوشهر</v>
      </c>
      <c r="F217" s="1">
        <v>0</v>
      </c>
      <c r="G217" s="1">
        <v>11537151</v>
      </c>
      <c r="H217" s="1">
        <v>0</v>
      </c>
      <c r="I217" s="1">
        <v>7174990</v>
      </c>
      <c r="J217" s="1">
        <v>0</v>
      </c>
      <c r="K217" s="1">
        <v>0</v>
      </c>
      <c r="L217" s="1">
        <v>11558084</v>
      </c>
      <c r="M217" s="1">
        <v>2000000</v>
      </c>
      <c r="N217" s="1">
        <v>5173029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2640000</v>
      </c>
      <c r="U217" s="1">
        <v>0</v>
      </c>
      <c r="V217" s="1">
        <v>12978829</v>
      </c>
      <c r="W217" s="1">
        <v>4000000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5060229</v>
      </c>
      <c r="AE217" s="1">
        <v>0</v>
      </c>
      <c r="AF217" s="1">
        <v>3670854</v>
      </c>
      <c r="AG217" s="1">
        <v>0</v>
      </c>
      <c r="AH217" s="1">
        <v>0</v>
      </c>
      <c r="AI217" s="1">
        <v>0</v>
      </c>
      <c r="AJ217" s="1">
        <v>8438602</v>
      </c>
      <c r="AK217" s="1">
        <v>0</v>
      </c>
      <c r="AL217" s="1">
        <v>0</v>
      </c>
      <c r="AM217" s="1">
        <v>0</v>
      </c>
      <c r="AN217" s="1">
        <v>0</v>
      </c>
      <c r="AO217" s="1">
        <v>84060523</v>
      </c>
      <c r="AP217" s="1">
        <v>15290201</v>
      </c>
      <c r="AQ217" s="1">
        <v>68770322</v>
      </c>
      <c r="AR217" s="1">
        <v>16077934</v>
      </c>
      <c r="AS217" s="1">
        <v>2411690</v>
      </c>
      <c r="AT217" s="3">
        <f t="shared" si="17"/>
        <v>102550147</v>
      </c>
    </row>
    <row r="218" spans="1:46" x14ac:dyDescent="0.2">
      <c r="A218" s="1" t="str">
        <f>"00252"</f>
        <v>00252</v>
      </c>
      <c r="B218" s="1" t="str">
        <f>"عبدالکريم"</f>
        <v>عبدالکريم</v>
      </c>
      <c r="C218" s="1" t="str">
        <f>"پژمان"</f>
        <v>پژمان</v>
      </c>
      <c r="D218" s="1" t="str">
        <f t="shared" ref="D218:D223" si="20">"قراردادي بهره بردار"</f>
        <v>قراردادي بهره بردار</v>
      </c>
      <c r="E218" s="1" t="str">
        <f t="shared" ref="E218:E223" si="21">"پروژه بهره برداري نيروگاه بوشهر"</f>
        <v>پروژه بهره برداري نيروگاه بوشهر</v>
      </c>
      <c r="F218" s="1">
        <v>30311817</v>
      </c>
      <c r="G218" s="1">
        <v>677210</v>
      </c>
      <c r="H218" s="1">
        <v>0</v>
      </c>
      <c r="I218" s="1">
        <v>32794806</v>
      </c>
      <c r="J218" s="1">
        <v>0</v>
      </c>
      <c r="K218" s="1">
        <v>5500000</v>
      </c>
      <c r="L218" s="1">
        <v>0</v>
      </c>
      <c r="M218" s="1">
        <v>1000000</v>
      </c>
      <c r="N218" s="1">
        <v>4740252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17627208</v>
      </c>
      <c r="W218" s="1">
        <v>4000000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3724484</v>
      </c>
      <c r="AF218" s="1">
        <v>7341708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6771789</v>
      </c>
      <c r="AM218" s="1">
        <v>0</v>
      </c>
      <c r="AN218" s="1">
        <v>0</v>
      </c>
      <c r="AO218" s="1">
        <v>114489274</v>
      </c>
      <c r="AP218" s="1">
        <v>52565953</v>
      </c>
      <c r="AQ218" s="1">
        <v>61923321</v>
      </c>
      <c r="AR218" s="1">
        <v>21429513</v>
      </c>
      <c r="AS218" s="1">
        <v>3214427</v>
      </c>
      <c r="AT218" s="3">
        <f t="shared" si="17"/>
        <v>139133214</v>
      </c>
    </row>
    <row r="219" spans="1:46" x14ac:dyDescent="0.2">
      <c r="A219" s="1" t="str">
        <f>"00254"</f>
        <v>00254</v>
      </c>
      <c r="B219" s="1" t="str">
        <f>"سيداصغر"</f>
        <v>سيداصغر</v>
      </c>
      <c r="C219" s="1" t="str">
        <f>"هاشمي"</f>
        <v>هاشمي</v>
      </c>
      <c r="D219" s="1" t="str">
        <f t="shared" si="20"/>
        <v>قراردادي بهره بردار</v>
      </c>
      <c r="E219" s="1" t="str">
        <f t="shared" si="21"/>
        <v>پروژه بهره برداري نيروگاه بوشهر</v>
      </c>
      <c r="F219" s="1">
        <v>15579145</v>
      </c>
      <c r="G219" s="1">
        <v>4432480</v>
      </c>
      <c r="H219" s="1">
        <v>0</v>
      </c>
      <c r="I219" s="1">
        <v>11975500</v>
      </c>
      <c r="J219" s="1">
        <v>0</v>
      </c>
      <c r="K219" s="1">
        <v>4620000</v>
      </c>
      <c r="L219" s="1">
        <v>0</v>
      </c>
      <c r="M219" s="1">
        <v>1000000</v>
      </c>
      <c r="N219" s="1">
        <v>2551765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19344279</v>
      </c>
      <c r="W219" s="1">
        <v>4000000</v>
      </c>
      <c r="X219" s="1">
        <v>2261489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2004958</v>
      </c>
      <c r="AF219" s="1">
        <v>3670854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11358920</v>
      </c>
      <c r="AM219" s="1">
        <v>0</v>
      </c>
      <c r="AN219" s="1">
        <v>0</v>
      </c>
      <c r="AO219" s="1">
        <v>82799390</v>
      </c>
      <c r="AP219" s="1">
        <v>45480067</v>
      </c>
      <c r="AQ219" s="1">
        <v>37319323</v>
      </c>
      <c r="AR219" s="1">
        <v>15825707</v>
      </c>
      <c r="AS219" s="1">
        <v>2373856</v>
      </c>
      <c r="AT219" s="3">
        <f t="shared" si="17"/>
        <v>100998953</v>
      </c>
    </row>
    <row r="220" spans="1:46" x14ac:dyDescent="0.2">
      <c r="A220" s="1" t="str">
        <f>"00255"</f>
        <v>00255</v>
      </c>
      <c r="B220" s="1" t="str">
        <f>"مرتضي"</f>
        <v>مرتضي</v>
      </c>
      <c r="C220" s="1" t="str">
        <f>"بشار"</f>
        <v>بشار</v>
      </c>
      <c r="D220" s="1" t="str">
        <f t="shared" si="20"/>
        <v>قراردادي بهره بردار</v>
      </c>
      <c r="E220" s="1" t="str">
        <f t="shared" si="21"/>
        <v>پروژه بهره برداري نيروگاه بوشهر</v>
      </c>
      <c r="F220" s="1">
        <v>16360118</v>
      </c>
      <c r="G220" s="1">
        <v>4204131</v>
      </c>
      <c r="H220" s="1">
        <v>0</v>
      </c>
      <c r="I220" s="1">
        <v>12646845</v>
      </c>
      <c r="J220" s="1">
        <v>0</v>
      </c>
      <c r="K220" s="1">
        <v>4620000</v>
      </c>
      <c r="L220" s="1">
        <v>0</v>
      </c>
      <c r="M220" s="1">
        <v>1000000</v>
      </c>
      <c r="N220" s="1">
        <v>2825105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20386354</v>
      </c>
      <c r="W220" s="1">
        <v>4000000</v>
      </c>
      <c r="X220" s="1">
        <v>2374856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2219726</v>
      </c>
      <c r="AF220" s="1">
        <v>3670854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11760240</v>
      </c>
      <c r="AM220" s="1">
        <v>0</v>
      </c>
      <c r="AN220" s="1">
        <v>0</v>
      </c>
      <c r="AO220" s="1">
        <v>86068229</v>
      </c>
      <c r="AP220" s="1">
        <v>31295042</v>
      </c>
      <c r="AQ220" s="1">
        <v>54773187</v>
      </c>
      <c r="AR220" s="1">
        <v>16479475</v>
      </c>
      <c r="AS220" s="1">
        <v>2471921</v>
      </c>
      <c r="AT220" s="3">
        <f t="shared" si="17"/>
        <v>105019625</v>
      </c>
    </row>
    <row r="221" spans="1:46" x14ac:dyDescent="0.2">
      <c r="A221" s="1" t="str">
        <f>"00256"</f>
        <v>00256</v>
      </c>
      <c r="B221" s="1" t="str">
        <f>"اكبر"</f>
        <v>اكبر</v>
      </c>
      <c r="C221" s="1" t="str">
        <f>"كازروني زاده"</f>
        <v>كازروني زاده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15659762</v>
      </c>
      <c r="G221" s="1">
        <v>4460052</v>
      </c>
      <c r="H221" s="1">
        <v>0</v>
      </c>
      <c r="I221" s="1">
        <v>12054547</v>
      </c>
      <c r="J221" s="1">
        <v>0</v>
      </c>
      <c r="K221" s="1">
        <v>4620000</v>
      </c>
      <c r="L221" s="1">
        <v>0</v>
      </c>
      <c r="M221" s="1">
        <v>1000000</v>
      </c>
      <c r="N221" s="1">
        <v>2579981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19464612</v>
      </c>
      <c r="W221" s="1">
        <v>4000000</v>
      </c>
      <c r="X221" s="1">
        <v>2273191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2027128</v>
      </c>
      <c r="AF221" s="1">
        <v>1835427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11419282</v>
      </c>
      <c r="AM221" s="1">
        <v>0</v>
      </c>
      <c r="AN221" s="1">
        <v>0</v>
      </c>
      <c r="AO221" s="1">
        <v>81393982</v>
      </c>
      <c r="AP221" s="1">
        <v>26330152</v>
      </c>
      <c r="AQ221" s="1">
        <v>55063830</v>
      </c>
      <c r="AR221" s="1">
        <v>15911711</v>
      </c>
      <c r="AS221" s="1">
        <v>2386757</v>
      </c>
      <c r="AT221" s="3">
        <f t="shared" si="17"/>
        <v>99692450</v>
      </c>
    </row>
    <row r="222" spans="1:46" x14ac:dyDescent="0.2">
      <c r="A222" s="1" t="str">
        <f>"00257"</f>
        <v>00257</v>
      </c>
      <c r="B222" s="1" t="str">
        <f>"سيدابراهيم"</f>
        <v>سيدابراهيم</v>
      </c>
      <c r="C222" s="1" t="str">
        <f>"طباطبايي"</f>
        <v>طباطبايي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29488016</v>
      </c>
      <c r="G222" s="1">
        <v>3283988</v>
      </c>
      <c r="H222" s="1">
        <v>0</v>
      </c>
      <c r="I222" s="1">
        <v>31547966</v>
      </c>
      <c r="J222" s="1">
        <v>0</v>
      </c>
      <c r="K222" s="1">
        <v>5500000</v>
      </c>
      <c r="L222" s="1">
        <v>0</v>
      </c>
      <c r="M222" s="1">
        <v>1000000</v>
      </c>
      <c r="N222" s="1">
        <v>4451922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17095887</v>
      </c>
      <c r="W222" s="1">
        <v>4000000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3497939</v>
      </c>
      <c r="AF222" s="1">
        <v>3670854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6995877</v>
      </c>
      <c r="AM222" s="1">
        <v>0</v>
      </c>
      <c r="AN222" s="1">
        <v>0</v>
      </c>
      <c r="AO222" s="1">
        <v>110532449</v>
      </c>
      <c r="AP222" s="1">
        <v>54142695</v>
      </c>
      <c r="AQ222" s="1">
        <v>56389754</v>
      </c>
      <c r="AR222" s="1">
        <v>21372319</v>
      </c>
      <c r="AS222" s="1">
        <v>3205848</v>
      </c>
      <c r="AT222" s="3">
        <f t="shared" si="17"/>
        <v>135110616</v>
      </c>
    </row>
    <row r="223" spans="1:46" x14ac:dyDescent="0.2">
      <c r="A223" s="1" t="str">
        <f>"00259"</f>
        <v>00259</v>
      </c>
      <c r="B223" s="1" t="str">
        <f>"حسنعلي"</f>
        <v>حسنعلي</v>
      </c>
      <c r="C223" s="1" t="str">
        <f>"لهسائي"</f>
        <v>لهسائي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44333286</v>
      </c>
      <c r="G223" s="1">
        <v>17674386</v>
      </c>
      <c r="H223" s="1">
        <v>0</v>
      </c>
      <c r="I223" s="1">
        <v>45857058</v>
      </c>
      <c r="J223" s="1">
        <v>0</v>
      </c>
      <c r="K223" s="1">
        <v>5500000</v>
      </c>
      <c r="L223" s="1">
        <v>0</v>
      </c>
      <c r="M223" s="1">
        <v>1000000</v>
      </c>
      <c r="N223" s="1">
        <v>6803763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22877035</v>
      </c>
      <c r="W223" s="1">
        <v>8200000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5960623</v>
      </c>
      <c r="AF223" s="1">
        <v>4945038</v>
      </c>
      <c r="AG223" s="1">
        <v>1270587</v>
      </c>
      <c r="AH223" s="1">
        <v>0</v>
      </c>
      <c r="AI223" s="1">
        <v>0</v>
      </c>
      <c r="AJ223" s="1">
        <v>0</v>
      </c>
      <c r="AK223" s="1">
        <v>0</v>
      </c>
      <c r="AL223" s="1">
        <v>8747696</v>
      </c>
      <c r="AM223" s="1">
        <v>0</v>
      </c>
      <c r="AN223" s="1">
        <v>0</v>
      </c>
      <c r="AO223" s="1">
        <v>173169472</v>
      </c>
      <c r="AP223" s="1">
        <v>64477985</v>
      </c>
      <c r="AQ223" s="1">
        <v>108691487</v>
      </c>
      <c r="AR223" s="1">
        <v>33644887</v>
      </c>
      <c r="AS223" s="1">
        <v>5046734</v>
      </c>
      <c r="AT223" s="3">
        <f t="shared" si="17"/>
        <v>211861093</v>
      </c>
    </row>
    <row r="224" spans="1:46" x14ac:dyDescent="0.2">
      <c r="A224" s="1" t="str">
        <f>"00260"</f>
        <v>00260</v>
      </c>
      <c r="B224" s="1" t="str">
        <f>"بهروز"</f>
        <v>بهروز</v>
      </c>
      <c r="C224" s="1" t="str">
        <f>"مرادي"</f>
        <v>مرادي</v>
      </c>
      <c r="D224" s="1" t="str">
        <f>"قراردادي کارگري"</f>
        <v>قراردادي کارگري</v>
      </c>
      <c r="E224" s="1" t="str">
        <f>"پروژه تعميرات نيروگاه بوشهر"</f>
        <v>پروژه تعميرات نيروگاه بوشهر</v>
      </c>
      <c r="F224" s="1">
        <v>0</v>
      </c>
      <c r="G224" s="1">
        <v>6921400</v>
      </c>
      <c r="H224" s="1">
        <v>0</v>
      </c>
      <c r="I224" s="1">
        <v>10007213</v>
      </c>
      <c r="J224" s="1">
        <v>0</v>
      </c>
      <c r="K224" s="1">
        <v>0</v>
      </c>
      <c r="L224" s="1">
        <v>11331151</v>
      </c>
      <c r="M224" s="1">
        <v>2000000</v>
      </c>
      <c r="N224" s="1">
        <v>6353787</v>
      </c>
      <c r="O224" s="1">
        <v>0</v>
      </c>
      <c r="P224" s="1">
        <v>0</v>
      </c>
      <c r="Q224" s="1">
        <v>0</v>
      </c>
      <c r="R224" s="1">
        <v>754178</v>
      </c>
      <c r="S224" s="1">
        <v>0</v>
      </c>
      <c r="T224" s="1">
        <v>2640000</v>
      </c>
      <c r="U224" s="1">
        <v>0</v>
      </c>
      <c r="V224" s="1">
        <v>14886788</v>
      </c>
      <c r="W224" s="1">
        <v>4000000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70807867</v>
      </c>
      <c r="AP224" s="1">
        <v>10473552</v>
      </c>
      <c r="AQ224" s="1">
        <v>60334315</v>
      </c>
      <c r="AR224" s="1">
        <v>14010738</v>
      </c>
      <c r="AS224" s="1">
        <v>2101611</v>
      </c>
      <c r="AT224" s="3">
        <f t="shared" si="17"/>
        <v>86920216</v>
      </c>
    </row>
    <row r="225" spans="1:46" x14ac:dyDescent="0.2">
      <c r="A225" s="1" t="str">
        <f>"00261"</f>
        <v>00261</v>
      </c>
      <c r="B225" s="1" t="str">
        <f>"محسن"</f>
        <v>محسن</v>
      </c>
      <c r="C225" s="1" t="str">
        <f>"زاهدي كللي"</f>
        <v>زاهدي كللي</v>
      </c>
      <c r="D225" s="1" t="str">
        <f>"قراردادي کارگري"</f>
        <v>قراردادي کارگري</v>
      </c>
      <c r="E225" s="1" t="str">
        <f>"پروژه تعميرات نيروگاه بوشهر"</f>
        <v>پروژه تعميرات نيروگاه بوشهر</v>
      </c>
      <c r="F225" s="1">
        <v>0</v>
      </c>
      <c r="G225" s="1">
        <v>8206376</v>
      </c>
      <c r="H225" s="1">
        <v>0</v>
      </c>
      <c r="I225" s="1">
        <v>7194058</v>
      </c>
      <c r="J225" s="1">
        <v>0</v>
      </c>
      <c r="K225" s="1">
        <v>0</v>
      </c>
      <c r="L225" s="1">
        <v>11521166</v>
      </c>
      <c r="M225" s="1">
        <v>2000000</v>
      </c>
      <c r="N225" s="1">
        <v>5150569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2640000</v>
      </c>
      <c r="U225" s="1">
        <v>0</v>
      </c>
      <c r="V225" s="1">
        <v>12930936</v>
      </c>
      <c r="W225" s="1">
        <v>4000000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5506281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68871086</v>
      </c>
      <c r="AP225" s="1">
        <v>10517091</v>
      </c>
      <c r="AQ225" s="1">
        <v>58353995</v>
      </c>
      <c r="AR225" s="1">
        <v>12672961</v>
      </c>
      <c r="AS225" s="1">
        <v>1900944</v>
      </c>
      <c r="AT225" s="3">
        <f t="shared" si="17"/>
        <v>83444991</v>
      </c>
    </row>
    <row r="226" spans="1:46" x14ac:dyDescent="0.2">
      <c r="A226" s="1" t="str">
        <f>"00262"</f>
        <v>00262</v>
      </c>
      <c r="B226" s="1" t="str">
        <f>"غلامرضا"</f>
        <v>غلامرضا</v>
      </c>
      <c r="C226" s="1" t="str">
        <f>"حيدري"</f>
        <v>حيدري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0</v>
      </c>
      <c r="G226" s="1">
        <v>303683</v>
      </c>
      <c r="H226" s="1">
        <v>0</v>
      </c>
      <c r="I226" s="1">
        <v>6347014</v>
      </c>
      <c r="J226" s="1">
        <v>0</v>
      </c>
      <c r="K226" s="1">
        <v>0</v>
      </c>
      <c r="L226" s="1">
        <v>11521166</v>
      </c>
      <c r="M226" s="1">
        <v>2000000</v>
      </c>
      <c r="N226" s="1">
        <v>4514234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2640000</v>
      </c>
      <c r="U226" s="1">
        <v>0</v>
      </c>
      <c r="V226" s="1">
        <v>12076825</v>
      </c>
      <c r="W226" s="1">
        <v>4000000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3670854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55650822</v>
      </c>
      <c r="AP226" s="1">
        <v>20655315</v>
      </c>
      <c r="AQ226" s="1">
        <v>34995507</v>
      </c>
      <c r="AR226" s="1">
        <v>10395994</v>
      </c>
      <c r="AS226" s="1">
        <v>1559399</v>
      </c>
      <c r="AT226" s="3">
        <f t="shared" si="17"/>
        <v>67606215</v>
      </c>
    </row>
    <row r="227" spans="1:46" x14ac:dyDescent="0.2">
      <c r="A227" s="1" t="str">
        <f>"00263"</f>
        <v>00263</v>
      </c>
      <c r="B227" s="1" t="str">
        <f>"محمدمهدي"</f>
        <v>محمدمهدي</v>
      </c>
      <c r="C227" s="1" t="str">
        <f>"لشكرشكن"</f>
        <v>لشكرشكن</v>
      </c>
      <c r="D227" s="1" t="str">
        <f>"قراردادي بهره بردار"</f>
        <v>قراردادي بهره بردار</v>
      </c>
      <c r="E227" s="1" t="str">
        <f>"پروژه بهره برداري نيروگاه بوشهر"</f>
        <v>پروژه بهره برداري نيروگاه بوشهر</v>
      </c>
      <c r="F227" s="1">
        <v>17879236</v>
      </c>
      <c r="G227" s="1">
        <v>18937829</v>
      </c>
      <c r="H227" s="1">
        <v>0</v>
      </c>
      <c r="I227" s="1">
        <v>15723011</v>
      </c>
      <c r="J227" s="1">
        <v>0</v>
      </c>
      <c r="K227" s="1">
        <v>4620000</v>
      </c>
      <c r="L227" s="1">
        <v>0</v>
      </c>
      <c r="M227" s="1">
        <v>1000000</v>
      </c>
      <c r="N227" s="1">
        <v>3356797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16880527</v>
      </c>
      <c r="W227" s="1">
        <v>4000000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2637483</v>
      </c>
      <c r="AF227" s="1">
        <v>3670854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8980531</v>
      </c>
      <c r="AM227" s="1">
        <v>0</v>
      </c>
      <c r="AN227" s="1">
        <v>0</v>
      </c>
      <c r="AO227" s="1">
        <v>97686268</v>
      </c>
      <c r="AP227" s="1">
        <v>36936923</v>
      </c>
      <c r="AQ227" s="1">
        <v>60749345</v>
      </c>
      <c r="AR227" s="1">
        <v>18803083</v>
      </c>
      <c r="AS227" s="1">
        <v>2820462</v>
      </c>
      <c r="AT227" s="3">
        <f t="shared" si="17"/>
        <v>119309813</v>
      </c>
    </row>
    <row r="228" spans="1:46" x14ac:dyDescent="0.2">
      <c r="A228" s="1" t="str">
        <f>"00264"</f>
        <v>00264</v>
      </c>
      <c r="B228" s="1" t="str">
        <f>"اكبر"</f>
        <v>اكبر</v>
      </c>
      <c r="C228" s="1" t="str">
        <f>"ملكي"</f>
        <v>ملكي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0</v>
      </c>
      <c r="G228" s="1">
        <v>2414288</v>
      </c>
      <c r="H228" s="1">
        <v>0</v>
      </c>
      <c r="I228" s="1">
        <v>7774393</v>
      </c>
      <c r="J228" s="1">
        <v>0</v>
      </c>
      <c r="K228" s="1">
        <v>0</v>
      </c>
      <c r="L228" s="1">
        <v>11521166</v>
      </c>
      <c r="M228" s="1">
        <v>2000000</v>
      </c>
      <c r="N228" s="1">
        <v>5566059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2640000</v>
      </c>
      <c r="U228" s="1">
        <v>0</v>
      </c>
      <c r="V228" s="1">
        <v>13509455</v>
      </c>
      <c r="W228" s="1">
        <v>4000000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3670854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63602151</v>
      </c>
      <c r="AP228" s="1">
        <v>10266321</v>
      </c>
      <c r="AQ228" s="1">
        <v>53335830</v>
      </c>
      <c r="AR228" s="1">
        <v>11986259</v>
      </c>
      <c r="AS228" s="1">
        <v>1797939</v>
      </c>
      <c r="AT228" s="3">
        <f t="shared" si="17"/>
        <v>77386349</v>
      </c>
    </row>
    <row r="229" spans="1:46" x14ac:dyDescent="0.2">
      <c r="A229" s="1" t="str">
        <f>"00265"</f>
        <v>00265</v>
      </c>
      <c r="B229" s="1" t="str">
        <f>"مهتاب"</f>
        <v>مهتاب</v>
      </c>
      <c r="C229" s="1" t="str">
        <f>"همتي قلائي"</f>
        <v>همتي قلائي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0</v>
      </c>
      <c r="G229" s="1">
        <v>6951646</v>
      </c>
      <c r="H229" s="1">
        <v>0</v>
      </c>
      <c r="I229" s="1">
        <v>7680285</v>
      </c>
      <c r="J229" s="1">
        <v>0</v>
      </c>
      <c r="K229" s="1">
        <v>0</v>
      </c>
      <c r="L229" s="1">
        <v>11521166</v>
      </c>
      <c r="M229" s="1">
        <v>2000000</v>
      </c>
      <c r="N229" s="1">
        <v>5498683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2640000</v>
      </c>
      <c r="U229" s="1">
        <v>0</v>
      </c>
      <c r="V229" s="1">
        <v>9700541</v>
      </c>
      <c r="W229" s="1">
        <v>4000000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60371084</v>
      </c>
      <c r="AP229" s="1">
        <v>6373486</v>
      </c>
      <c r="AQ229" s="1">
        <v>53997598</v>
      </c>
      <c r="AR229" s="1">
        <v>12074217</v>
      </c>
      <c r="AS229" s="1">
        <v>1811133</v>
      </c>
      <c r="AT229" s="3">
        <f t="shared" si="17"/>
        <v>74256434</v>
      </c>
    </row>
    <row r="230" spans="1:46" x14ac:dyDescent="0.2">
      <c r="A230" s="1" t="str">
        <f>"00266"</f>
        <v>00266</v>
      </c>
      <c r="B230" s="1" t="str">
        <f>"سيداسماعيل"</f>
        <v>سيداسماعيل</v>
      </c>
      <c r="C230" s="1" t="str">
        <f>"هاشمي"</f>
        <v>هاشمي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0</v>
      </c>
      <c r="G230" s="1">
        <v>0</v>
      </c>
      <c r="H230" s="1">
        <v>0</v>
      </c>
      <c r="I230" s="1">
        <v>7382275</v>
      </c>
      <c r="J230" s="1">
        <v>0</v>
      </c>
      <c r="K230" s="1">
        <v>0</v>
      </c>
      <c r="L230" s="1">
        <v>11521166</v>
      </c>
      <c r="M230" s="1">
        <v>2000000</v>
      </c>
      <c r="N230" s="1">
        <v>5285323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2640000</v>
      </c>
      <c r="U230" s="1">
        <v>0</v>
      </c>
      <c r="V230" s="1">
        <v>14127684</v>
      </c>
      <c r="W230" s="1">
        <v>4000000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1835427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58767922</v>
      </c>
      <c r="AP230" s="1">
        <v>24233110</v>
      </c>
      <c r="AQ230" s="1">
        <v>34534812</v>
      </c>
      <c r="AR230" s="1">
        <v>11386499</v>
      </c>
      <c r="AS230" s="1">
        <v>1707975</v>
      </c>
      <c r="AT230" s="3">
        <f t="shared" si="17"/>
        <v>71862396</v>
      </c>
    </row>
    <row r="231" spans="1:46" x14ac:dyDescent="0.2">
      <c r="A231" s="1" t="str">
        <f>"00267"</f>
        <v>00267</v>
      </c>
      <c r="B231" s="1" t="str">
        <f>"محمد"</f>
        <v>محمد</v>
      </c>
      <c r="C231" s="1" t="str">
        <f>"دهقاني"</f>
        <v>دهقاني</v>
      </c>
      <c r="D231" s="1" t="str">
        <f>"قراردادي بهره بردار"</f>
        <v>قراردادي بهره بردار</v>
      </c>
      <c r="E231" s="1" t="str">
        <f>"پروژه تعميرات نيروگاه بوشهر"</f>
        <v>پروژه تعميرات نيروگاه بوشهر</v>
      </c>
      <c r="F231" s="1">
        <v>18284837</v>
      </c>
      <c r="G231" s="1">
        <v>0</v>
      </c>
      <c r="H231" s="1">
        <v>0</v>
      </c>
      <c r="I231" s="1">
        <v>15771891</v>
      </c>
      <c r="J231" s="1">
        <v>0</v>
      </c>
      <c r="K231" s="1">
        <v>3465000</v>
      </c>
      <c r="L231" s="1">
        <v>0</v>
      </c>
      <c r="M231" s="1">
        <v>1000000</v>
      </c>
      <c r="N231" s="1">
        <v>3498757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14830567</v>
      </c>
      <c r="W231" s="1">
        <v>4000000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2749024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7153307</v>
      </c>
      <c r="AM231" s="1">
        <v>0</v>
      </c>
      <c r="AN231" s="1">
        <v>0</v>
      </c>
      <c r="AO231" s="1">
        <v>70753383</v>
      </c>
      <c r="AP231" s="1">
        <v>29550908</v>
      </c>
      <c r="AQ231" s="1">
        <v>41202475</v>
      </c>
      <c r="AR231" s="1">
        <v>14150677</v>
      </c>
      <c r="AS231" s="1">
        <v>2122601</v>
      </c>
      <c r="AT231" s="3">
        <f t="shared" si="17"/>
        <v>87026661</v>
      </c>
    </row>
    <row r="232" spans="1:46" x14ac:dyDescent="0.2">
      <c r="A232" s="1" t="str">
        <f>"00270"</f>
        <v>00270</v>
      </c>
      <c r="B232" s="1" t="str">
        <f>"امين"</f>
        <v>امين</v>
      </c>
      <c r="C232" s="1" t="str">
        <f>"آژده"</f>
        <v>آژده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0</v>
      </c>
      <c r="G232" s="1">
        <v>3126466</v>
      </c>
      <c r="H232" s="1">
        <v>0</v>
      </c>
      <c r="I232" s="1">
        <v>6594488</v>
      </c>
      <c r="J232" s="1">
        <v>0</v>
      </c>
      <c r="K232" s="1">
        <v>0</v>
      </c>
      <c r="L232" s="1">
        <v>11521166</v>
      </c>
      <c r="M232" s="1">
        <v>2000000</v>
      </c>
      <c r="N232" s="1">
        <v>4884806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2640000</v>
      </c>
      <c r="U232" s="1">
        <v>0</v>
      </c>
      <c r="V232" s="1">
        <v>17069965</v>
      </c>
      <c r="W232" s="1">
        <v>4000000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4823921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6669795</v>
      </c>
      <c r="AK232" s="1">
        <v>0</v>
      </c>
      <c r="AL232" s="1">
        <v>0</v>
      </c>
      <c r="AM232" s="1">
        <v>0</v>
      </c>
      <c r="AN232" s="1">
        <v>0</v>
      </c>
      <c r="AO232" s="1">
        <v>72489619</v>
      </c>
      <c r="AP232" s="1">
        <v>11384208</v>
      </c>
      <c r="AQ232" s="1">
        <v>61105411</v>
      </c>
      <c r="AR232" s="1">
        <v>14497924</v>
      </c>
      <c r="AS232" s="1">
        <v>2174689</v>
      </c>
      <c r="AT232" s="3">
        <f t="shared" si="17"/>
        <v>89162232</v>
      </c>
    </row>
    <row r="233" spans="1:46" x14ac:dyDescent="0.2">
      <c r="A233" s="1" t="str">
        <f>"00271"</f>
        <v>00271</v>
      </c>
      <c r="B233" s="1" t="str">
        <f>"احمد"</f>
        <v>احمد</v>
      </c>
      <c r="C233" s="1" t="str">
        <f>"منصورنژاد"</f>
        <v>منصورنژاد</v>
      </c>
      <c r="D233" s="1" t="str">
        <f>"قراردادي بهره بردار"</f>
        <v>قراردادي بهره بردار</v>
      </c>
      <c r="E233" s="1" t="str">
        <f>"پروژه بهره برداري نيروگاه بوشهر"</f>
        <v>پروژه بهره برداري نيروگاه بوشهر</v>
      </c>
      <c r="F233" s="1">
        <v>16350041</v>
      </c>
      <c r="G233" s="1">
        <v>10905315</v>
      </c>
      <c r="H233" s="1">
        <v>0</v>
      </c>
      <c r="I233" s="1">
        <v>12041024</v>
      </c>
      <c r="J233" s="1">
        <v>0</v>
      </c>
      <c r="K233" s="1">
        <v>4620000</v>
      </c>
      <c r="L233" s="1">
        <v>0</v>
      </c>
      <c r="M233" s="1">
        <v>1000000</v>
      </c>
      <c r="N233" s="1">
        <v>2821579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15328672</v>
      </c>
      <c r="W233" s="1">
        <v>4000000</v>
      </c>
      <c r="X233" s="1">
        <v>2373393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2216955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10681691</v>
      </c>
      <c r="AM233" s="1">
        <v>0</v>
      </c>
      <c r="AN233" s="1">
        <v>0</v>
      </c>
      <c r="AO233" s="1">
        <v>82338670</v>
      </c>
      <c r="AP233" s="1">
        <v>29330050</v>
      </c>
      <c r="AQ233" s="1">
        <v>53008620</v>
      </c>
      <c r="AR233" s="1">
        <v>16467734</v>
      </c>
      <c r="AS233" s="1">
        <v>2470160</v>
      </c>
      <c r="AT233" s="3">
        <f t="shared" si="17"/>
        <v>101276564</v>
      </c>
    </row>
    <row r="234" spans="1:46" x14ac:dyDescent="0.2">
      <c r="A234" s="1" t="str">
        <f>"00272"</f>
        <v>00272</v>
      </c>
      <c r="B234" s="1" t="str">
        <f>"هادي"</f>
        <v>هادي</v>
      </c>
      <c r="C234" s="1" t="str">
        <f>"سليماني"</f>
        <v>سليماني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0</v>
      </c>
      <c r="G234" s="1">
        <v>2832712</v>
      </c>
      <c r="H234" s="1">
        <v>0</v>
      </c>
      <c r="I234" s="1">
        <v>6478514</v>
      </c>
      <c r="J234" s="1">
        <v>0</v>
      </c>
      <c r="K234" s="1">
        <v>0</v>
      </c>
      <c r="L234" s="1">
        <v>11521166</v>
      </c>
      <c r="M234" s="1">
        <v>2000000</v>
      </c>
      <c r="N234" s="1">
        <v>4802457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2640000</v>
      </c>
      <c r="U234" s="1">
        <v>0</v>
      </c>
      <c r="V234" s="1">
        <v>12677163</v>
      </c>
      <c r="W234" s="1">
        <v>4000000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4789021</v>
      </c>
      <c r="AE234" s="1">
        <v>0</v>
      </c>
      <c r="AF234" s="1">
        <v>1835427</v>
      </c>
      <c r="AG234" s="1">
        <v>0</v>
      </c>
      <c r="AH234" s="1">
        <v>0</v>
      </c>
      <c r="AI234" s="1">
        <v>0</v>
      </c>
      <c r="AJ234" s="1">
        <v>4028745</v>
      </c>
      <c r="AK234" s="1">
        <v>0</v>
      </c>
      <c r="AL234" s="1">
        <v>0</v>
      </c>
      <c r="AM234" s="1">
        <v>0</v>
      </c>
      <c r="AN234" s="1">
        <v>0</v>
      </c>
      <c r="AO234" s="1">
        <v>66729873</v>
      </c>
      <c r="AP234" s="1">
        <v>9967337</v>
      </c>
      <c r="AQ234" s="1">
        <v>56762536</v>
      </c>
      <c r="AR234" s="1">
        <v>12978889</v>
      </c>
      <c r="AS234" s="1">
        <v>1946833</v>
      </c>
      <c r="AT234" s="3">
        <f t="shared" si="17"/>
        <v>81655595</v>
      </c>
    </row>
    <row r="235" spans="1:46" x14ac:dyDescent="0.2">
      <c r="A235" s="1" t="str">
        <f>"00273"</f>
        <v>00273</v>
      </c>
      <c r="B235" s="1" t="str">
        <f>"عليرضا"</f>
        <v>عليرضا</v>
      </c>
      <c r="C235" s="1" t="str">
        <f>"امام دادي"</f>
        <v>امام دادي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23393910</v>
      </c>
      <c r="G235" s="1">
        <v>0</v>
      </c>
      <c r="H235" s="1">
        <v>0</v>
      </c>
      <c r="I235" s="1">
        <v>21650225</v>
      </c>
      <c r="J235" s="1">
        <v>0</v>
      </c>
      <c r="K235" s="1">
        <v>5500000</v>
      </c>
      <c r="L235" s="1">
        <v>0</v>
      </c>
      <c r="M235" s="1">
        <v>1000000</v>
      </c>
      <c r="N235" s="1">
        <v>4876922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13339816</v>
      </c>
      <c r="W235" s="1">
        <v>4000000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3831868</v>
      </c>
      <c r="AF235" s="1">
        <v>3670854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5535144</v>
      </c>
      <c r="AM235" s="1">
        <v>0</v>
      </c>
      <c r="AN235" s="1">
        <v>0</v>
      </c>
      <c r="AO235" s="1">
        <v>86798739</v>
      </c>
      <c r="AP235" s="1">
        <v>46033782</v>
      </c>
      <c r="AQ235" s="1">
        <v>40764957</v>
      </c>
      <c r="AR235" s="1">
        <v>16625577</v>
      </c>
      <c r="AS235" s="1">
        <v>2493837</v>
      </c>
      <c r="AT235" s="3">
        <f t="shared" si="17"/>
        <v>105918153</v>
      </c>
    </row>
    <row r="236" spans="1:46" x14ac:dyDescent="0.2">
      <c r="A236" s="1" t="str">
        <f>"00276"</f>
        <v>00276</v>
      </c>
      <c r="B236" s="1" t="str">
        <f>"هوشنگ"</f>
        <v>هوشنگ</v>
      </c>
      <c r="C236" s="1" t="str">
        <f>"جوکار"</f>
        <v>جوکار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17508903</v>
      </c>
      <c r="G236" s="1">
        <v>16447269</v>
      </c>
      <c r="H236" s="1">
        <v>0</v>
      </c>
      <c r="I236" s="1">
        <v>18281311</v>
      </c>
      <c r="J236" s="1">
        <v>0</v>
      </c>
      <c r="K236" s="1">
        <v>0</v>
      </c>
      <c r="L236" s="1">
        <v>0</v>
      </c>
      <c r="M236" s="1">
        <v>1000000</v>
      </c>
      <c r="N236" s="1">
        <v>3456434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4815729</v>
      </c>
      <c r="W236" s="1">
        <v>4000000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2715769</v>
      </c>
      <c r="AF236" s="1">
        <v>3670854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6194877</v>
      </c>
      <c r="AM236" s="1">
        <v>0</v>
      </c>
      <c r="AN236" s="1">
        <v>0</v>
      </c>
      <c r="AO236" s="1">
        <v>78091146</v>
      </c>
      <c r="AP236" s="1">
        <v>20050206</v>
      </c>
      <c r="AQ236" s="1">
        <v>58040940</v>
      </c>
      <c r="AR236" s="1">
        <v>14884058</v>
      </c>
      <c r="AS236" s="1">
        <v>2232609</v>
      </c>
      <c r="AT236" s="3">
        <f t="shared" si="17"/>
        <v>95207813</v>
      </c>
    </row>
    <row r="237" spans="1:46" x14ac:dyDescent="0.2">
      <c r="A237" s="1" t="str">
        <f>"00277"</f>
        <v>00277</v>
      </c>
      <c r="B237" s="1" t="str">
        <f>"سيدآقارضا"</f>
        <v>سيدآقارضا</v>
      </c>
      <c r="C237" s="1" t="str">
        <f>"كسائي"</f>
        <v>كسائي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33891694</v>
      </c>
      <c r="G237" s="1">
        <v>18845025</v>
      </c>
      <c r="H237" s="1">
        <v>0</v>
      </c>
      <c r="I237" s="1">
        <v>38104547</v>
      </c>
      <c r="J237" s="1">
        <v>0</v>
      </c>
      <c r="K237" s="1">
        <v>5500000</v>
      </c>
      <c r="L237" s="1">
        <v>0</v>
      </c>
      <c r="M237" s="1">
        <v>1000000</v>
      </c>
      <c r="N237" s="1">
        <v>5679309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26923369</v>
      </c>
      <c r="W237" s="1">
        <v>4000000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3892267</v>
      </c>
      <c r="AD237" s="1">
        <v>0</v>
      </c>
      <c r="AE237" s="1">
        <v>4462314</v>
      </c>
      <c r="AF237" s="1">
        <v>1835427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8437830</v>
      </c>
      <c r="AM237" s="1">
        <v>0</v>
      </c>
      <c r="AN237" s="1">
        <v>0</v>
      </c>
      <c r="AO237" s="1">
        <v>152571782</v>
      </c>
      <c r="AP237" s="1">
        <v>56584773</v>
      </c>
      <c r="AQ237" s="1">
        <v>95987009</v>
      </c>
      <c r="AR237" s="1">
        <v>26552511</v>
      </c>
      <c r="AS237" s="1">
        <v>3982877</v>
      </c>
      <c r="AT237" s="3">
        <f t="shared" si="17"/>
        <v>183107170</v>
      </c>
    </row>
    <row r="238" spans="1:46" x14ac:dyDescent="0.2">
      <c r="A238" s="1" t="str">
        <f>"00279"</f>
        <v>00279</v>
      </c>
      <c r="B238" s="1" t="str">
        <f>"صابر"</f>
        <v>صابر</v>
      </c>
      <c r="C238" s="1" t="str">
        <f>"عليزاده مروانکندي"</f>
        <v>عليزاده مروانکندي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31395101</v>
      </c>
      <c r="G238" s="1">
        <v>12953401</v>
      </c>
      <c r="H238" s="1">
        <v>0</v>
      </c>
      <c r="I238" s="1">
        <v>33522997</v>
      </c>
      <c r="J238" s="1">
        <v>0</v>
      </c>
      <c r="K238" s="1">
        <v>5500000</v>
      </c>
      <c r="L238" s="1">
        <v>0</v>
      </c>
      <c r="M238" s="1">
        <v>1000000</v>
      </c>
      <c r="N238" s="1">
        <v>5119402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13336150</v>
      </c>
      <c r="W238" s="1">
        <v>4000000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4022387</v>
      </c>
      <c r="AF238" s="1">
        <v>3670854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4388058</v>
      </c>
      <c r="AM238" s="1">
        <v>0</v>
      </c>
      <c r="AN238" s="1">
        <v>0</v>
      </c>
      <c r="AO238" s="1">
        <v>118908350</v>
      </c>
      <c r="AP238" s="1">
        <v>25685283</v>
      </c>
      <c r="AQ238" s="1">
        <v>93223067</v>
      </c>
      <c r="AR238" s="1">
        <v>23047499</v>
      </c>
      <c r="AS238" s="1">
        <v>3457125</v>
      </c>
      <c r="AT238" s="3">
        <f t="shared" si="17"/>
        <v>145412974</v>
      </c>
    </row>
    <row r="239" spans="1:46" x14ac:dyDescent="0.2">
      <c r="A239" s="1" t="str">
        <f>"00281"</f>
        <v>00281</v>
      </c>
      <c r="B239" s="1" t="str">
        <f>"روح اله"</f>
        <v>روح اله</v>
      </c>
      <c r="C239" s="1" t="str">
        <f>"جعفري"</f>
        <v>جعفري</v>
      </c>
      <c r="D239" s="1" t="str">
        <f t="shared" ref="D239:D246" si="22">"قراردادي کارگري"</f>
        <v>قراردادي کارگري</v>
      </c>
      <c r="E239" s="1" t="str">
        <f t="shared" ref="E239:E246" si="23">"پروژه تعميرات نيروگاه بوشهر"</f>
        <v>پروژه تعميرات نيروگاه بوشهر</v>
      </c>
      <c r="F239" s="1">
        <v>0</v>
      </c>
      <c r="G239" s="1">
        <v>0</v>
      </c>
      <c r="H239" s="1">
        <v>0</v>
      </c>
      <c r="I239" s="1">
        <v>7114552</v>
      </c>
      <c r="J239" s="1">
        <v>0</v>
      </c>
      <c r="K239" s="1">
        <v>0</v>
      </c>
      <c r="L239" s="1">
        <v>11572430</v>
      </c>
      <c r="M239" s="1">
        <v>2000000</v>
      </c>
      <c r="N239" s="1">
        <v>4080030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2640000</v>
      </c>
      <c r="U239" s="1">
        <v>0</v>
      </c>
      <c r="V239" s="1">
        <v>12905225</v>
      </c>
      <c r="W239" s="1">
        <v>4000000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1835427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54052722</v>
      </c>
      <c r="AP239" s="1">
        <v>4984962</v>
      </c>
      <c r="AQ239" s="1">
        <v>49067760</v>
      </c>
      <c r="AR239" s="1">
        <v>10443459</v>
      </c>
      <c r="AS239" s="1">
        <v>1566519</v>
      </c>
      <c r="AT239" s="3">
        <f t="shared" si="17"/>
        <v>66062700</v>
      </c>
    </row>
    <row r="240" spans="1:46" x14ac:dyDescent="0.2">
      <c r="A240" s="1" t="str">
        <f>"00282"</f>
        <v>00282</v>
      </c>
      <c r="B240" s="1" t="str">
        <f>"اميد"</f>
        <v>اميد</v>
      </c>
      <c r="C240" s="1" t="str">
        <f>"جعفري زاده"</f>
        <v>جعفري زاده</v>
      </c>
      <c r="D240" s="1" t="str">
        <f t="shared" si="22"/>
        <v>قراردادي کارگري</v>
      </c>
      <c r="E240" s="1" t="str">
        <f t="shared" si="23"/>
        <v>پروژه تعميرات نيروگاه بوشهر</v>
      </c>
      <c r="F240" s="1">
        <v>0</v>
      </c>
      <c r="G240" s="1">
        <v>2041804</v>
      </c>
      <c r="H240" s="1">
        <v>0</v>
      </c>
      <c r="I240" s="1">
        <v>7309976</v>
      </c>
      <c r="J240" s="1">
        <v>0</v>
      </c>
      <c r="K240" s="1">
        <v>0</v>
      </c>
      <c r="L240" s="1">
        <v>11521166</v>
      </c>
      <c r="M240" s="1">
        <v>2000000</v>
      </c>
      <c r="N240" s="1">
        <v>5270350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2640000</v>
      </c>
      <c r="U240" s="1">
        <v>0</v>
      </c>
      <c r="V240" s="1">
        <v>14110305</v>
      </c>
      <c r="W240" s="1">
        <v>4000000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1835427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60742693</v>
      </c>
      <c r="AP240" s="1">
        <v>6075427</v>
      </c>
      <c r="AQ240" s="1">
        <v>54667266</v>
      </c>
      <c r="AR240" s="1">
        <v>11781453</v>
      </c>
      <c r="AS240" s="1">
        <v>1767218</v>
      </c>
      <c r="AT240" s="3">
        <f t="shared" si="17"/>
        <v>74291364</v>
      </c>
    </row>
    <row r="241" spans="1:46" x14ac:dyDescent="0.2">
      <c r="A241" s="1" t="str">
        <f>"00283"</f>
        <v>00283</v>
      </c>
      <c r="B241" s="1" t="str">
        <f>"حامد"</f>
        <v>حامد</v>
      </c>
      <c r="C241" s="1" t="str">
        <f>"حاجي پور"</f>
        <v>حاجي پور</v>
      </c>
      <c r="D241" s="1" t="str">
        <f t="shared" si="22"/>
        <v>قراردادي کارگري</v>
      </c>
      <c r="E241" s="1" t="str">
        <f t="shared" si="23"/>
        <v>پروژه تعميرات نيروگاه بوشهر</v>
      </c>
      <c r="F241" s="1">
        <v>0</v>
      </c>
      <c r="G241" s="1">
        <v>5127735</v>
      </c>
      <c r="H241" s="1">
        <v>0</v>
      </c>
      <c r="I241" s="1">
        <v>6160111</v>
      </c>
      <c r="J241" s="1">
        <v>0</v>
      </c>
      <c r="K241" s="1">
        <v>0</v>
      </c>
      <c r="L241" s="1">
        <v>11521166</v>
      </c>
      <c r="M241" s="1">
        <v>2000000</v>
      </c>
      <c r="N241" s="1">
        <v>4503005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2640000</v>
      </c>
      <c r="U241" s="1">
        <v>0</v>
      </c>
      <c r="V241" s="1">
        <v>12005498</v>
      </c>
      <c r="W241" s="1">
        <v>4000000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3670854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60184080</v>
      </c>
      <c r="AP241" s="1">
        <v>27465416</v>
      </c>
      <c r="AQ241" s="1">
        <v>32718664</v>
      </c>
      <c r="AR241" s="1">
        <v>11302645</v>
      </c>
      <c r="AS241" s="1">
        <v>1695397</v>
      </c>
      <c r="AT241" s="3">
        <f t="shared" si="17"/>
        <v>73182122</v>
      </c>
    </row>
    <row r="242" spans="1:46" x14ac:dyDescent="0.2">
      <c r="A242" s="1" t="str">
        <f>"00284"</f>
        <v>00284</v>
      </c>
      <c r="B242" s="1" t="str">
        <f>"محمد"</f>
        <v>محمد</v>
      </c>
      <c r="C242" s="1" t="str">
        <f>"خضري"</f>
        <v>خضري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0</v>
      </c>
      <c r="G242" s="1">
        <v>18960735</v>
      </c>
      <c r="H242" s="1">
        <v>0</v>
      </c>
      <c r="I242" s="1">
        <v>6671391</v>
      </c>
      <c r="J242" s="1">
        <v>0</v>
      </c>
      <c r="K242" s="1">
        <v>0</v>
      </c>
      <c r="L242" s="1">
        <v>11521166</v>
      </c>
      <c r="M242" s="1">
        <v>2000000</v>
      </c>
      <c r="N242" s="1">
        <v>4809943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2640000</v>
      </c>
      <c r="U242" s="1">
        <v>0</v>
      </c>
      <c r="V242" s="1">
        <v>14186315</v>
      </c>
      <c r="W242" s="1">
        <v>4000000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1835427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75763870</v>
      </c>
      <c r="AP242" s="1">
        <v>9863079</v>
      </c>
      <c r="AQ242" s="1">
        <v>65900791</v>
      </c>
      <c r="AR242" s="1">
        <v>14785689</v>
      </c>
      <c r="AS242" s="1">
        <v>2217853</v>
      </c>
      <c r="AT242" s="3">
        <f t="shared" si="17"/>
        <v>92767412</v>
      </c>
    </row>
    <row r="243" spans="1:46" x14ac:dyDescent="0.2">
      <c r="A243" s="1" t="str">
        <f>"00285"</f>
        <v>00285</v>
      </c>
      <c r="B243" s="1" t="str">
        <f>"خضر"</f>
        <v>خضر</v>
      </c>
      <c r="C243" s="1" t="str">
        <f>"خورموجي"</f>
        <v>خورموجي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0</v>
      </c>
      <c r="G243" s="1">
        <v>22107891</v>
      </c>
      <c r="H243" s="1">
        <v>0</v>
      </c>
      <c r="I243" s="1">
        <v>4750862</v>
      </c>
      <c r="J243" s="1">
        <v>0</v>
      </c>
      <c r="K243" s="1">
        <v>0</v>
      </c>
      <c r="L243" s="1">
        <v>11572430</v>
      </c>
      <c r="M243" s="1">
        <v>2000000</v>
      </c>
      <c r="N243" s="1">
        <v>3568857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2640000</v>
      </c>
      <c r="U243" s="1">
        <v>0</v>
      </c>
      <c r="V243" s="1">
        <v>15570255</v>
      </c>
      <c r="W243" s="1">
        <v>4000000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1871573</v>
      </c>
      <c r="AD243" s="1">
        <v>0</v>
      </c>
      <c r="AE243" s="1">
        <v>0</v>
      </c>
      <c r="AF243" s="1">
        <v>3670854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79175944</v>
      </c>
      <c r="AP243" s="1">
        <v>10303615</v>
      </c>
      <c r="AQ243" s="1">
        <v>68872329</v>
      </c>
      <c r="AR243" s="1">
        <v>15101018</v>
      </c>
      <c r="AS243" s="1">
        <v>2265153</v>
      </c>
      <c r="AT243" s="3">
        <f t="shared" si="17"/>
        <v>96542115</v>
      </c>
    </row>
    <row r="244" spans="1:46" x14ac:dyDescent="0.2">
      <c r="A244" s="1" t="str">
        <f>"00286"</f>
        <v>00286</v>
      </c>
      <c r="B244" s="1" t="str">
        <f>"حسنعلي"</f>
        <v>حسنعلي</v>
      </c>
      <c r="C244" s="1" t="str">
        <f>"كره بندي"</f>
        <v>كره بندي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0</v>
      </c>
      <c r="G244" s="1">
        <v>18915544</v>
      </c>
      <c r="H244" s="1">
        <v>0</v>
      </c>
      <c r="I244" s="1">
        <v>6404594</v>
      </c>
      <c r="J244" s="1">
        <v>0</v>
      </c>
      <c r="K244" s="1">
        <v>0</v>
      </c>
      <c r="L244" s="1">
        <v>11572430</v>
      </c>
      <c r="M244" s="1">
        <v>2000000</v>
      </c>
      <c r="N244" s="1">
        <v>4585355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2640000</v>
      </c>
      <c r="U244" s="1">
        <v>0</v>
      </c>
      <c r="V244" s="1">
        <v>16650670</v>
      </c>
      <c r="W244" s="1">
        <v>4000000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1835427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77258877</v>
      </c>
      <c r="AP244" s="1">
        <v>11508310</v>
      </c>
      <c r="AQ244" s="1">
        <v>65750567</v>
      </c>
      <c r="AR244" s="1">
        <v>15084690</v>
      </c>
      <c r="AS244" s="1">
        <v>2262704</v>
      </c>
      <c r="AT244" s="3">
        <f t="shared" si="17"/>
        <v>94606271</v>
      </c>
    </row>
    <row r="245" spans="1:46" x14ac:dyDescent="0.2">
      <c r="A245" s="1" t="str">
        <f>"00287"</f>
        <v>00287</v>
      </c>
      <c r="B245" s="1" t="str">
        <f>"عبدالکريم"</f>
        <v>عبدالکريم</v>
      </c>
      <c r="C245" s="1" t="str">
        <f>"منصوري"</f>
        <v>منصوري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0</v>
      </c>
      <c r="G245" s="1">
        <v>5577846</v>
      </c>
      <c r="H245" s="1">
        <v>0</v>
      </c>
      <c r="I245" s="1">
        <v>6276819</v>
      </c>
      <c r="J245" s="1">
        <v>0</v>
      </c>
      <c r="K245" s="1">
        <v>0</v>
      </c>
      <c r="L245" s="1">
        <v>11521166</v>
      </c>
      <c r="M245" s="1">
        <v>2000000</v>
      </c>
      <c r="N245" s="1">
        <v>4525465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2640000</v>
      </c>
      <c r="U245" s="1">
        <v>0</v>
      </c>
      <c r="V245" s="1">
        <v>12992640</v>
      </c>
      <c r="W245" s="1">
        <v>4000000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1835427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59967745</v>
      </c>
      <c r="AP245" s="1">
        <v>7288310</v>
      </c>
      <c r="AQ245" s="1">
        <v>52679435</v>
      </c>
      <c r="AR245" s="1">
        <v>11626464</v>
      </c>
      <c r="AS245" s="1">
        <v>1743970</v>
      </c>
      <c r="AT245" s="3">
        <f t="shared" si="17"/>
        <v>73338179</v>
      </c>
    </row>
    <row r="246" spans="1:46" x14ac:dyDescent="0.2">
      <c r="A246" s="1" t="str">
        <f>"00288"</f>
        <v>00288</v>
      </c>
      <c r="B246" s="1" t="str">
        <f>"سيدمحسن"</f>
        <v>سيدمحسن</v>
      </c>
      <c r="C246" s="1" t="str">
        <f>"موسوي"</f>
        <v>موسوي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0</v>
      </c>
      <c r="G246" s="1">
        <v>6017164</v>
      </c>
      <c r="H246" s="1">
        <v>0</v>
      </c>
      <c r="I246" s="1">
        <v>7371205</v>
      </c>
      <c r="J246" s="1">
        <v>0</v>
      </c>
      <c r="K246" s="1">
        <v>0</v>
      </c>
      <c r="L246" s="1">
        <v>11521166</v>
      </c>
      <c r="M246" s="1">
        <v>2000000</v>
      </c>
      <c r="N246" s="1">
        <v>5349691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2640000</v>
      </c>
      <c r="U246" s="1">
        <v>0</v>
      </c>
      <c r="V246" s="1">
        <v>10540297</v>
      </c>
      <c r="W246" s="1">
        <v>4000000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1835427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61372491</v>
      </c>
      <c r="AP246" s="1">
        <v>16692109</v>
      </c>
      <c r="AQ246" s="1">
        <v>44680382</v>
      </c>
      <c r="AR246" s="1">
        <v>11907413</v>
      </c>
      <c r="AS246" s="1">
        <v>1786112</v>
      </c>
      <c r="AT246" s="3">
        <f t="shared" si="17"/>
        <v>75066016</v>
      </c>
    </row>
    <row r="247" spans="1:46" x14ac:dyDescent="0.2">
      <c r="A247" s="1" t="str">
        <f>"00290"</f>
        <v>00290</v>
      </c>
      <c r="B247" s="1" t="str">
        <f>"محمدرضا"</f>
        <v>محمدرضا</v>
      </c>
      <c r="C247" s="1" t="str">
        <f>"اميدوار ماکلواني"</f>
        <v>اميدوار ماکلواني</v>
      </c>
      <c r="D247" s="1" t="str">
        <f t="shared" ref="D247:D293" si="24">"قراردادي بهره بردار"</f>
        <v>قراردادي بهره بردار</v>
      </c>
      <c r="E247" s="1" t="str">
        <f t="shared" ref="E247:E257" si="25">"پروژه بهره برداري نيروگاه بوشهر"</f>
        <v>پروژه بهره برداري نيروگاه بوشهر</v>
      </c>
      <c r="F247" s="1">
        <v>16753123</v>
      </c>
      <c r="G247" s="1">
        <v>0</v>
      </c>
      <c r="H247" s="1">
        <v>0</v>
      </c>
      <c r="I247" s="1">
        <v>12253429</v>
      </c>
      <c r="J247" s="1">
        <v>0</v>
      </c>
      <c r="K247" s="1">
        <v>3465000</v>
      </c>
      <c r="L247" s="1">
        <v>0</v>
      </c>
      <c r="M247" s="1">
        <v>1000000</v>
      </c>
      <c r="N247" s="1">
        <v>2874483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7342491</v>
      </c>
      <c r="W247" s="1">
        <v>4000000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2258523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5020394</v>
      </c>
      <c r="AM247" s="1">
        <v>0</v>
      </c>
      <c r="AN247" s="1">
        <v>0</v>
      </c>
      <c r="AO247" s="1">
        <v>54967443</v>
      </c>
      <c r="AP247" s="1">
        <v>13151697</v>
      </c>
      <c r="AQ247" s="1">
        <v>41815746</v>
      </c>
      <c r="AR247" s="1">
        <v>10993489</v>
      </c>
      <c r="AS247" s="1">
        <v>1649023</v>
      </c>
      <c r="AT247" s="3">
        <f t="shared" si="17"/>
        <v>67609955</v>
      </c>
    </row>
    <row r="248" spans="1:46" x14ac:dyDescent="0.2">
      <c r="A248" s="1" t="str">
        <f>"00292"</f>
        <v>00292</v>
      </c>
      <c r="B248" s="1" t="str">
        <f>"مهدي"</f>
        <v>مهدي</v>
      </c>
      <c r="C248" s="1" t="str">
        <f>"حصارکي"</f>
        <v>حصارکي</v>
      </c>
      <c r="D248" s="1" t="str">
        <f t="shared" si="24"/>
        <v>قراردادي بهره بردار</v>
      </c>
      <c r="E248" s="1" t="str">
        <f t="shared" si="25"/>
        <v>پروژه بهره برداري نيروگاه بوشهر</v>
      </c>
      <c r="F248" s="1">
        <v>28815372</v>
      </c>
      <c r="G248" s="1">
        <v>22473049</v>
      </c>
      <c r="H248" s="1">
        <v>0</v>
      </c>
      <c r="I248" s="1">
        <v>24839681</v>
      </c>
      <c r="J248" s="1">
        <v>0</v>
      </c>
      <c r="K248" s="1">
        <v>5500000</v>
      </c>
      <c r="L248" s="1">
        <v>0</v>
      </c>
      <c r="M248" s="1">
        <v>1000000</v>
      </c>
      <c r="N248" s="1">
        <v>4712919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22189200</v>
      </c>
      <c r="W248" s="1">
        <v>4000000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3703007</v>
      </c>
      <c r="AF248" s="1">
        <v>3670854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6732740</v>
      </c>
      <c r="AM248" s="1">
        <v>0</v>
      </c>
      <c r="AN248" s="1">
        <v>0</v>
      </c>
      <c r="AO248" s="1">
        <v>127636822</v>
      </c>
      <c r="AP248" s="1">
        <v>53869147</v>
      </c>
      <c r="AQ248" s="1">
        <v>73767675</v>
      </c>
      <c r="AR248" s="1">
        <v>24793194</v>
      </c>
      <c r="AS248" s="1">
        <v>3718979</v>
      </c>
      <c r="AT248" s="3">
        <f t="shared" si="17"/>
        <v>156148995</v>
      </c>
    </row>
    <row r="249" spans="1:46" x14ac:dyDescent="0.2">
      <c r="A249" s="1" t="str">
        <f>"00293"</f>
        <v>00293</v>
      </c>
      <c r="B249" s="1" t="str">
        <f>"حامد"</f>
        <v>حامد</v>
      </c>
      <c r="C249" s="1" t="str">
        <f>"پور تيموري"</f>
        <v>پور تيموري</v>
      </c>
      <c r="D249" s="1" t="str">
        <f t="shared" si="24"/>
        <v>قراردادي بهره بردار</v>
      </c>
      <c r="E249" s="1" t="str">
        <f t="shared" si="25"/>
        <v>پروژه بهره برداري نيروگاه بوشهر</v>
      </c>
      <c r="F249" s="1">
        <v>18957482</v>
      </c>
      <c r="G249" s="1">
        <v>7233113</v>
      </c>
      <c r="H249" s="1">
        <v>0</v>
      </c>
      <c r="I249" s="1">
        <v>18562135</v>
      </c>
      <c r="J249" s="1">
        <v>0</v>
      </c>
      <c r="K249" s="1">
        <v>4620000</v>
      </c>
      <c r="L249" s="1">
        <v>0</v>
      </c>
      <c r="M249" s="1">
        <v>1000000</v>
      </c>
      <c r="N249" s="1">
        <v>3734184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20225177</v>
      </c>
      <c r="W249" s="1">
        <v>4000000</v>
      </c>
      <c r="X249" s="1">
        <v>2751893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2934001</v>
      </c>
      <c r="AF249" s="1">
        <v>1835427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14435902</v>
      </c>
      <c r="AM249" s="1">
        <v>0</v>
      </c>
      <c r="AN249" s="1">
        <v>0</v>
      </c>
      <c r="AO249" s="1">
        <v>100289314</v>
      </c>
      <c r="AP249" s="1">
        <v>16366603</v>
      </c>
      <c r="AQ249" s="1">
        <v>83922711</v>
      </c>
      <c r="AR249" s="1">
        <v>19690777</v>
      </c>
      <c r="AS249" s="1">
        <v>2953617</v>
      </c>
      <c r="AT249" s="3">
        <f t="shared" si="17"/>
        <v>122933708</v>
      </c>
    </row>
    <row r="250" spans="1:46" x14ac:dyDescent="0.2">
      <c r="A250" s="1" t="str">
        <f>"00294"</f>
        <v>00294</v>
      </c>
      <c r="B250" s="1" t="str">
        <f>"آزاده"</f>
        <v>آزاده</v>
      </c>
      <c r="C250" s="1" t="str">
        <f>"محمدطاهري"</f>
        <v>محمدطاهري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16120787</v>
      </c>
      <c r="G250" s="1">
        <v>0</v>
      </c>
      <c r="H250" s="1">
        <v>0</v>
      </c>
      <c r="I250" s="1">
        <v>12776920</v>
      </c>
      <c r="J250" s="1">
        <v>0</v>
      </c>
      <c r="K250" s="1">
        <v>3465000</v>
      </c>
      <c r="L250" s="1">
        <v>0</v>
      </c>
      <c r="M250" s="1">
        <v>1000000</v>
      </c>
      <c r="N250" s="1">
        <v>3049951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3973679</v>
      </c>
      <c r="W250" s="1">
        <v>4000000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2396390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5392742</v>
      </c>
      <c r="AM250" s="1">
        <v>0</v>
      </c>
      <c r="AN250" s="1">
        <v>0</v>
      </c>
      <c r="AO250" s="1">
        <v>52175469</v>
      </c>
      <c r="AP250" s="1">
        <v>8806625</v>
      </c>
      <c r="AQ250" s="1">
        <v>43368844</v>
      </c>
      <c r="AR250" s="1">
        <v>10435094</v>
      </c>
      <c r="AS250" s="1">
        <v>1565264</v>
      </c>
      <c r="AT250" s="3">
        <f t="shared" si="17"/>
        <v>64175827</v>
      </c>
    </row>
    <row r="251" spans="1:46" x14ac:dyDescent="0.2">
      <c r="A251" s="1" t="str">
        <f>"00295"</f>
        <v>00295</v>
      </c>
      <c r="B251" s="1" t="str">
        <f>"احسان"</f>
        <v>احسان</v>
      </c>
      <c r="C251" s="1" t="str">
        <f>"ياوري پور"</f>
        <v>ياوري پور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17062993</v>
      </c>
      <c r="G251" s="1">
        <v>8678978</v>
      </c>
      <c r="H251" s="1">
        <v>0</v>
      </c>
      <c r="I251" s="1">
        <v>14276303</v>
      </c>
      <c r="J251" s="1">
        <v>0</v>
      </c>
      <c r="K251" s="1">
        <v>4620000</v>
      </c>
      <c r="L251" s="1">
        <v>0</v>
      </c>
      <c r="M251" s="1">
        <v>1000000</v>
      </c>
      <c r="N251" s="1">
        <v>3071112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22624642</v>
      </c>
      <c r="W251" s="1">
        <v>4000000</v>
      </c>
      <c r="X251" s="1">
        <v>2476886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2413016</v>
      </c>
      <c r="AF251" s="1">
        <v>1835427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12901063</v>
      </c>
      <c r="AM251" s="1">
        <v>0</v>
      </c>
      <c r="AN251" s="1">
        <v>0</v>
      </c>
      <c r="AO251" s="1">
        <v>94960420</v>
      </c>
      <c r="AP251" s="1">
        <v>36558577</v>
      </c>
      <c r="AQ251" s="1">
        <v>58401843</v>
      </c>
      <c r="AR251" s="1">
        <v>18624999</v>
      </c>
      <c r="AS251" s="1">
        <v>2793750</v>
      </c>
      <c r="AT251" s="3">
        <f t="shared" si="17"/>
        <v>116379169</v>
      </c>
    </row>
    <row r="252" spans="1:46" x14ac:dyDescent="0.2">
      <c r="A252" s="1" t="str">
        <f>"00296"</f>
        <v>00296</v>
      </c>
      <c r="B252" s="1" t="str">
        <f>"رضا"</f>
        <v>رضا</v>
      </c>
      <c r="C252" s="1" t="str">
        <f>"فاضلي"</f>
        <v>فاضلي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27853012</v>
      </c>
      <c r="G252" s="1">
        <v>20659864</v>
      </c>
      <c r="H252" s="1">
        <v>0</v>
      </c>
      <c r="I252" s="1">
        <v>23193795</v>
      </c>
      <c r="J252" s="1">
        <v>0</v>
      </c>
      <c r="K252" s="1">
        <v>5500000</v>
      </c>
      <c r="L252" s="1">
        <v>0</v>
      </c>
      <c r="M252" s="1">
        <v>1000000</v>
      </c>
      <c r="N252" s="1">
        <v>4376092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20998883</v>
      </c>
      <c r="W252" s="1">
        <v>4000000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3438358</v>
      </c>
      <c r="AF252" s="1">
        <v>1835427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6251560</v>
      </c>
      <c r="AM252" s="1">
        <v>0</v>
      </c>
      <c r="AN252" s="1">
        <v>0</v>
      </c>
      <c r="AO252" s="1">
        <v>119106991</v>
      </c>
      <c r="AP252" s="1">
        <v>36443312</v>
      </c>
      <c r="AQ252" s="1">
        <v>82663679</v>
      </c>
      <c r="AR252" s="1">
        <v>23454313</v>
      </c>
      <c r="AS252" s="1">
        <v>3518147</v>
      </c>
      <c r="AT252" s="3">
        <f t="shared" si="17"/>
        <v>146079451</v>
      </c>
    </row>
    <row r="253" spans="1:46" x14ac:dyDescent="0.2">
      <c r="A253" s="1" t="str">
        <f>"00297"</f>
        <v>00297</v>
      </c>
      <c r="B253" s="1" t="str">
        <f>"محمد"</f>
        <v>محمد</v>
      </c>
      <c r="C253" s="1" t="str">
        <f>"احمد نيا"</f>
        <v>احمد نيا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17571885</v>
      </c>
      <c r="G253" s="1">
        <v>11969372</v>
      </c>
      <c r="H253" s="1">
        <v>0</v>
      </c>
      <c r="I253" s="1">
        <v>15919903</v>
      </c>
      <c r="J253" s="1">
        <v>0</v>
      </c>
      <c r="K253" s="1">
        <v>4620000</v>
      </c>
      <c r="L253" s="1">
        <v>0</v>
      </c>
      <c r="M253" s="1">
        <v>1000000</v>
      </c>
      <c r="N253" s="1">
        <v>3249225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12306872</v>
      </c>
      <c r="W253" s="1">
        <v>4000000</v>
      </c>
      <c r="X253" s="1">
        <v>2550758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2552962</v>
      </c>
      <c r="AF253" s="1">
        <v>3670854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13638805</v>
      </c>
      <c r="AM253" s="1">
        <v>0</v>
      </c>
      <c r="AN253" s="1">
        <v>0</v>
      </c>
      <c r="AO253" s="1">
        <v>93050636</v>
      </c>
      <c r="AP253" s="1">
        <v>40978247</v>
      </c>
      <c r="AQ253" s="1">
        <v>52072389</v>
      </c>
      <c r="AR253" s="1">
        <v>17875956</v>
      </c>
      <c r="AS253" s="1">
        <v>2681393</v>
      </c>
      <c r="AT253" s="3">
        <f t="shared" si="17"/>
        <v>113607985</v>
      </c>
    </row>
    <row r="254" spans="1:46" x14ac:dyDescent="0.2">
      <c r="A254" s="1" t="str">
        <f>"00298"</f>
        <v>00298</v>
      </c>
      <c r="B254" s="1" t="str">
        <f>"حميدرضا"</f>
        <v>حميدرضا</v>
      </c>
      <c r="C254" s="1" t="str">
        <f>"كرمي"</f>
        <v>كرمي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18332704</v>
      </c>
      <c r="G254" s="1">
        <v>8935320</v>
      </c>
      <c r="H254" s="1">
        <v>0</v>
      </c>
      <c r="I254" s="1">
        <v>17734218</v>
      </c>
      <c r="J254" s="1">
        <v>0</v>
      </c>
      <c r="K254" s="1">
        <v>4620000</v>
      </c>
      <c r="L254" s="1">
        <v>0</v>
      </c>
      <c r="M254" s="1">
        <v>1000000</v>
      </c>
      <c r="N254" s="1">
        <v>3515511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13270500</v>
      </c>
      <c r="W254" s="1">
        <v>4000000</v>
      </c>
      <c r="X254" s="1">
        <v>2661199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2762187</v>
      </c>
      <c r="AF254" s="1">
        <v>1835427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14732798</v>
      </c>
      <c r="AM254" s="1">
        <v>0</v>
      </c>
      <c r="AN254" s="1">
        <v>0</v>
      </c>
      <c r="AO254" s="1">
        <v>93399864</v>
      </c>
      <c r="AP254" s="1">
        <v>15214251</v>
      </c>
      <c r="AQ254" s="1">
        <v>78185613</v>
      </c>
      <c r="AR254" s="1">
        <v>18312887</v>
      </c>
      <c r="AS254" s="1">
        <v>2746933</v>
      </c>
      <c r="AT254" s="3">
        <f t="shared" si="17"/>
        <v>114459684</v>
      </c>
    </row>
    <row r="255" spans="1:46" x14ac:dyDescent="0.2">
      <c r="A255" s="1" t="str">
        <f>"00299"</f>
        <v>00299</v>
      </c>
      <c r="B255" s="1" t="str">
        <f>"محمدمحسن"</f>
        <v>محمدمحسن</v>
      </c>
      <c r="C255" s="1" t="str">
        <f>"اکرام زاده"</f>
        <v>اکرام زاده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16715334</v>
      </c>
      <c r="G255" s="1">
        <v>4501320</v>
      </c>
      <c r="H255" s="1">
        <v>0</v>
      </c>
      <c r="I255" s="1">
        <v>14157213</v>
      </c>
      <c r="J255" s="1">
        <v>0</v>
      </c>
      <c r="K255" s="1">
        <v>4620000</v>
      </c>
      <c r="L255" s="1">
        <v>0</v>
      </c>
      <c r="M255" s="1">
        <v>1000000</v>
      </c>
      <c r="N255" s="1">
        <v>2949432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22080730</v>
      </c>
      <c r="W255" s="1">
        <v>4000000</v>
      </c>
      <c r="X255" s="1">
        <v>2426420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2317410</v>
      </c>
      <c r="AF255" s="1">
        <v>1835427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12657803</v>
      </c>
      <c r="AM255" s="1">
        <v>0</v>
      </c>
      <c r="AN255" s="1">
        <v>0</v>
      </c>
      <c r="AO255" s="1">
        <v>89261089</v>
      </c>
      <c r="AP255" s="1">
        <v>37057537</v>
      </c>
      <c r="AQ255" s="1">
        <v>52203552</v>
      </c>
      <c r="AR255" s="1">
        <v>17485132</v>
      </c>
      <c r="AS255" s="1">
        <v>2622770</v>
      </c>
      <c r="AT255" s="3">
        <f t="shared" si="17"/>
        <v>109368991</v>
      </c>
    </row>
    <row r="256" spans="1:46" x14ac:dyDescent="0.2">
      <c r="A256" s="1" t="str">
        <f>"00300"</f>
        <v>00300</v>
      </c>
      <c r="B256" s="1" t="str">
        <f>"هادي"</f>
        <v>هادي</v>
      </c>
      <c r="C256" s="1" t="str">
        <f>"غلامي سرلک"</f>
        <v>غلامي سرلک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18753421</v>
      </c>
      <c r="G256" s="1">
        <v>17167483</v>
      </c>
      <c r="H256" s="1">
        <v>0</v>
      </c>
      <c r="I256" s="1">
        <v>16728397</v>
      </c>
      <c r="J256" s="1">
        <v>0</v>
      </c>
      <c r="K256" s="1">
        <v>4620000</v>
      </c>
      <c r="L256" s="1">
        <v>0</v>
      </c>
      <c r="M256" s="1">
        <v>1000000</v>
      </c>
      <c r="N256" s="1">
        <v>3662762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13112583</v>
      </c>
      <c r="W256" s="1">
        <v>4000000</v>
      </c>
      <c r="X256" s="1">
        <v>2722271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2877884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14375742</v>
      </c>
      <c r="AM256" s="1">
        <v>0</v>
      </c>
      <c r="AN256" s="1">
        <v>0</v>
      </c>
      <c r="AO256" s="1">
        <v>99020543</v>
      </c>
      <c r="AP256" s="1">
        <v>42539219</v>
      </c>
      <c r="AQ256" s="1">
        <v>56481324</v>
      </c>
      <c r="AR256" s="1">
        <v>19804109</v>
      </c>
      <c r="AS256" s="1">
        <v>2970616</v>
      </c>
      <c r="AT256" s="3">
        <f t="shared" si="17"/>
        <v>121795268</v>
      </c>
    </row>
    <row r="257" spans="1:46" x14ac:dyDescent="0.2">
      <c r="A257" s="1" t="str">
        <f>"00301"</f>
        <v>00301</v>
      </c>
      <c r="B257" s="1" t="str">
        <f>"علي اکبر"</f>
        <v>علي اکبر</v>
      </c>
      <c r="C257" s="1" t="str">
        <f>"مدبري"</f>
        <v>مدبري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20270020</v>
      </c>
      <c r="G257" s="1">
        <v>5030635</v>
      </c>
      <c r="H257" s="1">
        <v>0</v>
      </c>
      <c r="I257" s="1">
        <v>19730322</v>
      </c>
      <c r="J257" s="1">
        <v>0</v>
      </c>
      <c r="K257" s="1">
        <v>4620000</v>
      </c>
      <c r="L257" s="1">
        <v>0</v>
      </c>
      <c r="M257" s="1">
        <v>1000000</v>
      </c>
      <c r="N257" s="1">
        <v>4193572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15072830</v>
      </c>
      <c r="W257" s="1">
        <v>4000000</v>
      </c>
      <c r="X257" s="1">
        <v>2942422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3294949</v>
      </c>
      <c r="AF257" s="1">
        <v>3670854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16650841</v>
      </c>
      <c r="AM257" s="1">
        <v>0</v>
      </c>
      <c r="AN257" s="1">
        <v>0</v>
      </c>
      <c r="AO257" s="1">
        <v>100476445</v>
      </c>
      <c r="AP257" s="1">
        <v>32461406</v>
      </c>
      <c r="AQ257" s="1">
        <v>68015039</v>
      </c>
      <c r="AR257" s="1">
        <v>19361118</v>
      </c>
      <c r="AS257" s="1">
        <v>2904168</v>
      </c>
      <c r="AT257" s="3">
        <f t="shared" si="17"/>
        <v>122741731</v>
      </c>
    </row>
    <row r="258" spans="1:46" x14ac:dyDescent="0.2">
      <c r="A258" s="1" t="str">
        <f>"00303"</f>
        <v>00303</v>
      </c>
      <c r="B258" s="1" t="str">
        <f>"مسعود"</f>
        <v>مسعود</v>
      </c>
      <c r="C258" s="1" t="str">
        <f>"قهرماني"</f>
        <v>قهرماني</v>
      </c>
      <c r="D258" s="1" t="str">
        <f t="shared" si="24"/>
        <v>قراردادي بهره بردار</v>
      </c>
      <c r="E258" s="1" t="str">
        <f>"پروژه تعميرات نيروگاه بوشهر"</f>
        <v>پروژه تعميرات نيروگاه بوشهر</v>
      </c>
      <c r="F258" s="1">
        <v>28326634</v>
      </c>
      <c r="G258" s="1">
        <v>21880384</v>
      </c>
      <c r="H258" s="1">
        <v>0</v>
      </c>
      <c r="I258" s="1">
        <v>28748110</v>
      </c>
      <c r="J258" s="1">
        <v>0</v>
      </c>
      <c r="K258" s="1">
        <v>5500000</v>
      </c>
      <c r="L258" s="1">
        <v>0</v>
      </c>
      <c r="M258" s="1">
        <v>1000000</v>
      </c>
      <c r="N258" s="1">
        <v>4541860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19536760</v>
      </c>
      <c r="W258" s="1">
        <v>4000000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3401010</v>
      </c>
      <c r="AD258" s="1">
        <v>0</v>
      </c>
      <c r="AE258" s="1">
        <v>3568604</v>
      </c>
      <c r="AF258" s="1">
        <v>1835427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5839534</v>
      </c>
      <c r="AM258" s="1">
        <v>0</v>
      </c>
      <c r="AN258" s="1">
        <v>0</v>
      </c>
      <c r="AO258" s="1">
        <v>128178323</v>
      </c>
      <c r="AP258" s="1">
        <v>53590854</v>
      </c>
      <c r="AQ258" s="1">
        <v>74587469</v>
      </c>
      <c r="AR258" s="1">
        <v>25268579</v>
      </c>
      <c r="AS258" s="1">
        <v>3790287</v>
      </c>
      <c r="AT258" s="3">
        <f t="shared" si="17"/>
        <v>157237189</v>
      </c>
    </row>
    <row r="259" spans="1:46" x14ac:dyDescent="0.2">
      <c r="A259" s="1" t="str">
        <f>"00304"</f>
        <v>00304</v>
      </c>
      <c r="B259" s="1" t="str">
        <f>"سيد اسماعيل"</f>
        <v>سيد اسماعيل</v>
      </c>
      <c r="C259" s="1" t="str">
        <f>"حسيني"</f>
        <v>حسيني</v>
      </c>
      <c r="D259" s="1" t="str">
        <f t="shared" si="24"/>
        <v>قراردادي بهره بردار</v>
      </c>
      <c r="E259" s="1" t="str">
        <f t="shared" ref="E259:E266" si="26">"پروژه بهره برداري نيروگاه بوشهر"</f>
        <v>پروژه بهره برداري نيروگاه بوشهر</v>
      </c>
      <c r="F259" s="1">
        <v>19264832</v>
      </c>
      <c r="G259" s="1">
        <v>4707112</v>
      </c>
      <c r="H259" s="1">
        <v>0</v>
      </c>
      <c r="I259" s="1">
        <v>18791197</v>
      </c>
      <c r="J259" s="1">
        <v>0</v>
      </c>
      <c r="K259" s="1">
        <v>4620000</v>
      </c>
      <c r="L259" s="1">
        <v>0</v>
      </c>
      <c r="M259" s="1">
        <v>1000000</v>
      </c>
      <c r="N259" s="1">
        <v>3841756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13981755</v>
      </c>
      <c r="W259" s="1">
        <v>4000000</v>
      </c>
      <c r="X259" s="1">
        <v>2796508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3018523</v>
      </c>
      <c r="AF259" s="1">
        <v>1835427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15220276</v>
      </c>
      <c r="AM259" s="1">
        <v>0</v>
      </c>
      <c r="AN259" s="1">
        <v>0</v>
      </c>
      <c r="AO259" s="1">
        <v>93077386</v>
      </c>
      <c r="AP259" s="1">
        <v>38284528</v>
      </c>
      <c r="AQ259" s="1">
        <v>54792858</v>
      </c>
      <c r="AR259" s="1">
        <v>18248392</v>
      </c>
      <c r="AS259" s="1">
        <v>2737259</v>
      </c>
      <c r="AT259" s="3">
        <f t="shared" ref="AT259:AT322" si="27">AO259+AR259+AS259</f>
        <v>114063037</v>
      </c>
    </row>
    <row r="260" spans="1:46" x14ac:dyDescent="0.2">
      <c r="A260" s="1" t="str">
        <f>"00305"</f>
        <v>00305</v>
      </c>
      <c r="B260" s="1" t="str">
        <f>"حميد رضا"</f>
        <v>حميد رضا</v>
      </c>
      <c r="C260" s="1" t="str">
        <f>"راجي"</f>
        <v>راجي</v>
      </c>
      <c r="D260" s="1" t="str">
        <f t="shared" si="24"/>
        <v>قراردادي بهره بردار</v>
      </c>
      <c r="E260" s="1" t="str">
        <f t="shared" si="26"/>
        <v>پروژه بهره برداري نيروگاه بوشهر</v>
      </c>
      <c r="F260" s="1">
        <v>25076780</v>
      </c>
      <c r="G260" s="1">
        <v>18249378</v>
      </c>
      <c r="H260" s="1">
        <v>0</v>
      </c>
      <c r="I260" s="1">
        <v>19610052</v>
      </c>
      <c r="J260" s="1">
        <v>0</v>
      </c>
      <c r="K260" s="1">
        <v>5500000</v>
      </c>
      <c r="L260" s="1">
        <v>0</v>
      </c>
      <c r="M260" s="1">
        <v>1000000</v>
      </c>
      <c r="N260" s="1">
        <v>4478375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24983887</v>
      </c>
      <c r="W260" s="1">
        <v>4000000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3518723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5757910</v>
      </c>
      <c r="AM260" s="1">
        <v>0</v>
      </c>
      <c r="AN260" s="1">
        <v>0</v>
      </c>
      <c r="AO260" s="1">
        <v>112175105</v>
      </c>
      <c r="AP260" s="1">
        <v>39460568</v>
      </c>
      <c r="AQ260" s="1">
        <v>72714537</v>
      </c>
      <c r="AR260" s="1">
        <v>22435021</v>
      </c>
      <c r="AS260" s="1">
        <v>3365253</v>
      </c>
      <c r="AT260" s="3">
        <f t="shared" si="27"/>
        <v>137975379</v>
      </c>
    </row>
    <row r="261" spans="1:46" x14ac:dyDescent="0.2">
      <c r="A261" s="1" t="str">
        <f>"00306"</f>
        <v>00306</v>
      </c>
      <c r="B261" s="1" t="str">
        <f>"ميثم"</f>
        <v>ميثم</v>
      </c>
      <c r="C261" s="1" t="str">
        <f>"اماني هاروني"</f>
        <v>اماني هاروني</v>
      </c>
      <c r="D261" s="1" t="str">
        <f t="shared" si="24"/>
        <v>قراردادي بهره بردار</v>
      </c>
      <c r="E261" s="1" t="str">
        <f t="shared" si="26"/>
        <v>پروژه بهره برداري نيروگاه بوشهر</v>
      </c>
      <c r="F261" s="1">
        <v>27943706</v>
      </c>
      <c r="G261" s="1">
        <v>16246657</v>
      </c>
      <c r="H261" s="1">
        <v>0</v>
      </c>
      <c r="I261" s="1">
        <v>24721543</v>
      </c>
      <c r="J261" s="1">
        <v>0</v>
      </c>
      <c r="K261" s="1">
        <v>5500000</v>
      </c>
      <c r="L261" s="1">
        <v>0</v>
      </c>
      <c r="M261" s="1">
        <v>1000000</v>
      </c>
      <c r="N261" s="1">
        <v>4407835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24002667</v>
      </c>
      <c r="W261" s="1">
        <v>4000000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3463299</v>
      </c>
      <c r="AF261" s="1">
        <v>1835427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7556288</v>
      </c>
      <c r="AM261" s="1">
        <v>0</v>
      </c>
      <c r="AN261" s="1">
        <v>0</v>
      </c>
      <c r="AO261" s="1">
        <v>120677422</v>
      </c>
      <c r="AP261" s="1">
        <v>66753822</v>
      </c>
      <c r="AQ261" s="1">
        <v>53923600</v>
      </c>
      <c r="AR261" s="1">
        <v>23768399</v>
      </c>
      <c r="AS261" s="1">
        <v>3565260</v>
      </c>
      <c r="AT261" s="3">
        <f t="shared" si="27"/>
        <v>148011081</v>
      </c>
    </row>
    <row r="262" spans="1:46" x14ac:dyDescent="0.2">
      <c r="A262" s="1" t="str">
        <f>"00307"</f>
        <v>00307</v>
      </c>
      <c r="B262" s="1" t="str">
        <f>"حبيب اله"</f>
        <v>حبيب اله</v>
      </c>
      <c r="C262" s="1" t="str">
        <f>"خدادادي"</f>
        <v>خدادادي</v>
      </c>
      <c r="D262" s="1" t="str">
        <f t="shared" si="24"/>
        <v>قراردادي بهره بردار</v>
      </c>
      <c r="E262" s="1" t="str">
        <f t="shared" si="26"/>
        <v>پروژه بهره برداري نيروگاه بوشهر</v>
      </c>
      <c r="F262" s="1">
        <v>18236971</v>
      </c>
      <c r="G262" s="1">
        <v>4835018</v>
      </c>
      <c r="H262" s="1">
        <v>0</v>
      </c>
      <c r="I262" s="1">
        <v>16958591</v>
      </c>
      <c r="J262" s="1">
        <v>0</v>
      </c>
      <c r="K262" s="1">
        <v>0</v>
      </c>
      <c r="L262" s="1">
        <v>0</v>
      </c>
      <c r="M262" s="1">
        <v>1000000</v>
      </c>
      <c r="N262" s="1">
        <v>3482005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18229856</v>
      </c>
      <c r="W262" s="1">
        <v>4000000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2735861</v>
      </c>
      <c r="AF262" s="1">
        <v>3670854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8875830</v>
      </c>
      <c r="AM262" s="1">
        <v>0</v>
      </c>
      <c r="AN262" s="1">
        <v>0</v>
      </c>
      <c r="AO262" s="1">
        <v>82024986</v>
      </c>
      <c r="AP262" s="1">
        <v>59271052</v>
      </c>
      <c r="AQ262" s="1">
        <v>22753934</v>
      </c>
      <c r="AR262" s="1">
        <v>15670826</v>
      </c>
      <c r="AS262" s="1">
        <v>2350624</v>
      </c>
      <c r="AT262" s="3">
        <f t="shared" si="27"/>
        <v>100046436</v>
      </c>
    </row>
    <row r="263" spans="1:46" x14ac:dyDescent="0.2">
      <c r="A263" s="1" t="str">
        <f>"00308"</f>
        <v>00308</v>
      </c>
      <c r="B263" s="1" t="str">
        <f>"هادي"</f>
        <v>هادي</v>
      </c>
      <c r="C263" s="1" t="str">
        <f>"حداديان نژاد يوسفي"</f>
        <v>حداديان نژاد يوسفي</v>
      </c>
      <c r="D263" s="1" t="str">
        <f t="shared" si="24"/>
        <v>قراردادي بهره بردار</v>
      </c>
      <c r="E263" s="1" t="str">
        <f t="shared" si="26"/>
        <v>پروژه بهره برداري نيروگاه بوشهر</v>
      </c>
      <c r="F263" s="1">
        <v>28301442</v>
      </c>
      <c r="G263" s="1">
        <v>13346127</v>
      </c>
      <c r="H263" s="1">
        <v>0</v>
      </c>
      <c r="I263" s="1">
        <v>25190053</v>
      </c>
      <c r="J263" s="1">
        <v>0</v>
      </c>
      <c r="K263" s="1">
        <v>5500000</v>
      </c>
      <c r="L263" s="1">
        <v>0</v>
      </c>
      <c r="M263" s="1">
        <v>1000000</v>
      </c>
      <c r="N263" s="1">
        <v>4533042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34720195</v>
      </c>
      <c r="W263" s="1">
        <v>4000000</v>
      </c>
      <c r="X263" s="1">
        <v>4108274</v>
      </c>
      <c r="Y263" s="1">
        <v>0</v>
      </c>
      <c r="Z263" s="1">
        <v>0</v>
      </c>
      <c r="AA263" s="1">
        <v>0</v>
      </c>
      <c r="AB263" s="1">
        <v>0</v>
      </c>
      <c r="AC263" s="1">
        <v>4459102</v>
      </c>
      <c r="AD263" s="1">
        <v>0</v>
      </c>
      <c r="AE263" s="1">
        <v>3561676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25323618</v>
      </c>
      <c r="AM263" s="1">
        <v>0</v>
      </c>
      <c r="AN263" s="1">
        <v>0</v>
      </c>
      <c r="AO263" s="1">
        <v>154043529</v>
      </c>
      <c r="AP263" s="1">
        <v>59402769</v>
      </c>
      <c r="AQ263" s="1">
        <v>94640760</v>
      </c>
      <c r="AR263" s="1">
        <v>26552511</v>
      </c>
      <c r="AS263" s="1">
        <v>3982877</v>
      </c>
      <c r="AT263" s="3">
        <f t="shared" si="27"/>
        <v>184578917</v>
      </c>
    </row>
    <row r="264" spans="1:46" x14ac:dyDescent="0.2">
      <c r="A264" s="1" t="str">
        <f>"00310"</f>
        <v>00310</v>
      </c>
      <c r="B264" s="1" t="str">
        <f>"سيد محمدرضا"</f>
        <v>سيد محمدرضا</v>
      </c>
      <c r="C264" s="1" t="str">
        <f>"موسوي"</f>
        <v>موسوي</v>
      </c>
      <c r="D264" s="1" t="str">
        <f t="shared" si="24"/>
        <v>قراردادي بهره بردار</v>
      </c>
      <c r="E264" s="1" t="str">
        <f t="shared" si="26"/>
        <v>پروژه بهره برداري نيروگاه بوشهر</v>
      </c>
      <c r="F264" s="1">
        <v>16967261</v>
      </c>
      <c r="G264" s="1">
        <v>4553515</v>
      </c>
      <c r="H264" s="1">
        <v>0</v>
      </c>
      <c r="I264" s="1">
        <v>14435428</v>
      </c>
      <c r="J264" s="1">
        <v>0</v>
      </c>
      <c r="K264" s="1">
        <v>4620000</v>
      </c>
      <c r="L264" s="1">
        <v>0</v>
      </c>
      <c r="M264" s="1">
        <v>1000000</v>
      </c>
      <c r="N264" s="1">
        <v>3037606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22421585</v>
      </c>
      <c r="W264" s="1">
        <v>4000000</v>
      </c>
      <c r="X264" s="1">
        <v>2462990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2386690</v>
      </c>
      <c r="AF264" s="1">
        <v>1835427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12451223</v>
      </c>
      <c r="AM264" s="1">
        <v>0</v>
      </c>
      <c r="AN264" s="1">
        <v>0</v>
      </c>
      <c r="AO264" s="1">
        <v>90171725</v>
      </c>
      <c r="AP264" s="1">
        <v>38394076</v>
      </c>
      <c r="AQ264" s="1">
        <v>51777649</v>
      </c>
      <c r="AR264" s="1">
        <v>17667260</v>
      </c>
      <c r="AS264" s="1">
        <v>2650089</v>
      </c>
      <c r="AT264" s="3">
        <f t="shared" si="27"/>
        <v>110489074</v>
      </c>
    </row>
    <row r="265" spans="1:46" x14ac:dyDescent="0.2">
      <c r="A265" s="1" t="str">
        <f>"00311"</f>
        <v>00311</v>
      </c>
      <c r="B265" s="1" t="str">
        <f>"سروش"</f>
        <v>سروش</v>
      </c>
      <c r="C265" s="1" t="str">
        <f>"سياره"</f>
        <v>سياره</v>
      </c>
      <c r="D265" s="1" t="str">
        <f t="shared" si="24"/>
        <v>قراردادي بهره بردار</v>
      </c>
      <c r="E265" s="1" t="str">
        <f t="shared" si="26"/>
        <v>پروژه بهره برداري نيروگاه بوشهر</v>
      </c>
      <c r="F265" s="1">
        <v>18904577</v>
      </c>
      <c r="G265" s="1">
        <v>6691371</v>
      </c>
      <c r="H265" s="1">
        <v>0</v>
      </c>
      <c r="I265" s="1">
        <v>17122045</v>
      </c>
      <c r="J265" s="1">
        <v>0</v>
      </c>
      <c r="K265" s="1">
        <v>4620000</v>
      </c>
      <c r="L265" s="1">
        <v>0</v>
      </c>
      <c r="M265" s="1">
        <v>1000000</v>
      </c>
      <c r="N265" s="1">
        <v>3715666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11180077</v>
      </c>
      <c r="W265" s="1">
        <v>4000000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2919452</v>
      </c>
      <c r="AF265" s="1">
        <v>3670854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5424611</v>
      </c>
      <c r="AM265" s="1">
        <v>0</v>
      </c>
      <c r="AN265" s="1">
        <v>0</v>
      </c>
      <c r="AO265" s="1">
        <v>79248653</v>
      </c>
      <c r="AP265" s="1">
        <v>13560666</v>
      </c>
      <c r="AQ265" s="1">
        <v>65687987</v>
      </c>
      <c r="AR265" s="1">
        <v>15115560</v>
      </c>
      <c r="AS265" s="1">
        <v>2267334</v>
      </c>
      <c r="AT265" s="3">
        <f t="shared" si="27"/>
        <v>96631547</v>
      </c>
    </row>
    <row r="266" spans="1:46" x14ac:dyDescent="0.2">
      <c r="A266" s="1" t="str">
        <f>"00312"</f>
        <v>00312</v>
      </c>
      <c r="B266" s="1" t="str">
        <f>"فهيمه"</f>
        <v>فهيمه</v>
      </c>
      <c r="C266" s="1" t="str">
        <f>"قنبري"</f>
        <v>قنبري</v>
      </c>
      <c r="D266" s="1" t="str">
        <f t="shared" si="24"/>
        <v>قراردادي بهره بردار</v>
      </c>
      <c r="E266" s="1" t="str">
        <f t="shared" si="26"/>
        <v>پروژه بهره برداري نيروگاه بوشهر</v>
      </c>
      <c r="F266" s="1">
        <v>28387097</v>
      </c>
      <c r="G266" s="1">
        <v>0</v>
      </c>
      <c r="H266" s="1">
        <v>0</v>
      </c>
      <c r="I266" s="1">
        <v>21814038</v>
      </c>
      <c r="J266" s="1">
        <v>0</v>
      </c>
      <c r="K266" s="1">
        <v>4125000</v>
      </c>
      <c r="L266" s="1">
        <v>0</v>
      </c>
      <c r="M266" s="1">
        <v>1000000</v>
      </c>
      <c r="N266" s="1">
        <v>4563022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11391600</v>
      </c>
      <c r="W266" s="1">
        <v>4000000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3585232</v>
      </c>
      <c r="AF266" s="1">
        <v>1835427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5828639</v>
      </c>
      <c r="AM266" s="1">
        <v>0</v>
      </c>
      <c r="AN266" s="1">
        <v>0</v>
      </c>
      <c r="AO266" s="1">
        <v>86530055</v>
      </c>
      <c r="AP266" s="1">
        <v>37522197</v>
      </c>
      <c r="AQ266" s="1">
        <v>49007858</v>
      </c>
      <c r="AR266" s="1">
        <v>16938926</v>
      </c>
      <c r="AS266" s="1">
        <v>2540839</v>
      </c>
      <c r="AT266" s="3">
        <f t="shared" si="27"/>
        <v>106009820</v>
      </c>
    </row>
    <row r="267" spans="1:46" x14ac:dyDescent="0.2">
      <c r="A267" s="1" t="str">
        <f>"00313"</f>
        <v>00313</v>
      </c>
      <c r="B267" s="1" t="str">
        <f>"محمدرضا"</f>
        <v>محمدرضا</v>
      </c>
      <c r="C267" s="1" t="str">
        <f>"غلامي"</f>
        <v>غلامي</v>
      </c>
      <c r="D267" s="1" t="str">
        <f t="shared" si="24"/>
        <v>قراردادي بهره بردار</v>
      </c>
      <c r="E267" s="1" t="str">
        <f>"پروژه تعميرات نيروگاه بوشهر"</f>
        <v>پروژه تعميرات نيروگاه بوشهر</v>
      </c>
      <c r="F267" s="1">
        <v>23734011</v>
      </c>
      <c r="G267" s="1">
        <v>0</v>
      </c>
      <c r="H267" s="1">
        <v>0</v>
      </c>
      <c r="I267" s="1">
        <v>24843996</v>
      </c>
      <c r="J267" s="1">
        <v>0</v>
      </c>
      <c r="K267" s="1">
        <v>5500000</v>
      </c>
      <c r="L267" s="1">
        <v>0</v>
      </c>
      <c r="M267" s="1">
        <v>1000000</v>
      </c>
      <c r="N267" s="1">
        <v>4008405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14693194</v>
      </c>
      <c r="W267" s="1">
        <v>4000000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3149462</v>
      </c>
      <c r="AF267" s="1">
        <v>1835427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7460657</v>
      </c>
      <c r="AM267" s="1">
        <v>0</v>
      </c>
      <c r="AN267" s="1">
        <v>0</v>
      </c>
      <c r="AO267" s="1">
        <v>90225152</v>
      </c>
      <c r="AP267" s="1">
        <v>38419234</v>
      </c>
      <c r="AQ267" s="1">
        <v>51805918</v>
      </c>
      <c r="AR267" s="1">
        <v>17677945</v>
      </c>
      <c r="AS267" s="1">
        <v>2651692</v>
      </c>
      <c r="AT267" s="3">
        <f t="shared" si="27"/>
        <v>110554789</v>
      </c>
    </row>
    <row r="268" spans="1:46" x14ac:dyDescent="0.2">
      <c r="A268" s="1" t="str">
        <f>"00314"</f>
        <v>00314</v>
      </c>
      <c r="B268" s="1" t="str">
        <f>"مجتبي"</f>
        <v>مجتبي</v>
      </c>
      <c r="C268" s="1" t="str">
        <f>"طبسي"</f>
        <v>طبسي</v>
      </c>
      <c r="D268" s="1" t="str">
        <f t="shared" si="24"/>
        <v>قراردادي بهره بردار</v>
      </c>
      <c r="E268" s="1" t="str">
        <f t="shared" ref="E268:E293" si="28">"پروژه بهره برداري نيروگاه بوشهر"</f>
        <v>پروژه بهره برداري نيروگاه بوشهر</v>
      </c>
      <c r="F268" s="1">
        <v>18566995</v>
      </c>
      <c r="G268" s="1">
        <v>13284159</v>
      </c>
      <c r="H268" s="1">
        <v>0</v>
      </c>
      <c r="I268" s="1">
        <v>17251189</v>
      </c>
      <c r="J268" s="1">
        <v>0</v>
      </c>
      <c r="K268" s="1">
        <v>4620000</v>
      </c>
      <c r="L268" s="1">
        <v>0</v>
      </c>
      <c r="M268" s="1">
        <v>1000000</v>
      </c>
      <c r="N268" s="1">
        <v>3597513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18456422</v>
      </c>
      <c r="W268" s="1">
        <v>4000000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2826617</v>
      </c>
      <c r="AF268" s="1">
        <v>1835427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9025525</v>
      </c>
      <c r="AM268" s="1">
        <v>0</v>
      </c>
      <c r="AN268" s="1">
        <v>0</v>
      </c>
      <c r="AO268" s="1">
        <v>94463847</v>
      </c>
      <c r="AP268" s="1">
        <v>33842783</v>
      </c>
      <c r="AQ268" s="1">
        <v>60621064</v>
      </c>
      <c r="AR268" s="1">
        <v>18525684</v>
      </c>
      <c r="AS268" s="1">
        <v>2778853</v>
      </c>
      <c r="AT268" s="3">
        <f t="shared" si="27"/>
        <v>115768384</v>
      </c>
    </row>
    <row r="269" spans="1:46" x14ac:dyDescent="0.2">
      <c r="A269" s="1" t="str">
        <f>"00315"</f>
        <v>00315</v>
      </c>
      <c r="B269" s="1" t="str">
        <f>"فرشاد"</f>
        <v>فرشاد</v>
      </c>
      <c r="C269" s="1" t="str">
        <f>"خالقي قناتغستاني"</f>
        <v>خالقي قناتغستاني</v>
      </c>
      <c r="D269" s="1" t="str">
        <f t="shared" si="24"/>
        <v>قراردادي بهره بردار</v>
      </c>
      <c r="E269" s="1" t="str">
        <f t="shared" si="28"/>
        <v>پروژه بهره برداري نيروگاه بوشهر</v>
      </c>
      <c r="F269" s="1">
        <v>18123604</v>
      </c>
      <c r="G269" s="1">
        <v>9910785</v>
      </c>
      <c r="H269" s="1">
        <v>0</v>
      </c>
      <c r="I269" s="1">
        <v>16814457</v>
      </c>
      <c r="J269" s="1">
        <v>0</v>
      </c>
      <c r="K269" s="1">
        <v>4620000</v>
      </c>
      <c r="L269" s="1">
        <v>0</v>
      </c>
      <c r="M269" s="1">
        <v>1000000</v>
      </c>
      <c r="N269" s="1">
        <v>3442326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18961159</v>
      </c>
      <c r="W269" s="1">
        <v>4000000</v>
      </c>
      <c r="X269" s="1">
        <v>2630846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2704685</v>
      </c>
      <c r="AF269" s="1">
        <v>1835427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13874811</v>
      </c>
      <c r="AM269" s="1">
        <v>0</v>
      </c>
      <c r="AN269" s="1">
        <v>0</v>
      </c>
      <c r="AO269" s="1">
        <v>97918100</v>
      </c>
      <c r="AP269" s="1">
        <v>49979438</v>
      </c>
      <c r="AQ269" s="1">
        <v>47938662</v>
      </c>
      <c r="AR269" s="1">
        <v>19216535</v>
      </c>
      <c r="AS269" s="1">
        <v>2882480</v>
      </c>
      <c r="AT269" s="3">
        <f t="shared" si="27"/>
        <v>120017115</v>
      </c>
    </row>
    <row r="270" spans="1:46" x14ac:dyDescent="0.2">
      <c r="A270" s="1" t="str">
        <f>"00316"</f>
        <v>00316</v>
      </c>
      <c r="B270" s="1" t="str">
        <f>"مهدي"</f>
        <v>مهدي</v>
      </c>
      <c r="C270" s="1" t="str">
        <f>"دهقان زاده"</f>
        <v>دهقان زاده</v>
      </c>
      <c r="D270" s="1" t="str">
        <f t="shared" si="24"/>
        <v>قراردادي بهره بردار</v>
      </c>
      <c r="E270" s="1" t="str">
        <f t="shared" si="28"/>
        <v>پروژه بهره برداري نيروگاه بوشهر</v>
      </c>
      <c r="F270" s="1">
        <v>18310030</v>
      </c>
      <c r="G270" s="1">
        <v>11774839</v>
      </c>
      <c r="H270" s="1">
        <v>0</v>
      </c>
      <c r="I270" s="1">
        <v>15531799</v>
      </c>
      <c r="J270" s="1">
        <v>0</v>
      </c>
      <c r="K270" s="1">
        <v>4620000</v>
      </c>
      <c r="L270" s="1">
        <v>0</v>
      </c>
      <c r="M270" s="1">
        <v>1000000</v>
      </c>
      <c r="N270" s="1">
        <v>3507575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10854421</v>
      </c>
      <c r="W270" s="1">
        <v>4000000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2755952</v>
      </c>
      <c r="AF270" s="1">
        <v>1835427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6580325</v>
      </c>
      <c r="AM270" s="1">
        <v>0</v>
      </c>
      <c r="AN270" s="1">
        <v>0</v>
      </c>
      <c r="AO270" s="1">
        <v>80770368</v>
      </c>
      <c r="AP270" s="1">
        <v>33228234</v>
      </c>
      <c r="AQ270" s="1">
        <v>47542134</v>
      </c>
      <c r="AR270" s="1">
        <v>15786988</v>
      </c>
      <c r="AS270" s="1">
        <v>2368048</v>
      </c>
      <c r="AT270" s="3">
        <f t="shared" si="27"/>
        <v>98925404</v>
      </c>
    </row>
    <row r="271" spans="1:46" x14ac:dyDescent="0.2">
      <c r="A271" s="1" t="str">
        <f>"00317"</f>
        <v>00317</v>
      </c>
      <c r="B271" s="1" t="str">
        <f>"محمدرضا"</f>
        <v>محمدرضا</v>
      </c>
      <c r="C271" s="1" t="str">
        <f>"جليلي"</f>
        <v>جليلي</v>
      </c>
      <c r="D271" s="1" t="str">
        <f t="shared" si="24"/>
        <v>قراردادي بهره بردار</v>
      </c>
      <c r="E271" s="1" t="str">
        <f t="shared" si="28"/>
        <v>پروژه بهره برداري نيروگاه بوشهر</v>
      </c>
      <c r="F271" s="1">
        <v>24877758</v>
      </c>
      <c r="G271" s="1">
        <v>16115943</v>
      </c>
      <c r="H271" s="1">
        <v>0</v>
      </c>
      <c r="I271" s="1">
        <v>20500533</v>
      </c>
      <c r="J271" s="1">
        <v>0</v>
      </c>
      <c r="K271" s="1">
        <v>5500000</v>
      </c>
      <c r="L271" s="1">
        <v>0</v>
      </c>
      <c r="M271" s="1">
        <v>1000000</v>
      </c>
      <c r="N271" s="1">
        <v>4408717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19204606</v>
      </c>
      <c r="W271" s="1">
        <v>4000000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3463992</v>
      </c>
      <c r="AF271" s="1">
        <v>1835427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6298167</v>
      </c>
      <c r="AM271" s="1">
        <v>0</v>
      </c>
      <c r="AN271" s="1">
        <v>0</v>
      </c>
      <c r="AO271" s="1">
        <v>107205143</v>
      </c>
      <c r="AP271" s="1">
        <v>47206333</v>
      </c>
      <c r="AQ271" s="1">
        <v>59998810</v>
      </c>
      <c r="AR271" s="1">
        <v>21073943</v>
      </c>
      <c r="AS271" s="1">
        <v>3161091</v>
      </c>
      <c r="AT271" s="3">
        <f t="shared" si="27"/>
        <v>131440177</v>
      </c>
    </row>
    <row r="272" spans="1:46" x14ac:dyDescent="0.2">
      <c r="A272" s="1" t="str">
        <f>"00318"</f>
        <v>00318</v>
      </c>
      <c r="B272" s="1" t="str">
        <f>"حميد"</f>
        <v>حميد</v>
      </c>
      <c r="C272" s="1" t="str">
        <f>"صحرائي"</f>
        <v>صحرائي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17967410</v>
      </c>
      <c r="G272" s="1">
        <v>9134456</v>
      </c>
      <c r="H272" s="1">
        <v>0</v>
      </c>
      <c r="I272" s="1">
        <v>16251044</v>
      </c>
      <c r="J272" s="1">
        <v>0</v>
      </c>
      <c r="K272" s="1">
        <v>4620000</v>
      </c>
      <c r="L272" s="1">
        <v>0</v>
      </c>
      <c r="M272" s="1">
        <v>1000000</v>
      </c>
      <c r="N272" s="1">
        <v>3387658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23082601</v>
      </c>
      <c r="W272" s="1">
        <v>4000000</v>
      </c>
      <c r="X272" s="1">
        <v>2608172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2661731</v>
      </c>
      <c r="AF272" s="1">
        <v>3670854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12795608</v>
      </c>
      <c r="AM272" s="1">
        <v>0</v>
      </c>
      <c r="AN272" s="1">
        <v>0</v>
      </c>
      <c r="AO272" s="1">
        <v>101179534</v>
      </c>
      <c r="AP272" s="1">
        <v>21538725</v>
      </c>
      <c r="AQ272" s="1">
        <v>79640809</v>
      </c>
      <c r="AR272" s="1">
        <v>19501736</v>
      </c>
      <c r="AS272" s="1">
        <v>2925260</v>
      </c>
      <c r="AT272" s="3">
        <f t="shared" si="27"/>
        <v>123606530</v>
      </c>
    </row>
    <row r="273" spans="1:46" x14ac:dyDescent="0.2">
      <c r="A273" s="1" t="str">
        <f>"00319"</f>
        <v>00319</v>
      </c>
      <c r="B273" s="1" t="str">
        <f>"سعيد"</f>
        <v>سعيد</v>
      </c>
      <c r="C273" s="1" t="str">
        <f>"لازمي"</f>
        <v>لازمي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28094862</v>
      </c>
      <c r="G273" s="1">
        <v>47609107</v>
      </c>
      <c r="H273" s="1">
        <v>0</v>
      </c>
      <c r="I273" s="1">
        <v>24876586</v>
      </c>
      <c r="J273" s="1">
        <v>0</v>
      </c>
      <c r="K273" s="1">
        <v>5500000</v>
      </c>
      <c r="L273" s="1">
        <v>0</v>
      </c>
      <c r="M273" s="1">
        <v>1000000</v>
      </c>
      <c r="N273" s="1">
        <v>4460740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34404433</v>
      </c>
      <c r="W273" s="1">
        <v>4000000</v>
      </c>
      <c r="X273" s="1">
        <v>4078286</v>
      </c>
      <c r="Y273" s="1">
        <v>0</v>
      </c>
      <c r="Z273" s="1">
        <v>0</v>
      </c>
      <c r="AA273" s="1">
        <v>0</v>
      </c>
      <c r="AB273" s="1">
        <v>0</v>
      </c>
      <c r="AC273" s="1">
        <v>4459102</v>
      </c>
      <c r="AD273" s="1">
        <v>0</v>
      </c>
      <c r="AE273" s="1">
        <v>3504867</v>
      </c>
      <c r="AF273" s="1">
        <v>1835427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25141828</v>
      </c>
      <c r="AM273" s="1">
        <v>0</v>
      </c>
      <c r="AN273" s="1">
        <v>0</v>
      </c>
      <c r="AO273" s="1">
        <v>188965238</v>
      </c>
      <c r="AP273" s="1">
        <v>66358979</v>
      </c>
      <c r="AQ273" s="1">
        <v>122606259</v>
      </c>
      <c r="AR273" s="1">
        <v>26552511</v>
      </c>
      <c r="AS273" s="1">
        <v>3982877</v>
      </c>
      <c r="AT273" s="3">
        <f t="shared" si="27"/>
        <v>219500626</v>
      </c>
    </row>
    <row r="274" spans="1:46" x14ac:dyDescent="0.2">
      <c r="A274" s="1" t="str">
        <f>"00320"</f>
        <v>00320</v>
      </c>
      <c r="B274" s="1" t="str">
        <f>"داريوش"</f>
        <v>داريوش</v>
      </c>
      <c r="C274" s="1" t="str">
        <f>"راهواره"</f>
        <v>راهواره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17544173</v>
      </c>
      <c r="G274" s="1">
        <v>4355747</v>
      </c>
      <c r="H274" s="1">
        <v>0</v>
      </c>
      <c r="I274" s="1">
        <v>13131980</v>
      </c>
      <c r="J274" s="1">
        <v>0</v>
      </c>
      <c r="K274" s="1">
        <v>4620000</v>
      </c>
      <c r="L274" s="1">
        <v>0</v>
      </c>
      <c r="M274" s="1">
        <v>1000000</v>
      </c>
      <c r="N274" s="1">
        <v>3239525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9703558</v>
      </c>
      <c r="W274" s="1">
        <v>4000000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2545341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5274715</v>
      </c>
      <c r="AM274" s="1">
        <v>0</v>
      </c>
      <c r="AN274" s="1">
        <v>0</v>
      </c>
      <c r="AO274" s="1">
        <v>65415039</v>
      </c>
      <c r="AP274" s="1">
        <v>11993890</v>
      </c>
      <c r="AQ274" s="1">
        <v>53421149</v>
      </c>
      <c r="AR274" s="1">
        <v>13083008</v>
      </c>
      <c r="AS274" s="1">
        <v>1962451</v>
      </c>
      <c r="AT274" s="3">
        <f t="shared" si="27"/>
        <v>80460498</v>
      </c>
    </row>
    <row r="275" spans="1:46" x14ac:dyDescent="0.2">
      <c r="A275" s="1" t="str">
        <f>"00321"</f>
        <v>00321</v>
      </c>
      <c r="B275" s="1" t="str">
        <f>"محمد"</f>
        <v>محمد</v>
      </c>
      <c r="C275" s="1" t="str">
        <f>"ابراهيمي"</f>
        <v>ابراهيمي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18274760</v>
      </c>
      <c r="G275" s="1">
        <v>7645238</v>
      </c>
      <c r="H275" s="1">
        <v>0</v>
      </c>
      <c r="I275" s="1">
        <v>16233572</v>
      </c>
      <c r="J275" s="1">
        <v>0</v>
      </c>
      <c r="K275" s="1">
        <v>4620000</v>
      </c>
      <c r="L275" s="1">
        <v>0</v>
      </c>
      <c r="M275" s="1">
        <v>1000000</v>
      </c>
      <c r="N275" s="1">
        <v>3495230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12773817</v>
      </c>
      <c r="W275" s="1">
        <v>4000000</v>
      </c>
      <c r="X275" s="1">
        <v>2652788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2746253</v>
      </c>
      <c r="AF275" s="1">
        <v>1835427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14191332</v>
      </c>
      <c r="AM275" s="1">
        <v>0</v>
      </c>
      <c r="AN275" s="1">
        <v>0</v>
      </c>
      <c r="AO275" s="1">
        <v>89468417</v>
      </c>
      <c r="AP275" s="1">
        <v>37487522</v>
      </c>
      <c r="AQ275" s="1">
        <v>51980895</v>
      </c>
      <c r="AR275" s="1">
        <v>17526598</v>
      </c>
      <c r="AS275" s="1">
        <v>2628990</v>
      </c>
      <c r="AT275" s="3">
        <f t="shared" si="27"/>
        <v>109624005</v>
      </c>
    </row>
    <row r="276" spans="1:46" x14ac:dyDescent="0.2">
      <c r="A276" s="1" t="str">
        <f>"00322"</f>
        <v>00322</v>
      </c>
      <c r="B276" s="1" t="str">
        <f>"ميثم"</f>
        <v>ميثم</v>
      </c>
      <c r="C276" s="1" t="str">
        <f>"توتونچي رازليقي"</f>
        <v>توتونچي رازليقي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18483860</v>
      </c>
      <c r="G276" s="1">
        <v>5971725</v>
      </c>
      <c r="H276" s="1">
        <v>0</v>
      </c>
      <c r="I276" s="1">
        <v>16316359</v>
      </c>
      <c r="J276" s="1">
        <v>0</v>
      </c>
      <c r="K276" s="1">
        <v>3465000</v>
      </c>
      <c r="L276" s="1">
        <v>0</v>
      </c>
      <c r="M276" s="1">
        <v>1000000</v>
      </c>
      <c r="N276" s="1">
        <v>3568415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15874647</v>
      </c>
      <c r="W276" s="1">
        <v>4000000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2803755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8051324</v>
      </c>
      <c r="AM276" s="1">
        <v>0</v>
      </c>
      <c r="AN276" s="1">
        <v>0</v>
      </c>
      <c r="AO276" s="1">
        <v>79535085</v>
      </c>
      <c r="AP276" s="1">
        <v>29745183</v>
      </c>
      <c r="AQ276" s="1">
        <v>49789902</v>
      </c>
      <c r="AR276" s="1">
        <v>15907017</v>
      </c>
      <c r="AS276" s="1">
        <v>2386053</v>
      </c>
      <c r="AT276" s="3">
        <f t="shared" si="27"/>
        <v>97828155</v>
      </c>
    </row>
    <row r="277" spans="1:46" x14ac:dyDescent="0.2">
      <c r="A277" s="1" t="str">
        <f>"00323"</f>
        <v>00323</v>
      </c>
      <c r="B277" s="1" t="str">
        <f>"احد"</f>
        <v>احد</v>
      </c>
      <c r="C277" s="1" t="str">
        <f>"بلاغي اينالو"</f>
        <v>بلاغي اينالو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17554250</v>
      </c>
      <c r="G277" s="1">
        <v>11619527</v>
      </c>
      <c r="H277" s="1">
        <v>0</v>
      </c>
      <c r="I277" s="1">
        <v>16400014</v>
      </c>
      <c r="J277" s="1">
        <v>0</v>
      </c>
      <c r="K277" s="1">
        <v>4620000</v>
      </c>
      <c r="L277" s="1">
        <v>0</v>
      </c>
      <c r="M277" s="1">
        <v>1000000</v>
      </c>
      <c r="N277" s="1">
        <v>3243052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18364160</v>
      </c>
      <c r="W277" s="1">
        <v>4000000</v>
      </c>
      <c r="X277" s="1">
        <v>2548198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2548112</v>
      </c>
      <c r="AF277" s="1">
        <v>1835427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13484022</v>
      </c>
      <c r="AM277" s="1">
        <v>0</v>
      </c>
      <c r="AN277" s="1">
        <v>0</v>
      </c>
      <c r="AO277" s="1">
        <v>97216762</v>
      </c>
      <c r="AP277" s="1">
        <v>22952712</v>
      </c>
      <c r="AQ277" s="1">
        <v>74264050</v>
      </c>
      <c r="AR277" s="1">
        <v>19076267</v>
      </c>
      <c r="AS277" s="1">
        <v>2861440</v>
      </c>
      <c r="AT277" s="3">
        <f t="shared" si="27"/>
        <v>119154469</v>
      </c>
    </row>
    <row r="278" spans="1:46" x14ac:dyDescent="0.2">
      <c r="A278" s="1" t="str">
        <f>"00324"</f>
        <v>00324</v>
      </c>
      <c r="B278" s="1" t="str">
        <f>"مسعود"</f>
        <v>مسعود</v>
      </c>
      <c r="C278" s="1" t="str">
        <f>"خواجوي قره ميرشاملو"</f>
        <v>خواجوي قره ميرشاملو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18231933</v>
      </c>
      <c r="G278" s="1">
        <v>6814477</v>
      </c>
      <c r="H278" s="1">
        <v>0</v>
      </c>
      <c r="I278" s="1">
        <v>16626181</v>
      </c>
      <c r="J278" s="1">
        <v>0</v>
      </c>
      <c r="K278" s="1">
        <v>4620000</v>
      </c>
      <c r="L278" s="1">
        <v>0</v>
      </c>
      <c r="M278" s="1">
        <v>1000000</v>
      </c>
      <c r="N278" s="1">
        <v>3480241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19259150</v>
      </c>
      <c r="W278" s="1">
        <v>4000000</v>
      </c>
      <c r="X278" s="1">
        <v>2646571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2734475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13953311</v>
      </c>
      <c r="AM278" s="1">
        <v>0</v>
      </c>
      <c r="AN278" s="1">
        <v>0</v>
      </c>
      <c r="AO278" s="1">
        <v>93366339</v>
      </c>
      <c r="AP278" s="1">
        <v>31190256</v>
      </c>
      <c r="AQ278" s="1">
        <v>62176083</v>
      </c>
      <c r="AR278" s="1">
        <v>18673268</v>
      </c>
      <c r="AS278" s="1">
        <v>2800990</v>
      </c>
      <c r="AT278" s="3">
        <f t="shared" si="27"/>
        <v>114840597</v>
      </c>
    </row>
    <row r="279" spans="1:46" x14ac:dyDescent="0.2">
      <c r="A279" s="1" t="str">
        <f>"00325"</f>
        <v>00325</v>
      </c>
      <c r="B279" s="1" t="str">
        <f>"وحيد"</f>
        <v>وحيد</v>
      </c>
      <c r="C279" s="1" t="str">
        <f>"ابراهيمي اصطهباناتي"</f>
        <v>ابراهيمي اصطهباناتي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18141239</v>
      </c>
      <c r="G279" s="1">
        <v>12509350</v>
      </c>
      <c r="H279" s="1">
        <v>0</v>
      </c>
      <c r="I279" s="1">
        <v>17271628</v>
      </c>
      <c r="J279" s="1">
        <v>0</v>
      </c>
      <c r="K279" s="1">
        <v>4620000</v>
      </c>
      <c r="L279" s="1">
        <v>0</v>
      </c>
      <c r="M279" s="1">
        <v>1000000</v>
      </c>
      <c r="N279" s="1">
        <v>3448498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12862076</v>
      </c>
      <c r="W279" s="1">
        <v>4000000</v>
      </c>
      <c r="X279" s="1">
        <v>2633406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2709534</v>
      </c>
      <c r="AF279" s="1">
        <v>1835427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13749855</v>
      </c>
      <c r="AM279" s="1">
        <v>0</v>
      </c>
      <c r="AN279" s="1">
        <v>0</v>
      </c>
      <c r="AO279" s="1">
        <v>94781013</v>
      </c>
      <c r="AP279" s="1">
        <v>45860062</v>
      </c>
      <c r="AQ279" s="1">
        <v>48920951</v>
      </c>
      <c r="AR279" s="1">
        <v>18589117</v>
      </c>
      <c r="AS279" s="1">
        <v>2788368</v>
      </c>
      <c r="AT279" s="3">
        <f t="shared" si="27"/>
        <v>116158498</v>
      </c>
    </row>
    <row r="280" spans="1:46" x14ac:dyDescent="0.2">
      <c r="A280" s="1" t="str">
        <f>"00326"</f>
        <v>00326</v>
      </c>
      <c r="B280" s="1" t="str">
        <f>"هادي"</f>
        <v>هادي</v>
      </c>
      <c r="C280" s="1" t="str">
        <f>"زراعت پيشه"</f>
        <v>زراعت پيشه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18642573</v>
      </c>
      <c r="G280" s="1">
        <v>11988687</v>
      </c>
      <c r="H280" s="1">
        <v>0</v>
      </c>
      <c r="I280" s="1">
        <v>17906219</v>
      </c>
      <c r="J280" s="1">
        <v>0</v>
      </c>
      <c r="K280" s="1">
        <v>4620000</v>
      </c>
      <c r="L280" s="1">
        <v>0</v>
      </c>
      <c r="M280" s="1">
        <v>1000000</v>
      </c>
      <c r="N280" s="1">
        <v>3623965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24524678</v>
      </c>
      <c r="W280" s="1">
        <v>4000000</v>
      </c>
      <c r="X280" s="1">
        <v>2706180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2847402</v>
      </c>
      <c r="AF280" s="1">
        <v>3670854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13358412</v>
      </c>
      <c r="AM280" s="1">
        <v>0</v>
      </c>
      <c r="AN280" s="1">
        <v>0</v>
      </c>
      <c r="AO280" s="1">
        <v>108888970</v>
      </c>
      <c r="AP280" s="1">
        <v>45338019</v>
      </c>
      <c r="AQ280" s="1">
        <v>63550951</v>
      </c>
      <c r="AR280" s="1">
        <v>21043623</v>
      </c>
      <c r="AS280" s="1">
        <v>3156543</v>
      </c>
      <c r="AT280" s="3">
        <f t="shared" si="27"/>
        <v>133089136</v>
      </c>
    </row>
    <row r="281" spans="1:46" x14ac:dyDescent="0.2">
      <c r="A281" s="1" t="str">
        <f>"00327"</f>
        <v>00327</v>
      </c>
      <c r="B281" s="1" t="str">
        <f>"محمد"</f>
        <v>محمد</v>
      </c>
      <c r="C281" s="1" t="str">
        <f>"بختياري"</f>
        <v>بختياري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27039289</v>
      </c>
      <c r="G281" s="1">
        <v>34155263</v>
      </c>
      <c r="H281" s="1">
        <v>0</v>
      </c>
      <c r="I281" s="1">
        <v>21975840</v>
      </c>
      <c r="J281" s="1">
        <v>0</v>
      </c>
      <c r="K281" s="1">
        <v>0</v>
      </c>
      <c r="L281" s="1">
        <v>0</v>
      </c>
      <c r="M281" s="1">
        <v>1000000</v>
      </c>
      <c r="N281" s="1">
        <v>4091289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21521340</v>
      </c>
      <c r="W281" s="1">
        <v>4000000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3214584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5610911</v>
      </c>
      <c r="AM281" s="1">
        <v>0</v>
      </c>
      <c r="AN281" s="1">
        <v>0</v>
      </c>
      <c r="AO281" s="1">
        <v>122608516</v>
      </c>
      <c r="AP281" s="1">
        <v>33820215</v>
      </c>
      <c r="AQ281" s="1">
        <v>88788301</v>
      </c>
      <c r="AR281" s="1">
        <v>24521703</v>
      </c>
      <c r="AS281" s="1">
        <v>3678255</v>
      </c>
      <c r="AT281" s="3">
        <f t="shared" si="27"/>
        <v>150808474</v>
      </c>
    </row>
    <row r="282" spans="1:46" x14ac:dyDescent="0.2">
      <c r="A282" s="1" t="str">
        <f>"00328"</f>
        <v>00328</v>
      </c>
      <c r="B282" s="1" t="str">
        <f>"يوسف"</f>
        <v>يوسف</v>
      </c>
      <c r="C282" s="1" t="str">
        <f>"برکاتي"</f>
        <v>برکاتي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18128643</v>
      </c>
      <c r="G282" s="1">
        <v>2774945</v>
      </c>
      <c r="H282" s="1">
        <v>0</v>
      </c>
      <c r="I282" s="1">
        <v>16361523</v>
      </c>
      <c r="J282" s="1">
        <v>0</v>
      </c>
      <c r="K282" s="1">
        <v>4620000</v>
      </c>
      <c r="L282" s="1">
        <v>0</v>
      </c>
      <c r="M282" s="1">
        <v>1000000</v>
      </c>
      <c r="N282" s="1">
        <v>3444090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24501938</v>
      </c>
      <c r="W282" s="1">
        <v>4000000</v>
      </c>
      <c r="X282" s="1">
        <v>2631577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2706071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13507602</v>
      </c>
      <c r="AM282" s="1">
        <v>0</v>
      </c>
      <c r="AN282" s="1">
        <v>0</v>
      </c>
      <c r="AO282" s="1">
        <v>93676389</v>
      </c>
      <c r="AP282" s="1">
        <v>37658258</v>
      </c>
      <c r="AQ282" s="1">
        <v>56018131</v>
      </c>
      <c r="AR282" s="1">
        <v>18735278</v>
      </c>
      <c r="AS282" s="1">
        <v>2810292</v>
      </c>
      <c r="AT282" s="3">
        <f t="shared" si="27"/>
        <v>115221959</v>
      </c>
    </row>
    <row r="283" spans="1:46" x14ac:dyDescent="0.2">
      <c r="A283" s="1" t="str">
        <f>"00329"</f>
        <v>00329</v>
      </c>
      <c r="B283" s="1" t="str">
        <f>"رضا"</f>
        <v>رضا</v>
      </c>
      <c r="C283" s="1" t="str">
        <f>"پرناک"</f>
        <v>پرناک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17954814</v>
      </c>
      <c r="G283" s="1">
        <v>15801982</v>
      </c>
      <c r="H283" s="1">
        <v>0</v>
      </c>
      <c r="I283" s="1">
        <v>16280628</v>
      </c>
      <c r="J283" s="1">
        <v>0</v>
      </c>
      <c r="K283" s="1">
        <v>4620000</v>
      </c>
      <c r="L283" s="1">
        <v>0</v>
      </c>
      <c r="M283" s="1">
        <v>1000000</v>
      </c>
      <c r="N283" s="1">
        <v>3383249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18529355</v>
      </c>
      <c r="W283" s="1">
        <v>4000000</v>
      </c>
      <c r="X283" s="1">
        <v>2606344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2658268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13431319</v>
      </c>
      <c r="AM283" s="1">
        <v>0</v>
      </c>
      <c r="AN283" s="1">
        <v>0</v>
      </c>
      <c r="AO283" s="1">
        <v>100265959</v>
      </c>
      <c r="AP283" s="1">
        <v>30142535</v>
      </c>
      <c r="AQ283" s="1">
        <v>70123424</v>
      </c>
      <c r="AR283" s="1">
        <v>20053192</v>
      </c>
      <c r="AS283" s="1">
        <v>3007979</v>
      </c>
      <c r="AT283" s="3">
        <f t="shared" si="27"/>
        <v>123327130</v>
      </c>
    </row>
    <row r="284" spans="1:46" x14ac:dyDescent="0.2">
      <c r="A284" s="1" t="str">
        <f>"00330"</f>
        <v>00330</v>
      </c>
      <c r="B284" s="1" t="str">
        <f>"مهدي"</f>
        <v>مهدي</v>
      </c>
      <c r="C284" s="1" t="str">
        <f>"حيدري"</f>
        <v>حيدري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29568633</v>
      </c>
      <c r="G284" s="1">
        <v>69217639</v>
      </c>
      <c r="H284" s="1">
        <v>0</v>
      </c>
      <c r="I284" s="1">
        <v>26526743</v>
      </c>
      <c r="J284" s="1">
        <v>0</v>
      </c>
      <c r="K284" s="1">
        <v>5500000</v>
      </c>
      <c r="L284" s="1">
        <v>0</v>
      </c>
      <c r="M284" s="1">
        <v>1000000</v>
      </c>
      <c r="N284" s="1">
        <v>4976559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25431073</v>
      </c>
      <c r="W284" s="1">
        <v>4000000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3910154</v>
      </c>
      <c r="AF284" s="1">
        <v>3670854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7678120</v>
      </c>
      <c r="AM284" s="1">
        <v>0</v>
      </c>
      <c r="AN284" s="1">
        <v>0</v>
      </c>
      <c r="AO284" s="1">
        <v>181479775</v>
      </c>
      <c r="AP284" s="1">
        <v>70398457</v>
      </c>
      <c r="AQ284" s="1">
        <v>111081318</v>
      </c>
      <c r="AR284" s="1">
        <v>26552511</v>
      </c>
      <c r="AS284" s="1">
        <v>3982877</v>
      </c>
      <c r="AT284" s="3">
        <f t="shared" si="27"/>
        <v>212015163</v>
      </c>
    </row>
    <row r="285" spans="1:46" x14ac:dyDescent="0.2">
      <c r="A285" s="1" t="str">
        <f>"00331"</f>
        <v>00331</v>
      </c>
      <c r="B285" s="1" t="str">
        <f>"رويا"</f>
        <v>رويا</v>
      </c>
      <c r="C285" s="1" t="str">
        <f>"مرادي"</f>
        <v>مرادي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27956302</v>
      </c>
      <c r="G285" s="1">
        <v>0</v>
      </c>
      <c r="H285" s="1">
        <v>0</v>
      </c>
      <c r="I285" s="1">
        <v>22053906</v>
      </c>
      <c r="J285" s="1">
        <v>0</v>
      </c>
      <c r="K285" s="1">
        <v>4125000</v>
      </c>
      <c r="L285" s="1">
        <v>0</v>
      </c>
      <c r="M285" s="1">
        <v>1000000</v>
      </c>
      <c r="N285" s="1">
        <v>4412243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11240587</v>
      </c>
      <c r="W285" s="1">
        <v>4000000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3466763</v>
      </c>
      <c r="AF285" s="1">
        <v>1835427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6342707</v>
      </c>
      <c r="AM285" s="1">
        <v>0</v>
      </c>
      <c r="AN285" s="1">
        <v>0</v>
      </c>
      <c r="AO285" s="1">
        <v>86432935</v>
      </c>
      <c r="AP285" s="1">
        <v>13483516</v>
      </c>
      <c r="AQ285" s="1">
        <v>72949419</v>
      </c>
      <c r="AR285" s="1">
        <v>16919502</v>
      </c>
      <c r="AS285" s="1">
        <v>2537925</v>
      </c>
      <c r="AT285" s="3">
        <f t="shared" si="27"/>
        <v>105890362</v>
      </c>
    </row>
    <row r="286" spans="1:46" x14ac:dyDescent="0.2">
      <c r="A286" s="1" t="str">
        <f>"00332"</f>
        <v>00332</v>
      </c>
      <c r="B286" s="1" t="str">
        <f>"افسانه"</f>
        <v>افسانه</v>
      </c>
      <c r="C286" s="1" t="str">
        <f>"غريبي"</f>
        <v>غريبي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5410897</v>
      </c>
      <c r="G286" s="1">
        <v>0</v>
      </c>
      <c r="H286" s="1">
        <v>0</v>
      </c>
      <c r="I286" s="1">
        <v>4376054</v>
      </c>
      <c r="J286" s="1">
        <v>0</v>
      </c>
      <c r="K286" s="1">
        <v>1005968</v>
      </c>
      <c r="L286" s="1">
        <v>0</v>
      </c>
      <c r="M286" s="1">
        <v>290323</v>
      </c>
      <c r="N286" s="1">
        <v>1051607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1331669</v>
      </c>
      <c r="W286" s="1">
        <v>1161290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826263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1651867</v>
      </c>
      <c r="AM286" s="1">
        <v>0</v>
      </c>
      <c r="AN286" s="1">
        <v>0</v>
      </c>
      <c r="AO286" s="1">
        <v>17105938</v>
      </c>
      <c r="AP286" s="1">
        <v>17105938</v>
      </c>
      <c r="AQ286" s="1">
        <v>0</v>
      </c>
      <c r="AR286" s="1">
        <v>3421188</v>
      </c>
      <c r="AS286" s="1">
        <v>513178</v>
      </c>
      <c r="AT286" s="3">
        <f t="shared" si="27"/>
        <v>21040304</v>
      </c>
    </row>
    <row r="287" spans="1:46" x14ac:dyDescent="0.2">
      <c r="A287" s="1" t="str">
        <f>"00333"</f>
        <v>00333</v>
      </c>
      <c r="B287" s="1" t="str">
        <f>"اعظم"</f>
        <v>اعظم</v>
      </c>
      <c r="C287" s="1" t="str">
        <f>"دشت پوري"</f>
        <v>دشت پوري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27218157</v>
      </c>
      <c r="G287" s="1">
        <v>1070412</v>
      </c>
      <c r="H287" s="1">
        <v>0</v>
      </c>
      <c r="I287" s="1">
        <v>22835679</v>
      </c>
      <c r="J287" s="1">
        <v>0</v>
      </c>
      <c r="K287" s="1">
        <v>4125000</v>
      </c>
      <c r="L287" s="1">
        <v>0</v>
      </c>
      <c r="M287" s="1">
        <v>1000000</v>
      </c>
      <c r="N287" s="1">
        <v>4153893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11433315</v>
      </c>
      <c r="W287" s="1">
        <v>4000000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3263773</v>
      </c>
      <c r="AF287" s="1">
        <v>1835427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6941537</v>
      </c>
      <c r="AM287" s="1">
        <v>0</v>
      </c>
      <c r="AN287" s="1">
        <v>0</v>
      </c>
      <c r="AO287" s="1">
        <v>87877193</v>
      </c>
      <c r="AP287" s="1">
        <v>12993464</v>
      </c>
      <c r="AQ287" s="1">
        <v>74883729</v>
      </c>
      <c r="AR287" s="1">
        <v>17208353</v>
      </c>
      <c r="AS287" s="1">
        <v>2581253</v>
      </c>
      <c r="AT287" s="3">
        <f t="shared" si="27"/>
        <v>107666799</v>
      </c>
    </row>
    <row r="288" spans="1:46" x14ac:dyDescent="0.2">
      <c r="A288" s="1" t="str">
        <f>"00334"</f>
        <v>00334</v>
      </c>
      <c r="B288" s="1" t="str">
        <f>"اسماعيل"</f>
        <v>اسماعيل</v>
      </c>
      <c r="C288" s="1" t="str">
        <f>"عبدلي محمدآبادي"</f>
        <v>عبدلي محمدآبادي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27719491</v>
      </c>
      <c r="G288" s="1">
        <v>16943487</v>
      </c>
      <c r="H288" s="1">
        <v>0</v>
      </c>
      <c r="I288" s="1">
        <v>23454302</v>
      </c>
      <c r="J288" s="1">
        <v>0</v>
      </c>
      <c r="K288" s="1">
        <v>5500000</v>
      </c>
      <c r="L288" s="1">
        <v>0</v>
      </c>
      <c r="M288" s="1">
        <v>1000000</v>
      </c>
      <c r="N288" s="1">
        <v>4329360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20417808</v>
      </c>
      <c r="W288" s="1">
        <v>4000000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3401640</v>
      </c>
      <c r="AF288" s="1">
        <v>1835427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6432192</v>
      </c>
      <c r="AM288" s="1">
        <v>0</v>
      </c>
      <c r="AN288" s="1">
        <v>0</v>
      </c>
      <c r="AO288" s="1">
        <v>115033707</v>
      </c>
      <c r="AP288" s="1">
        <v>51030913</v>
      </c>
      <c r="AQ288" s="1">
        <v>64002794</v>
      </c>
      <c r="AR288" s="1">
        <v>22639656</v>
      </c>
      <c r="AS288" s="1">
        <v>3395948</v>
      </c>
      <c r="AT288" s="3">
        <f t="shared" si="27"/>
        <v>141069311</v>
      </c>
    </row>
    <row r="289" spans="1:46" x14ac:dyDescent="0.2">
      <c r="A289" s="1" t="str">
        <f>"00335"</f>
        <v>00335</v>
      </c>
      <c r="B289" s="1" t="str">
        <f>"علي"</f>
        <v>علي</v>
      </c>
      <c r="C289" s="1" t="str">
        <f>"توکلي"</f>
        <v>توکلي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19295063</v>
      </c>
      <c r="G289" s="1">
        <v>8438952</v>
      </c>
      <c r="H289" s="1">
        <v>0</v>
      </c>
      <c r="I289" s="1">
        <v>18189163</v>
      </c>
      <c r="J289" s="1">
        <v>0</v>
      </c>
      <c r="K289" s="1">
        <v>4620000</v>
      </c>
      <c r="L289" s="1">
        <v>0</v>
      </c>
      <c r="M289" s="1">
        <v>1000000</v>
      </c>
      <c r="N289" s="1">
        <v>3852337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5436000</v>
      </c>
      <c r="W289" s="1">
        <v>4000000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3026836</v>
      </c>
      <c r="AF289" s="1">
        <v>1835427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9996601</v>
      </c>
      <c r="AM289" s="1">
        <v>0</v>
      </c>
      <c r="AN289" s="1">
        <v>0</v>
      </c>
      <c r="AO289" s="1">
        <v>79690379</v>
      </c>
      <c r="AP289" s="1">
        <v>32233537</v>
      </c>
      <c r="AQ289" s="1">
        <v>47456842</v>
      </c>
      <c r="AR289" s="1">
        <v>15570990</v>
      </c>
      <c r="AS289" s="1">
        <v>2335649</v>
      </c>
      <c r="AT289" s="3">
        <f t="shared" si="27"/>
        <v>97597018</v>
      </c>
    </row>
    <row r="290" spans="1:46" x14ac:dyDescent="0.2">
      <c r="A290" s="1" t="str">
        <f>"00337"</f>
        <v>00337</v>
      </c>
      <c r="B290" s="1" t="str">
        <f>"عباس"</f>
        <v>عباس</v>
      </c>
      <c r="C290" s="1" t="str">
        <f>"دهقاني"</f>
        <v>دهقاني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18524168</v>
      </c>
      <c r="G290" s="1">
        <v>10685011</v>
      </c>
      <c r="H290" s="1">
        <v>0</v>
      </c>
      <c r="I290" s="1">
        <v>15812751</v>
      </c>
      <c r="J290" s="1">
        <v>0</v>
      </c>
      <c r="K290" s="1">
        <v>4620000</v>
      </c>
      <c r="L290" s="1">
        <v>0</v>
      </c>
      <c r="M290" s="1">
        <v>1000000</v>
      </c>
      <c r="N290" s="1">
        <v>3582523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10986296</v>
      </c>
      <c r="W290" s="1">
        <v>4000000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2814839</v>
      </c>
      <c r="AF290" s="1">
        <v>1835427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6518603</v>
      </c>
      <c r="AM290" s="1">
        <v>0</v>
      </c>
      <c r="AN290" s="1">
        <v>0</v>
      </c>
      <c r="AO290" s="1">
        <v>80379618</v>
      </c>
      <c r="AP290" s="1">
        <v>35509523</v>
      </c>
      <c r="AQ290" s="1">
        <v>44870095</v>
      </c>
      <c r="AR290" s="1">
        <v>15708838</v>
      </c>
      <c r="AS290" s="1">
        <v>2356326</v>
      </c>
      <c r="AT290" s="3">
        <f t="shared" si="27"/>
        <v>98444782</v>
      </c>
    </row>
    <row r="291" spans="1:46" x14ac:dyDescent="0.2">
      <c r="A291" s="1" t="str">
        <f>"00338"</f>
        <v>00338</v>
      </c>
      <c r="B291" s="1" t="str">
        <f>"رضا"</f>
        <v>رضا</v>
      </c>
      <c r="C291" s="1" t="str">
        <f>"دهقان"</f>
        <v>دهقان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18138720</v>
      </c>
      <c r="G291" s="1">
        <v>0</v>
      </c>
      <c r="H291" s="1">
        <v>0</v>
      </c>
      <c r="I291" s="1">
        <v>16628788</v>
      </c>
      <c r="J291" s="1">
        <v>0</v>
      </c>
      <c r="K291" s="1">
        <v>3465000</v>
      </c>
      <c r="L291" s="1">
        <v>0</v>
      </c>
      <c r="M291" s="1">
        <v>1000000</v>
      </c>
      <c r="N291" s="1">
        <v>3447616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12740903</v>
      </c>
      <c r="W291" s="1">
        <v>4000000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2708842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13875617</v>
      </c>
      <c r="AM291" s="1">
        <v>0</v>
      </c>
      <c r="AN291" s="1">
        <v>0</v>
      </c>
      <c r="AO291" s="1">
        <v>76005486</v>
      </c>
      <c r="AP291" s="1">
        <v>29463077</v>
      </c>
      <c r="AQ291" s="1">
        <v>46542409</v>
      </c>
      <c r="AR291" s="1">
        <v>15201097</v>
      </c>
      <c r="AS291" s="1">
        <v>2280165</v>
      </c>
      <c r="AT291" s="3">
        <f t="shared" si="27"/>
        <v>93486748</v>
      </c>
    </row>
    <row r="292" spans="1:46" x14ac:dyDescent="0.2">
      <c r="A292" s="1" t="str">
        <f>"00340"</f>
        <v>00340</v>
      </c>
      <c r="B292" s="1" t="str">
        <f>"مجيد"</f>
        <v>مجيد</v>
      </c>
      <c r="C292" s="1" t="str">
        <f>"سعادت پور"</f>
        <v>سعادت پور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25535287</v>
      </c>
      <c r="G292" s="1">
        <v>28187386</v>
      </c>
      <c r="H292" s="1">
        <v>0</v>
      </c>
      <c r="I292" s="1">
        <v>22260726</v>
      </c>
      <c r="J292" s="1">
        <v>0</v>
      </c>
      <c r="K292" s="1">
        <v>5500000</v>
      </c>
      <c r="L292" s="1">
        <v>0</v>
      </c>
      <c r="M292" s="1">
        <v>1000000</v>
      </c>
      <c r="N292" s="1">
        <v>4638851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21790849</v>
      </c>
      <c r="W292" s="1">
        <v>4000000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3401010</v>
      </c>
      <c r="AD292" s="1">
        <v>0</v>
      </c>
      <c r="AE292" s="1">
        <v>3644812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5566622</v>
      </c>
      <c r="AM292" s="1">
        <v>0</v>
      </c>
      <c r="AN292" s="1">
        <v>0</v>
      </c>
      <c r="AO292" s="1">
        <v>125525543</v>
      </c>
      <c r="AP292" s="1">
        <v>24108378</v>
      </c>
      <c r="AQ292" s="1">
        <v>101417165</v>
      </c>
      <c r="AR292" s="1">
        <v>25105109</v>
      </c>
      <c r="AS292" s="1">
        <v>3765766</v>
      </c>
      <c r="AT292" s="3">
        <f t="shared" si="27"/>
        <v>154396418</v>
      </c>
    </row>
    <row r="293" spans="1:46" x14ac:dyDescent="0.2">
      <c r="A293" s="1" t="str">
        <f>"00341"</f>
        <v>00341</v>
      </c>
      <c r="B293" s="1" t="str">
        <f>"عباس"</f>
        <v>عباس</v>
      </c>
      <c r="C293" s="1" t="str">
        <f>"حيدري"</f>
        <v>حيدري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17093224</v>
      </c>
      <c r="G293" s="1">
        <v>11809815</v>
      </c>
      <c r="H293" s="1">
        <v>0</v>
      </c>
      <c r="I293" s="1">
        <v>12710769</v>
      </c>
      <c r="J293" s="1">
        <v>0</v>
      </c>
      <c r="K293" s="1">
        <v>4620000</v>
      </c>
      <c r="L293" s="1">
        <v>0</v>
      </c>
      <c r="M293" s="1">
        <v>1000000</v>
      </c>
      <c r="N293" s="1">
        <v>3081693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7294225</v>
      </c>
      <c r="W293" s="1">
        <v>4000000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2421330</v>
      </c>
      <c r="AF293" s="1">
        <v>7341708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5216457</v>
      </c>
      <c r="AM293" s="1">
        <v>0</v>
      </c>
      <c r="AN293" s="1">
        <v>0</v>
      </c>
      <c r="AO293" s="1">
        <v>76589221</v>
      </c>
      <c r="AP293" s="1">
        <v>38757558</v>
      </c>
      <c r="AQ293" s="1">
        <v>37831663</v>
      </c>
      <c r="AR293" s="1">
        <v>13849503</v>
      </c>
      <c r="AS293" s="1">
        <v>2077425</v>
      </c>
      <c r="AT293" s="3">
        <f t="shared" si="27"/>
        <v>92516149</v>
      </c>
    </row>
    <row r="294" spans="1:46" x14ac:dyDescent="0.2">
      <c r="A294" s="1" t="str">
        <f>"00342"</f>
        <v>00342</v>
      </c>
      <c r="B294" s="1" t="str">
        <f>"اسماعيل"</f>
        <v>اسماعيل</v>
      </c>
      <c r="C294" s="1" t="str">
        <f>"محمدي"</f>
        <v>محمدي</v>
      </c>
      <c r="D294" s="1" t="str">
        <f t="shared" ref="D294:D300" si="29">"قراردادي کارگري"</f>
        <v>قراردادي کارگري</v>
      </c>
      <c r="E294" s="1" t="str">
        <f t="shared" ref="E294:E300" si="30">"پروژه تعميرات نيروگاه بوشهر"</f>
        <v>پروژه تعميرات نيروگاه بوشهر</v>
      </c>
      <c r="F294" s="1">
        <v>0</v>
      </c>
      <c r="G294" s="1">
        <v>5676786</v>
      </c>
      <c r="H294" s="1">
        <v>0</v>
      </c>
      <c r="I294" s="1">
        <v>5910476</v>
      </c>
      <c r="J294" s="1">
        <v>0</v>
      </c>
      <c r="K294" s="1">
        <v>0</v>
      </c>
      <c r="L294" s="1">
        <v>11572430</v>
      </c>
      <c r="M294" s="1">
        <v>2000000</v>
      </c>
      <c r="N294" s="1">
        <v>3740807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2640000</v>
      </c>
      <c r="U294" s="1">
        <v>0</v>
      </c>
      <c r="V294" s="1">
        <v>11518758</v>
      </c>
      <c r="W294" s="1">
        <v>4000000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4305799</v>
      </c>
      <c r="AE294" s="1">
        <v>0</v>
      </c>
      <c r="AF294" s="1">
        <v>3670854</v>
      </c>
      <c r="AG294" s="1">
        <v>0</v>
      </c>
      <c r="AH294" s="1">
        <v>0</v>
      </c>
      <c r="AI294" s="1">
        <v>0</v>
      </c>
      <c r="AJ294" s="1">
        <v>5449715</v>
      </c>
      <c r="AK294" s="1">
        <v>0</v>
      </c>
      <c r="AL294" s="1">
        <v>0</v>
      </c>
      <c r="AM294" s="1">
        <v>0</v>
      </c>
      <c r="AN294" s="1">
        <v>0</v>
      </c>
      <c r="AO294" s="1">
        <v>67967239</v>
      </c>
      <c r="AP294" s="1">
        <v>7137397</v>
      </c>
      <c r="AQ294" s="1">
        <v>60829842</v>
      </c>
      <c r="AR294" s="1">
        <v>12859277</v>
      </c>
      <c r="AS294" s="1">
        <v>1928892</v>
      </c>
      <c r="AT294" s="3">
        <f t="shared" si="27"/>
        <v>82755408</v>
      </c>
    </row>
    <row r="295" spans="1:46" x14ac:dyDescent="0.2">
      <c r="A295" s="1" t="str">
        <f>"00343"</f>
        <v>00343</v>
      </c>
      <c r="B295" s="1" t="str">
        <f>"علي"</f>
        <v>علي</v>
      </c>
      <c r="C295" s="1" t="str">
        <f>"حيدري"</f>
        <v>حيدري</v>
      </c>
      <c r="D295" s="1" t="str">
        <f t="shared" si="29"/>
        <v>قراردادي کارگري</v>
      </c>
      <c r="E295" s="1" t="str">
        <f t="shared" si="30"/>
        <v>پروژه تعميرات نيروگاه بوشهر</v>
      </c>
      <c r="F295" s="1">
        <v>0</v>
      </c>
      <c r="G295" s="1">
        <v>6991853</v>
      </c>
      <c r="H295" s="1">
        <v>0</v>
      </c>
      <c r="I295" s="1">
        <v>5958131</v>
      </c>
      <c r="J295" s="1">
        <v>0</v>
      </c>
      <c r="K295" s="1">
        <v>0</v>
      </c>
      <c r="L295" s="1">
        <v>11521166</v>
      </c>
      <c r="M295" s="1">
        <v>2000000</v>
      </c>
      <c r="N295" s="1">
        <v>4611557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2640000</v>
      </c>
      <c r="U295" s="1">
        <v>0</v>
      </c>
      <c r="V295" s="1">
        <v>12227428</v>
      </c>
      <c r="W295" s="1">
        <v>4000000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4627922</v>
      </c>
      <c r="AE295" s="1">
        <v>0</v>
      </c>
      <c r="AF295" s="1">
        <v>3670854</v>
      </c>
      <c r="AG295" s="1">
        <v>0</v>
      </c>
      <c r="AH295" s="1">
        <v>0</v>
      </c>
      <c r="AI295" s="1">
        <v>0</v>
      </c>
      <c r="AJ295" s="1">
        <v>5836678</v>
      </c>
      <c r="AK295" s="1">
        <v>0</v>
      </c>
      <c r="AL295" s="1">
        <v>0</v>
      </c>
      <c r="AM295" s="1">
        <v>0</v>
      </c>
      <c r="AN295" s="1">
        <v>0</v>
      </c>
      <c r="AO295" s="1">
        <v>72847547</v>
      </c>
      <c r="AP295" s="1">
        <v>11626902</v>
      </c>
      <c r="AQ295" s="1">
        <v>61220645</v>
      </c>
      <c r="AR295" s="1">
        <v>13835339</v>
      </c>
      <c r="AS295" s="1">
        <v>2075301</v>
      </c>
      <c r="AT295" s="3">
        <f t="shared" si="27"/>
        <v>88758187</v>
      </c>
    </row>
    <row r="296" spans="1:46" x14ac:dyDescent="0.2">
      <c r="A296" s="1" t="str">
        <f>"00344"</f>
        <v>00344</v>
      </c>
      <c r="B296" s="1" t="str">
        <f>"مهدي"</f>
        <v>مهدي</v>
      </c>
      <c r="C296" s="1" t="str">
        <f>"حسن پور"</f>
        <v>حسن پور</v>
      </c>
      <c r="D296" s="1" t="str">
        <f t="shared" si="29"/>
        <v>قراردادي کارگري</v>
      </c>
      <c r="E296" s="1" t="str">
        <f t="shared" si="30"/>
        <v>پروژه تعميرات نيروگاه بوشهر</v>
      </c>
      <c r="F296" s="1">
        <v>0</v>
      </c>
      <c r="G296" s="1">
        <v>4489913</v>
      </c>
      <c r="H296" s="1">
        <v>0</v>
      </c>
      <c r="I296" s="1">
        <v>7453069</v>
      </c>
      <c r="J296" s="1">
        <v>0</v>
      </c>
      <c r="K296" s="1">
        <v>0</v>
      </c>
      <c r="L296" s="1">
        <v>11521166</v>
      </c>
      <c r="M296" s="1">
        <v>2000000</v>
      </c>
      <c r="N296" s="1">
        <v>5640922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2640000</v>
      </c>
      <c r="U296" s="1">
        <v>0</v>
      </c>
      <c r="V296" s="1">
        <v>13682591</v>
      </c>
      <c r="W296" s="1">
        <v>4000000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5289359</v>
      </c>
      <c r="AE296" s="1">
        <v>0</v>
      </c>
      <c r="AF296" s="1">
        <v>3670854</v>
      </c>
      <c r="AG296" s="1">
        <v>0</v>
      </c>
      <c r="AH296" s="1">
        <v>0</v>
      </c>
      <c r="AI296" s="1">
        <v>0</v>
      </c>
      <c r="AJ296" s="1">
        <v>4420838</v>
      </c>
      <c r="AK296" s="1">
        <v>0</v>
      </c>
      <c r="AL296" s="1">
        <v>0</v>
      </c>
      <c r="AM296" s="1">
        <v>0</v>
      </c>
      <c r="AN296" s="1">
        <v>0</v>
      </c>
      <c r="AO296" s="1">
        <v>75455953</v>
      </c>
      <c r="AP296" s="1">
        <v>9740457</v>
      </c>
      <c r="AQ296" s="1">
        <v>65715496</v>
      </c>
      <c r="AR296" s="1">
        <v>14357020</v>
      </c>
      <c r="AS296" s="1">
        <v>2153553</v>
      </c>
      <c r="AT296" s="3">
        <f t="shared" si="27"/>
        <v>91966526</v>
      </c>
    </row>
    <row r="297" spans="1:46" x14ac:dyDescent="0.2">
      <c r="A297" s="1" t="str">
        <f>"00345"</f>
        <v>00345</v>
      </c>
      <c r="B297" s="1" t="str">
        <f>"حسن"</f>
        <v>حسن</v>
      </c>
      <c r="C297" s="1" t="str">
        <f>"ابراهيمي"</f>
        <v>ابراهيمي</v>
      </c>
      <c r="D297" s="1" t="str">
        <f t="shared" si="29"/>
        <v>قراردادي کارگري</v>
      </c>
      <c r="E297" s="1" t="str">
        <f t="shared" si="30"/>
        <v>پروژه تعميرات نيروگاه بوشهر</v>
      </c>
      <c r="F297" s="1">
        <v>0</v>
      </c>
      <c r="G297" s="1">
        <v>4652394</v>
      </c>
      <c r="H297" s="1">
        <v>0</v>
      </c>
      <c r="I297" s="1">
        <v>6219710</v>
      </c>
      <c r="J297" s="1">
        <v>0</v>
      </c>
      <c r="K297" s="1">
        <v>0</v>
      </c>
      <c r="L297" s="1">
        <v>11521166</v>
      </c>
      <c r="M297" s="1">
        <v>2000000</v>
      </c>
      <c r="N297" s="1">
        <v>4484290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2640000</v>
      </c>
      <c r="U297" s="1">
        <v>0</v>
      </c>
      <c r="V297" s="1">
        <v>16348303</v>
      </c>
      <c r="W297" s="1">
        <v>4000000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4611797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4253617</v>
      </c>
      <c r="AK297" s="1">
        <v>0</v>
      </c>
      <c r="AL297" s="1">
        <v>0</v>
      </c>
      <c r="AM297" s="1">
        <v>0</v>
      </c>
      <c r="AN297" s="1">
        <v>0</v>
      </c>
      <c r="AO297" s="1">
        <v>69251427</v>
      </c>
      <c r="AP297" s="1">
        <v>13346095</v>
      </c>
      <c r="AQ297" s="1">
        <v>55905332</v>
      </c>
      <c r="AR297" s="1">
        <v>13850285</v>
      </c>
      <c r="AS297" s="1">
        <v>2077543</v>
      </c>
      <c r="AT297" s="3">
        <f t="shared" si="27"/>
        <v>85179255</v>
      </c>
    </row>
    <row r="298" spans="1:46" x14ac:dyDescent="0.2">
      <c r="A298" s="1" t="str">
        <f>"00346"</f>
        <v>00346</v>
      </c>
      <c r="B298" s="1" t="str">
        <f>"رحمن"</f>
        <v>رحمن</v>
      </c>
      <c r="C298" s="1" t="str">
        <f>"باروني"</f>
        <v>باروني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0</v>
      </c>
      <c r="G298" s="1">
        <v>3252417</v>
      </c>
      <c r="H298" s="1">
        <v>0</v>
      </c>
      <c r="I298" s="1">
        <v>8631790</v>
      </c>
      <c r="J298" s="1">
        <v>0</v>
      </c>
      <c r="K298" s="1">
        <v>0</v>
      </c>
      <c r="L298" s="1">
        <v>11521166</v>
      </c>
      <c r="M298" s="1">
        <v>2000000</v>
      </c>
      <c r="N298" s="1">
        <v>6221110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2640000</v>
      </c>
      <c r="U298" s="1">
        <v>0</v>
      </c>
      <c r="V298" s="1">
        <v>19575601</v>
      </c>
      <c r="W298" s="1">
        <v>4000000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5705797</v>
      </c>
      <c r="AE298" s="1">
        <v>0</v>
      </c>
      <c r="AF298" s="1">
        <v>1835427</v>
      </c>
      <c r="AG298" s="1">
        <v>0</v>
      </c>
      <c r="AH298" s="1">
        <v>0</v>
      </c>
      <c r="AI298" s="1">
        <v>0</v>
      </c>
      <c r="AJ298" s="1">
        <v>5203867</v>
      </c>
      <c r="AK298" s="1">
        <v>0</v>
      </c>
      <c r="AL298" s="1">
        <v>0</v>
      </c>
      <c r="AM298" s="1">
        <v>0</v>
      </c>
      <c r="AN298" s="1">
        <v>0</v>
      </c>
      <c r="AO298" s="1">
        <v>82251756</v>
      </c>
      <c r="AP298" s="1">
        <v>16461992</v>
      </c>
      <c r="AQ298" s="1">
        <v>65789764</v>
      </c>
      <c r="AR298" s="1">
        <v>16083266</v>
      </c>
      <c r="AS298" s="1">
        <v>2412490</v>
      </c>
      <c r="AT298" s="3">
        <f t="shared" si="27"/>
        <v>100747512</v>
      </c>
    </row>
    <row r="299" spans="1:46" x14ac:dyDescent="0.2">
      <c r="A299" s="1" t="str">
        <f>"00348"</f>
        <v>00348</v>
      </c>
      <c r="B299" s="1" t="str">
        <f>"اسماعيل"</f>
        <v>اسماعيل</v>
      </c>
      <c r="C299" s="1" t="str">
        <f>"جهان بخت"</f>
        <v>جهان بخت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0</v>
      </c>
      <c r="G299" s="1">
        <v>6855392</v>
      </c>
      <c r="H299" s="1">
        <v>0</v>
      </c>
      <c r="I299" s="1">
        <v>6443102</v>
      </c>
      <c r="J299" s="1">
        <v>0</v>
      </c>
      <c r="K299" s="1">
        <v>0</v>
      </c>
      <c r="L299" s="1">
        <v>11521166</v>
      </c>
      <c r="M299" s="1">
        <v>2000000</v>
      </c>
      <c r="N299" s="1">
        <v>4839888</v>
      </c>
      <c r="O299" s="1">
        <v>0</v>
      </c>
      <c r="P299" s="1">
        <v>0</v>
      </c>
      <c r="Q299" s="1">
        <v>0</v>
      </c>
      <c r="R299" s="1">
        <v>394416</v>
      </c>
      <c r="S299" s="1">
        <v>0</v>
      </c>
      <c r="T299" s="1">
        <v>2640000</v>
      </c>
      <c r="U299" s="1">
        <v>0</v>
      </c>
      <c r="V299" s="1">
        <v>12280461</v>
      </c>
      <c r="W299" s="1">
        <v>4000000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60049216</v>
      </c>
      <c r="AP299" s="1">
        <v>8778532</v>
      </c>
      <c r="AQ299" s="1">
        <v>51270684</v>
      </c>
      <c r="AR299" s="1">
        <v>11930960</v>
      </c>
      <c r="AS299" s="1">
        <v>1789644</v>
      </c>
      <c r="AT299" s="3">
        <f t="shared" si="27"/>
        <v>73769820</v>
      </c>
    </row>
    <row r="300" spans="1:46" x14ac:dyDescent="0.2">
      <c r="A300" s="1" t="str">
        <f>"00349"</f>
        <v>00349</v>
      </c>
      <c r="B300" s="1" t="str">
        <f>"ابوالفضل"</f>
        <v>ابوالفضل</v>
      </c>
      <c r="C300" s="1" t="str">
        <f>"اورنگ"</f>
        <v>اورنگ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0</v>
      </c>
      <c r="G300" s="1">
        <v>2795930</v>
      </c>
      <c r="H300" s="1">
        <v>0</v>
      </c>
      <c r="I300" s="1">
        <v>6817625</v>
      </c>
      <c r="J300" s="1">
        <v>0</v>
      </c>
      <c r="K300" s="1">
        <v>0</v>
      </c>
      <c r="L300" s="1">
        <v>11521166</v>
      </c>
      <c r="M300" s="1">
        <v>2000000</v>
      </c>
      <c r="N300" s="1">
        <v>4881064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2640000</v>
      </c>
      <c r="U300" s="1">
        <v>0</v>
      </c>
      <c r="V300" s="1">
        <v>17095041</v>
      </c>
      <c r="W300" s="1">
        <v>4000000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1835427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62799260</v>
      </c>
      <c r="AP300" s="1">
        <v>8419448</v>
      </c>
      <c r="AQ300" s="1">
        <v>54379812</v>
      </c>
      <c r="AR300" s="1">
        <v>12192767</v>
      </c>
      <c r="AS300" s="1">
        <v>1828915</v>
      </c>
      <c r="AT300" s="3">
        <f t="shared" si="27"/>
        <v>76820942</v>
      </c>
    </row>
    <row r="301" spans="1:46" x14ac:dyDescent="0.2">
      <c r="A301" s="1" t="str">
        <f>"00350"</f>
        <v>00350</v>
      </c>
      <c r="B301" s="1" t="str">
        <f>"علي"</f>
        <v>علي</v>
      </c>
      <c r="C301" s="1" t="str">
        <f>"بهرامي پور"</f>
        <v>بهرامي پور</v>
      </c>
      <c r="D301" s="1" t="str">
        <f>"قراردادي بهره بردار"</f>
        <v>قراردادي بهره بردار</v>
      </c>
      <c r="E301" s="1" t="str">
        <f>"پروژه بهره برداري نيروگاه بوشهر"</f>
        <v>پروژه بهره برداري نيروگاه بوشهر</v>
      </c>
      <c r="F301" s="1">
        <v>27349050</v>
      </c>
      <c r="G301" s="1">
        <v>7537957</v>
      </c>
      <c r="H301" s="1">
        <v>0</v>
      </c>
      <c r="I301" s="1">
        <v>25470274</v>
      </c>
      <c r="J301" s="1">
        <v>0</v>
      </c>
      <c r="K301" s="1">
        <v>4620000</v>
      </c>
      <c r="L301" s="1">
        <v>0</v>
      </c>
      <c r="M301" s="1">
        <v>1000000</v>
      </c>
      <c r="N301" s="1">
        <v>5397495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39416965</v>
      </c>
      <c r="W301" s="1">
        <v>8200000</v>
      </c>
      <c r="X301" s="1">
        <v>3832751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4733571</v>
      </c>
      <c r="AF301" s="1">
        <v>7417557</v>
      </c>
      <c r="AG301" s="1">
        <v>6665142</v>
      </c>
      <c r="AH301" s="1">
        <v>0</v>
      </c>
      <c r="AI301" s="1">
        <v>0</v>
      </c>
      <c r="AJ301" s="1">
        <v>0</v>
      </c>
      <c r="AK301" s="1">
        <v>0</v>
      </c>
      <c r="AL301" s="1">
        <v>19462350</v>
      </c>
      <c r="AM301" s="1">
        <v>0</v>
      </c>
      <c r="AN301" s="1">
        <v>0</v>
      </c>
      <c r="AO301" s="1">
        <v>161103112</v>
      </c>
      <c r="AP301" s="1">
        <v>47855068</v>
      </c>
      <c r="AQ301" s="1">
        <v>113248044</v>
      </c>
      <c r="AR301" s="1">
        <v>30737111</v>
      </c>
      <c r="AS301" s="1">
        <v>4610567</v>
      </c>
      <c r="AT301" s="3">
        <f t="shared" si="27"/>
        <v>196450790</v>
      </c>
    </row>
    <row r="302" spans="1:46" x14ac:dyDescent="0.2">
      <c r="A302" s="1" t="str">
        <f>"00351"</f>
        <v>00351</v>
      </c>
      <c r="B302" s="1" t="str">
        <f>"عادل"</f>
        <v>عادل</v>
      </c>
      <c r="C302" s="1" t="str">
        <f>"عبدالشاهي"</f>
        <v>عبدالشاهي</v>
      </c>
      <c r="D302" s="1" t="str">
        <f>"قراردادي بهره بردار"</f>
        <v>قراردادي بهره بردار</v>
      </c>
      <c r="E302" s="1" t="str">
        <f>"پروژه بهره برداري نيروگاه بوشهر"</f>
        <v>پروژه بهره برداري نيروگاه بوشهر</v>
      </c>
      <c r="F302" s="1">
        <v>14594112</v>
      </c>
      <c r="G302" s="1">
        <v>3603890</v>
      </c>
      <c r="H302" s="1">
        <v>0</v>
      </c>
      <c r="I302" s="1">
        <v>10132291</v>
      </c>
      <c r="J302" s="1">
        <v>0</v>
      </c>
      <c r="K302" s="1">
        <v>4620000</v>
      </c>
      <c r="L302" s="1">
        <v>0</v>
      </c>
      <c r="M302" s="1">
        <v>1000000</v>
      </c>
      <c r="N302" s="1">
        <v>2207004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17407650</v>
      </c>
      <c r="W302" s="1">
        <v>4000000</v>
      </c>
      <c r="X302" s="1">
        <v>2118500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1734074</v>
      </c>
      <c r="AF302" s="1">
        <v>1835427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10671840</v>
      </c>
      <c r="AM302" s="1">
        <v>0</v>
      </c>
      <c r="AN302" s="1">
        <v>0</v>
      </c>
      <c r="AO302" s="1">
        <v>73924788</v>
      </c>
      <c r="AP302" s="1">
        <v>16391573</v>
      </c>
      <c r="AQ302" s="1">
        <v>57533215</v>
      </c>
      <c r="AR302" s="1">
        <v>14417872</v>
      </c>
      <c r="AS302" s="1">
        <v>2162681</v>
      </c>
      <c r="AT302" s="3">
        <f t="shared" si="27"/>
        <v>90505341</v>
      </c>
    </row>
    <row r="303" spans="1:46" x14ac:dyDescent="0.2">
      <c r="A303" s="1" t="str">
        <f>"00352"</f>
        <v>00352</v>
      </c>
      <c r="B303" s="1" t="str">
        <f>"اميد"</f>
        <v>اميد</v>
      </c>
      <c r="C303" s="1" t="str">
        <f>"فرهادي"</f>
        <v>فرهادي</v>
      </c>
      <c r="D303" s="1" t="str">
        <f t="shared" ref="D303:D314" si="31">"قراردادي کارگري"</f>
        <v>قراردادي کارگري</v>
      </c>
      <c r="E303" s="1" t="str">
        <f t="shared" ref="E303:E314" si="32">"پروژه تعميرات نيروگاه بوشهر"</f>
        <v>پروژه تعميرات نيروگاه بوشهر</v>
      </c>
      <c r="F303" s="1">
        <v>0</v>
      </c>
      <c r="G303" s="1">
        <v>2262424</v>
      </c>
      <c r="H303" s="1">
        <v>0</v>
      </c>
      <c r="I303" s="1">
        <v>8028548</v>
      </c>
      <c r="J303" s="1">
        <v>0</v>
      </c>
      <c r="K303" s="1">
        <v>0</v>
      </c>
      <c r="L303" s="1">
        <v>11331151</v>
      </c>
      <c r="M303" s="1">
        <v>2000000</v>
      </c>
      <c r="N303" s="1">
        <v>5489606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2640000</v>
      </c>
      <c r="U303" s="1">
        <v>0</v>
      </c>
      <c r="V303" s="1">
        <v>18293974</v>
      </c>
      <c r="W303" s="1">
        <v>4000000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3670854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68009568</v>
      </c>
      <c r="AP303" s="1">
        <v>8483496</v>
      </c>
      <c r="AQ303" s="1">
        <v>59526072</v>
      </c>
      <c r="AR303" s="1">
        <v>12867743</v>
      </c>
      <c r="AS303" s="1">
        <v>1930161</v>
      </c>
      <c r="AT303" s="3">
        <f t="shared" si="27"/>
        <v>82807472</v>
      </c>
    </row>
    <row r="304" spans="1:46" x14ac:dyDescent="0.2">
      <c r="A304" s="1" t="str">
        <f>"00353"</f>
        <v>00353</v>
      </c>
      <c r="B304" s="1" t="str">
        <f>"حميد"</f>
        <v>حميد</v>
      </c>
      <c r="C304" s="1" t="str">
        <f>"مجريان زاده"</f>
        <v>مجريان زاده</v>
      </c>
      <c r="D304" s="1" t="str">
        <f t="shared" si="31"/>
        <v>قراردادي کارگري</v>
      </c>
      <c r="E304" s="1" t="str">
        <f t="shared" si="32"/>
        <v>پروژه تعميرات نيروگاه بوشهر</v>
      </c>
      <c r="F304" s="1">
        <v>0</v>
      </c>
      <c r="G304" s="1">
        <v>3729500</v>
      </c>
      <c r="H304" s="1">
        <v>0</v>
      </c>
      <c r="I304" s="1">
        <v>6608495</v>
      </c>
      <c r="J304" s="1">
        <v>0</v>
      </c>
      <c r="K304" s="1">
        <v>0</v>
      </c>
      <c r="L304" s="1">
        <v>11521166</v>
      </c>
      <c r="M304" s="1">
        <v>2000000</v>
      </c>
      <c r="N304" s="1">
        <v>4731338</v>
      </c>
      <c r="O304" s="1">
        <v>0</v>
      </c>
      <c r="P304" s="1">
        <v>0</v>
      </c>
      <c r="Q304" s="1">
        <v>0</v>
      </c>
      <c r="R304" s="1">
        <v>986428</v>
      </c>
      <c r="S304" s="1">
        <v>0</v>
      </c>
      <c r="T304" s="1">
        <v>2640000</v>
      </c>
      <c r="U304" s="1">
        <v>0</v>
      </c>
      <c r="V304" s="1">
        <v>12252226</v>
      </c>
      <c r="W304" s="1">
        <v>4000000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57399553</v>
      </c>
      <c r="AP304" s="1">
        <v>8250139</v>
      </c>
      <c r="AQ304" s="1">
        <v>49149414</v>
      </c>
      <c r="AR304" s="1">
        <v>11282625</v>
      </c>
      <c r="AS304" s="1">
        <v>1692394</v>
      </c>
      <c r="AT304" s="3">
        <f t="shared" si="27"/>
        <v>70374572</v>
      </c>
    </row>
    <row r="305" spans="1:46" x14ac:dyDescent="0.2">
      <c r="A305" s="1" t="str">
        <f>"00355"</f>
        <v>00355</v>
      </c>
      <c r="B305" s="1" t="str">
        <f>"محمدابراهيم"</f>
        <v>محمدابراهيم</v>
      </c>
      <c r="C305" s="1" t="str">
        <f>"جوکار"</f>
        <v>جوکار</v>
      </c>
      <c r="D305" s="1" t="str">
        <f t="shared" si="31"/>
        <v>قراردادي کارگري</v>
      </c>
      <c r="E305" s="1" t="str">
        <f t="shared" si="32"/>
        <v>پروژه تعميرات نيروگاه بوشهر</v>
      </c>
      <c r="F305" s="1">
        <v>0</v>
      </c>
      <c r="G305" s="1">
        <v>45820849</v>
      </c>
      <c r="H305" s="1">
        <v>0</v>
      </c>
      <c r="I305" s="1">
        <v>12020600</v>
      </c>
      <c r="J305" s="1">
        <v>0</v>
      </c>
      <c r="K305" s="1">
        <v>0</v>
      </c>
      <c r="L305" s="1">
        <v>11331151</v>
      </c>
      <c r="M305" s="1">
        <v>2000000</v>
      </c>
      <c r="N305" s="1">
        <v>7123321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2640000</v>
      </c>
      <c r="U305" s="1">
        <v>0</v>
      </c>
      <c r="V305" s="1">
        <v>18011266</v>
      </c>
      <c r="W305" s="1">
        <v>4000000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3670854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4383129</v>
      </c>
      <c r="AO305" s="1">
        <v>124357393</v>
      </c>
      <c r="AP305" s="1">
        <v>26430117</v>
      </c>
      <c r="AQ305" s="1">
        <v>97927276</v>
      </c>
      <c r="AR305" s="1">
        <v>24137308</v>
      </c>
      <c r="AS305" s="1">
        <v>3620596</v>
      </c>
      <c r="AT305" s="3">
        <f t="shared" si="27"/>
        <v>152115297</v>
      </c>
    </row>
    <row r="306" spans="1:46" x14ac:dyDescent="0.2">
      <c r="A306" s="1" t="str">
        <f>"00356"</f>
        <v>00356</v>
      </c>
      <c r="B306" s="1" t="str">
        <f>"عبداله"</f>
        <v>عبداله</v>
      </c>
      <c r="C306" s="1" t="str">
        <f>"سرتلي"</f>
        <v>سرتلي</v>
      </c>
      <c r="D306" s="1" t="str">
        <f t="shared" si="31"/>
        <v>قراردادي کارگري</v>
      </c>
      <c r="E306" s="1" t="str">
        <f t="shared" si="32"/>
        <v>پروژه تعميرات نيروگاه بوشهر</v>
      </c>
      <c r="F306" s="1">
        <v>0</v>
      </c>
      <c r="G306" s="1">
        <v>7811237</v>
      </c>
      <c r="H306" s="1">
        <v>0</v>
      </c>
      <c r="I306" s="1">
        <v>7050389</v>
      </c>
      <c r="J306" s="1">
        <v>0</v>
      </c>
      <c r="K306" s="1">
        <v>0</v>
      </c>
      <c r="L306" s="1">
        <v>11572430</v>
      </c>
      <c r="M306" s="1">
        <v>2000000</v>
      </c>
      <c r="N306" s="1">
        <v>5083193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2640000</v>
      </c>
      <c r="U306" s="1">
        <v>0</v>
      </c>
      <c r="V306" s="1">
        <v>12759416</v>
      </c>
      <c r="W306" s="1">
        <v>4000000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5506281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3336408</v>
      </c>
      <c r="AO306" s="1">
        <v>71417420</v>
      </c>
      <c r="AP306" s="1">
        <v>15420227</v>
      </c>
      <c r="AQ306" s="1">
        <v>55997193</v>
      </c>
      <c r="AR306" s="1">
        <v>13182228</v>
      </c>
      <c r="AS306" s="1">
        <v>1977334</v>
      </c>
      <c r="AT306" s="3">
        <f t="shared" si="27"/>
        <v>86576982</v>
      </c>
    </row>
    <row r="307" spans="1:46" x14ac:dyDescent="0.2">
      <c r="A307" s="1" t="str">
        <f>"00357"</f>
        <v>00357</v>
      </c>
      <c r="B307" s="1" t="str">
        <f>"مهرزاد"</f>
        <v>مهرزاد</v>
      </c>
      <c r="C307" s="1" t="str">
        <f>"حيدريان اصل"</f>
        <v>حيدريان اصل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0</v>
      </c>
      <c r="G307" s="1">
        <v>0</v>
      </c>
      <c r="H307" s="1">
        <v>0</v>
      </c>
      <c r="I307" s="1">
        <v>12217356</v>
      </c>
      <c r="J307" s="1">
        <v>0</v>
      </c>
      <c r="K307" s="1">
        <v>0</v>
      </c>
      <c r="L307" s="1">
        <v>11331151</v>
      </c>
      <c r="M307" s="1">
        <v>2000000</v>
      </c>
      <c r="N307" s="1">
        <v>7757050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2640000</v>
      </c>
      <c r="U307" s="1">
        <v>0</v>
      </c>
      <c r="V307" s="1">
        <v>16786135</v>
      </c>
      <c r="W307" s="1">
        <v>4000000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3670854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74947017</v>
      </c>
      <c r="AP307" s="1">
        <v>20095002</v>
      </c>
      <c r="AQ307" s="1">
        <v>54852015</v>
      </c>
      <c r="AR307" s="1">
        <v>14255233</v>
      </c>
      <c r="AS307" s="1">
        <v>2138285</v>
      </c>
      <c r="AT307" s="3">
        <f t="shared" si="27"/>
        <v>91340535</v>
      </c>
    </row>
    <row r="308" spans="1:46" x14ac:dyDescent="0.2">
      <c r="A308" s="1" t="str">
        <f>"00358"</f>
        <v>00358</v>
      </c>
      <c r="B308" s="1" t="str">
        <f>"رضا"</f>
        <v>رضا</v>
      </c>
      <c r="C308" s="1" t="str">
        <f>"افسون"</f>
        <v>افسون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0</v>
      </c>
      <c r="G308" s="1">
        <v>16557614</v>
      </c>
      <c r="H308" s="1">
        <v>0</v>
      </c>
      <c r="I308" s="1">
        <v>7475087</v>
      </c>
      <c r="J308" s="1">
        <v>0</v>
      </c>
      <c r="K308" s="1">
        <v>0</v>
      </c>
      <c r="L308" s="1">
        <v>11521166</v>
      </c>
      <c r="M308" s="1">
        <v>2000000</v>
      </c>
      <c r="N308" s="1">
        <v>5461251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2640000</v>
      </c>
      <c r="U308" s="1">
        <v>0</v>
      </c>
      <c r="V308" s="1">
        <v>13189395</v>
      </c>
      <c r="W308" s="1">
        <v>4000000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3670854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3469735</v>
      </c>
      <c r="AO308" s="1">
        <v>80224948</v>
      </c>
      <c r="AP308" s="1">
        <v>15551643</v>
      </c>
      <c r="AQ308" s="1">
        <v>64673305</v>
      </c>
      <c r="AR308" s="1">
        <v>15310819</v>
      </c>
      <c r="AS308" s="1">
        <v>2296623</v>
      </c>
      <c r="AT308" s="3">
        <f t="shared" si="27"/>
        <v>97832390</v>
      </c>
    </row>
    <row r="309" spans="1:46" x14ac:dyDescent="0.2">
      <c r="A309" s="1" t="str">
        <f>"00359"</f>
        <v>00359</v>
      </c>
      <c r="B309" s="1" t="str">
        <f>"نعمت اله"</f>
        <v>نعمت اله</v>
      </c>
      <c r="C309" s="1" t="str">
        <f>"علي زاده"</f>
        <v>علي زاده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0</v>
      </c>
      <c r="G309" s="1">
        <v>368272</v>
      </c>
      <c r="H309" s="1">
        <v>0</v>
      </c>
      <c r="I309" s="1">
        <v>8323358</v>
      </c>
      <c r="J309" s="1">
        <v>0</v>
      </c>
      <c r="K309" s="1">
        <v>0</v>
      </c>
      <c r="L309" s="1">
        <v>11521166</v>
      </c>
      <c r="M309" s="1">
        <v>2000000</v>
      </c>
      <c r="N309" s="1">
        <v>5959090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2640000</v>
      </c>
      <c r="U309" s="1">
        <v>0</v>
      </c>
      <c r="V309" s="1">
        <v>15137988</v>
      </c>
      <c r="W309" s="1">
        <v>4000000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3670854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64868510</v>
      </c>
      <c r="AP309" s="1">
        <v>9310703</v>
      </c>
      <c r="AQ309" s="1">
        <v>55557807</v>
      </c>
      <c r="AR309" s="1">
        <v>12239531</v>
      </c>
      <c r="AS309" s="1">
        <v>1835930</v>
      </c>
      <c r="AT309" s="3">
        <f t="shared" si="27"/>
        <v>78943971</v>
      </c>
    </row>
    <row r="310" spans="1:46" x14ac:dyDescent="0.2">
      <c r="A310" s="1" t="str">
        <f>"00360"</f>
        <v>00360</v>
      </c>
      <c r="B310" s="1" t="str">
        <f>"احمد"</f>
        <v>احمد</v>
      </c>
      <c r="C310" s="1" t="str">
        <f>"مقاتلي فرد"</f>
        <v>مقاتلي فرد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0</v>
      </c>
      <c r="G310" s="1">
        <v>20955755</v>
      </c>
      <c r="H310" s="1">
        <v>0</v>
      </c>
      <c r="I310" s="1">
        <v>6294386</v>
      </c>
      <c r="J310" s="1">
        <v>0</v>
      </c>
      <c r="K310" s="1">
        <v>0</v>
      </c>
      <c r="L310" s="1">
        <v>11521166</v>
      </c>
      <c r="M310" s="1">
        <v>2000000</v>
      </c>
      <c r="N310" s="1">
        <v>4476803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2640000</v>
      </c>
      <c r="U310" s="1">
        <v>0</v>
      </c>
      <c r="V310" s="1">
        <v>7769640</v>
      </c>
      <c r="W310" s="1">
        <v>4000000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3670854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71834530</v>
      </c>
      <c r="AP310" s="1">
        <v>13222398</v>
      </c>
      <c r="AQ310" s="1">
        <v>58612132</v>
      </c>
      <c r="AR310" s="1">
        <v>13632735</v>
      </c>
      <c r="AS310" s="1">
        <v>2044910</v>
      </c>
      <c r="AT310" s="3">
        <f t="shared" si="27"/>
        <v>87512175</v>
      </c>
    </row>
    <row r="311" spans="1:46" x14ac:dyDescent="0.2">
      <c r="A311" s="1" t="str">
        <f>"00361"</f>
        <v>00361</v>
      </c>
      <c r="B311" s="1" t="str">
        <f>"غلامعلي"</f>
        <v>غلامعلي</v>
      </c>
      <c r="C311" s="1" t="str">
        <f>"دشتي زاده"</f>
        <v>دشتي زاده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0</v>
      </c>
      <c r="G311" s="1">
        <v>7849621</v>
      </c>
      <c r="H311" s="1">
        <v>0</v>
      </c>
      <c r="I311" s="1">
        <v>9430776</v>
      </c>
      <c r="J311" s="1">
        <v>0</v>
      </c>
      <c r="K311" s="1">
        <v>0</v>
      </c>
      <c r="L311" s="1">
        <v>11521166</v>
      </c>
      <c r="M311" s="1">
        <v>2000000</v>
      </c>
      <c r="N311" s="1">
        <v>6535534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2640000</v>
      </c>
      <c r="U311" s="1">
        <v>0</v>
      </c>
      <c r="V311" s="1">
        <v>10868252</v>
      </c>
      <c r="W311" s="1">
        <v>4000000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1871573</v>
      </c>
      <c r="AD311" s="1">
        <v>0</v>
      </c>
      <c r="AE311" s="1">
        <v>0</v>
      </c>
      <c r="AF311" s="1">
        <v>5506281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74967495</v>
      </c>
      <c r="AP311" s="1">
        <v>15632929</v>
      </c>
      <c r="AQ311" s="1">
        <v>59334566</v>
      </c>
      <c r="AR311" s="1">
        <v>13892243</v>
      </c>
      <c r="AS311" s="1">
        <v>2083836</v>
      </c>
      <c r="AT311" s="3">
        <f t="shared" si="27"/>
        <v>90943574</v>
      </c>
    </row>
    <row r="312" spans="1:46" x14ac:dyDescent="0.2">
      <c r="A312" s="1" t="str">
        <f>"00362"</f>
        <v>00362</v>
      </c>
      <c r="B312" s="1" t="str">
        <f>"غلامرضا"</f>
        <v>غلامرضا</v>
      </c>
      <c r="C312" s="1" t="str">
        <f>"حسين پور بوشهري"</f>
        <v>حسين پور بوشهري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0</v>
      </c>
      <c r="G312" s="1">
        <v>13905574</v>
      </c>
      <c r="H312" s="1">
        <v>0</v>
      </c>
      <c r="I312" s="1">
        <v>8139873</v>
      </c>
      <c r="J312" s="1">
        <v>0</v>
      </c>
      <c r="K312" s="1">
        <v>0</v>
      </c>
      <c r="L312" s="1">
        <v>11521166</v>
      </c>
      <c r="M312" s="1">
        <v>2000000</v>
      </c>
      <c r="N312" s="1">
        <v>5457508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2640000</v>
      </c>
      <c r="U312" s="1">
        <v>0</v>
      </c>
      <c r="V312" s="1">
        <v>14157905</v>
      </c>
      <c r="W312" s="1">
        <v>4000000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1871573</v>
      </c>
      <c r="AD312" s="1">
        <v>5655072</v>
      </c>
      <c r="AE312" s="1">
        <v>0</v>
      </c>
      <c r="AF312" s="1">
        <v>3670854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83729885</v>
      </c>
      <c r="AP312" s="1">
        <v>9706707</v>
      </c>
      <c r="AQ312" s="1">
        <v>74023178</v>
      </c>
      <c r="AR312" s="1">
        <v>16011806</v>
      </c>
      <c r="AS312" s="1">
        <v>2401771</v>
      </c>
      <c r="AT312" s="3">
        <f t="shared" si="27"/>
        <v>102143462</v>
      </c>
    </row>
    <row r="313" spans="1:46" x14ac:dyDescent="0.2">
      <c r="A313" s="1" t="str">
        <f>"00363"</f>
        <v>00363</v>
      </c>
      <c r="B313" s="1" t="str">
        <f>"بابک"</f>
        <v>بابک</v>
      </c>
      <c r="C313" s="1" t="str">
        <f>"خدادادي"</f>
        <v>خدادادي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0</v>
      </c>
      <c r="G313" s="1">
        <v>4030501</v>
      </c>
      <c r="H313" s="1">
        <v>0</v>
      </c>
      <c r="I313" s="1">
        <v>8606315</v>
      </c>
      <c r="J313" s="1">
        <v>0</v>
      </c>
      <c r="K313" s="1">
        <v>0</v>
      </c>
      <c r="L313" s="1">
        <v>11331151</v>
      </c>
      <c r="M313" s="1">
        <v>2000000</v>
      </c>
      <c r="N313" s="1">
        <v>5884660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2640000</v>
      </c>
      <c r="U313" s="1">
        <v>0</v>
      </c>
      <c r="V313" s="1">
        <v>15069552</v>
      </c>
      <c r="W313" s="1">
        <v>4000000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64595916</v>
      </c>
      <c r="AP313" s="1">
        <v>9583934</v>
      </c>
      <c r="AQ313" s="1">
        <v>55011982</v>
      </c>
      <c r="AR313" s="1">
        <v>12919183</v>
      </c>
      <c r="AS313" s="1">
        <v>1937877</v>
      </c>
      <c r="AT313" s="3">
        <f t="shared" si="27"/>
        <v>79452976</v>
      </c>
    </row>
    <row r="314" spans="1:46" x14ac:dyDescent="0.2">
      <c r="A314" s="1" t="str">
        <f>"00364"</f>
        <v>00364</v>
      </c>
      <c r="B314" s="1" t="str">
        <f>"بهنام"</f>
        <v>بهنام</v>
      </c>
      <c r="C314" s="1" t="str">
        <f>"بهزادي"</f>
        <v>بهزادي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0</v>
      </c>
      <c r="G314" s="1">
        <v>3724052</v>
      </c>
      <c r="H314" s="1">
        <v>0</v>
      </c>
      <c r="I314" s="1">
        <v>6522129</v>
      </c>
      <c r="J314" s="1">
        <v>0</v>
      </c>
      <c r="K314" s="1">
        <v>0</v>
      </c>
      <c r="L314" s="1">
        <v>11521166</v>
      </c>
      <c r="M314" s="1">
        <v>2000000</v>
      </c>
      <c r="N314" s="1">
        <v>4765026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2640000</v>
      </c>
      <c r="U314" s="1">
        <v>0</v>
      </c>
      <c r="V314" s="1">
        <v>12236535</v>
      </c>
      <c r="W314" s="1">
        <v>4000000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4761412</v>
      </c>
      <c r="AE314" s="1">
        <v>0</v>
      </c>
      <c r="AF314" s="1">
        <v>1835427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62940170</v>
      </c>
      <c r="AP314" s="1">
        <v>10334871</v>
      </c>
      <c r="AQ314" s="1">
        <v>52605299</v>
      </c>
      <c r="AR314" s="1">
        <v>12220949</v>
      </c>
      <c r="AS314" s="1">
        <v>1833142</v>
      </c>
      <c r="AT314" s="3">
        <f t="shared" si="27"/>
        <v>76994261</v>
      </c>
    </row>
    <row r="315" spans="1:46" x14ac:dyDescent="0.2">
      <c r="A315" s="1" t="str">
        <f>"00365"</f>
        <v>00365</v>
      </c>
      <c r="B315" s="1" t="str">
        <f>"محسن"</f>
        <v>محسن</v>
      </c>
      <c r="C315" s="1" t="str">
        <f>"قديمي"</f>
        <v>قديمي</v>
      </c>
      <c r="D315" s="1" t="str">
        <f>"قراردادي بهره بردار"</f>
        <v>قراردادي بهره بردار</v>
      </c>
      <c r="E315" s="1" t="str">
        <f>"پروژه بهره برداري نيروگاه بوشهر"</f>
        <v>پروژه بهره برداري نيروگاه بوشهر</v>
      </c>
      <c r="F315" s="1">
        <v>27900878</v>
      </c>
      <c r="G315" s="1">
        <v>21868987</v>
      </c>
      <c r="H315" s="1">
        <v>0</v>
      </c>
      <c r="I315" s="1">
        <v>22559288</v>
      </c>
      <c r="J315" s="1">
        <v>0</v>
      </c>
      <c r="K315" s="1">
        <v>5500000</v>
      </c>
      <c r="L315" s="1">
        <v>0</v>
      </c>
      <c r="M315" s="1">
        <v>1000000</v>
      </c>
      <c r="N315" s="1">
        <v>4392846</v>
      </c>
      <c r="O315" s="1">
        <v>0</v>
      </c>
      <c r="P315" s="1">
        <v>0</v>
      </c>
      <c r="Q315" s="1">
        <v>0</v>
      </c>
      <c r="R315" s="1">
        <v>5402323</v>
      </c>
      <c r="S315" s="1">
        <v>0</v>
      </c>
      <c r="T315" s="1">
        <v>0</v>
      </c>
      <c r="U315" s="1">
        <v>0</v>
      </c>
      <c r="V315" s="1">
        <v>29003628</v>
      </c>
      <c r="W315" s="1">
        <v>4000000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3892267</v>
      </c>
      <c r="AD315" s="1">
        <v>0</v>
      </c>
      <c r="AE315" s="1">
        <v>3451521</v>
      </c>
      <c r="AF315" s="1">
        <v>1835427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5647944</v>
      </c>
      <c r="AM315" s="1">
        <v>0</v>
      </c>
      <c r="AN315" s="1">
        <v>0</v>
      </c>
      <c r="AO315" s="1">
        <v>136455109</v>
      </c>
      <c r="AP315" s="1">
        <v>48062302</v>
      </c>
      <c r="AQ315" s="1">
        <v>88392807</v>
      </c>
      <c r="AR315" s="1">
        <v>25843472</v>
      </c>
      <c r="AS315" s="1">
        <v>3876521</v>
      </c>
      <c r="AT315" s="3">
        <f t="shared" si="27"/>
        <v>166175102</v>
      </c>
    </row>
    <row r="316" spans="1:46" x14ac:dyDescent="0.2">
      <c r="A316" s="1" t="str">
        <f>"00366"</f>
        <v>00366</v>
      </c>
      <c r="B316" s="1" t="str">
        <f>"سهيل"</f>
        <v>سهيل</v>
      </c>
      <c r="C316" s="1" t="str">
        <f>"طاهري"</f>
        <v>طاهري</v>
      </c>
      <c r="D316" s="1" t="str">
        <f>"قراردادي بهره بردار"</f>
        <v>قراردادي بهره بردار</v>
      </c>
      <c r="E316" s="1" t="str">
        <f>"پروژه بهره برداري نيروگاه بوشهر"</f>
        <v>پروژه بهره برداري نيروگاه بوشهر</v>
      </c>
      <c r="F316" s="1">
        <v>23552624</v>
      </c>
      <c r="G316" s="1">
        <v>12281985</v>
      </c>
      <c r="H316" s="1">
        <v>0</v>
      </c>
      <c r="I316" s="1">
        <v>20272109</v>
      </c>
      <c r="J316" s="1">
        <v>0</v>
      </c>
      <c r="K316" s="1">
        <v>5500000</v>
      </c>
      <c r="L316" s="1">
        <v>0</v>
      </c>
      <c r="M316" s="1">
        <v>1000000</v>
      </c>
      <c r="N316" s="1">
        <v>3944919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12437482</v>
      </c>
      <c r="W316" s="1">
        <v>4000000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3099579</v>
      </c>
      <c r="AF316" s="1">
        <v>1835427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6314593</v>
      </c>
      <c r="AM316" s="1">
        <v>0</v>
      </c>
      <c r="AN316" s="1">
        <v>0</v>
      </c>
      <c r="AO316" s="1">
        <v>94238718</v>
      </c>
      <c r="AP316" s="1">
        <v>35970145</v>
      </c>
      <c r="AQ316" s="1">
        <v>58268573</v>
      </c>
      <c r="AR316" s="1">
        <v>18480658</v>
      </c>
      <c r="AS316" s="1">
        <v>2772099</v>
      </c>
      <c r="AT316" s="3">
        <f t="shared" si="27"/>
        <v>115491475</v>
      </c>
    </row>
    <row r="317" spans="1:46" x14ac:dyDescent="0.2">
      <c r="A317" s="1" t="str">
        <f>"00367"</f>
        <v>00367</v>
      </c>
      <c r="B317" s="1" t="str">
        <f>"ميترا"</f>
        <v>ميترا</v>
      </c>
      <c r="C317" s="1" t="str">
        <f>"نوري"</f>
        <v>نوري</v>
      </c>
      <c r="D317" s="1" t="str">
        <f>"قراردادي بهره بردار"</f>
        <v>قراردادي بهره بردار</v>
      </c>
      <c r="E317" s="1" t="str">
        <f>"پروژه بهره برداري نيروگاه بوشهر"</f>
        <v>پروژه بهره برداري نيروگاه بوشهر</v>
      </c>
      <c r="F317" s="1">
        <v>25003722</v>
      </c>
      <c r="G317" s="1">
        <v>0</v>
      </c>
      <c r="H317" s="1">
        <v>0</v>
      </c>
      <c r="I317" s="1">
        <v>20924242</v>
      </c>
      <c r="J317" s="1">
        <v>0</v>
      </c>
      <c r="K317" s="1">
        <v>4125000</v>
      </c>
      <c r="L317" s="1">
        <v>0</v>
      </c>
      <c r="M317" s="1">
        <v>1000000</v>
      </c>
      <c r="N317" s="1">
        <v>4452804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10639931</v>
      </c>
      <c r="W317" s="1">
        <v>4000000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3498632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6063875</v>
      </c>
      <c r="AM317" s="1">
        <v>0</v>
      </c>
      <c r="AN317" s="1">
        <v>0</v>
      </c>
      <c r="AO317" s="1">
        <v>79708206</v>
      </c>
      <c r="AP317" s="1">
        <v>30641846</v>
      </c>
      <c r="AQ317" s="1">
        <v>49066360</v>
      </c>
      <c r="AR317" s="1">
        <v>15941641</v>
      </c>
      <c r="AS317" s="1">
        <v>2391246</v>
      </c>
      <c r="AT317" s="3">
        <f t="shared" si="27"/>
        <v>98041093</v>
      </c>
    </row>
    <row r="318" spans="1:46" x14ac:dyDescent="0.2">
      <c r="A318" s="1" t="str">
        <f>"00368"</f>
        <v>00368</v>
      </c>
      <c r="B318" s="1" t="str">
        <f>"راضيه"</f>
        <v>راضيه</v>
      </c>
      <c r="C318" s="1" t="str">
        <f>"اژدري"</f>
        <v>اژدري</v>
      </c>
      <c r="D318" s="1" t="str">
        <f>"قراردادي بهره بردار"</f>
        <v>قراردادي بهره بردار</v>
      </c>
      <c r="E318" s="1" t="str">
        <f>"پروژه بهره برداري نيروگاه بوشهر"</f>
        <v>پروژه بهره برداري نيروگاه بوشهر</v>
      </c>
      <c r="F318" s="1">
        <v>23293140</v>
      </c>
      <c r="G318" s="1">
        <v>453764</v>
      </c>
      <c r="H318" s="1">
        <v>0</v>
      </c>
      <c r="I318" s="1">
        <v>18673280</v>
      </c>
      <c r="J318" s="1">
        <v>0</v>
      </c>
      <c r="K318" s="1">
        <v>4125000</v>
      </c>
      <c r="L318" s="1">
        <v>0</v>
      </c>
      <c r="M318" s="1">
        <v>1000000</v>
      </c>
      <c r="N318" s="1">
        <v>3854100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9693508</v>
      </c>
      <c r="W318" s="1">
        <v>4000000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3028222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5762570</v>
      </c>
      <c r="AM318" s="1">
        <v>0</v>
      </c>
      <c r="AN318" s="1">
        <v>0</v>
      </c>
      <c r="AO318" s="1">
        <v>73883584</v>
      </c>
      <c r="AP318" s="1">
        <v>24190030</v>
      </c>
      <c r="AQ318" s="1">
        <v>49693554</v>
      </c>
      <c r="AR318" s="1">
        <v>14776717</v>
      </c>
      <c r="AS318" s="1">
        <v>2216508</v>
      </c>
      <c r="AT318" s="3">
        <f t="shared" si="27"/>
        <v>90876809</v>
      </c>
    </row>
    <row r="319" spans="1:46" x14ac:dyDescent="0.2">
      <c r="A319" s="1" t="str">
        <f>"00369"</f>
        <v>00369</v>
      </c>
      <c r="B319" s="1" t="str">
        <f>"غلامرضا"</f>
        <v>غلامرضا</v>
      </c>
      <c r="C319" s="1" t="str">
        <f>"ميرکي"</f>
        <v>ميرکي</v>
      </c>
      <c r="D319" s="1" t="str">
        <f t="shared" ref="D319:D328" si="33">"قراردادي کارگري"</f>
        <v>قراردادي کارگري</v>
      </c>
      <c r="E319" s="1" t="str">
        <f t="shared" ref="E319:E329" si="34">"پروژه تعميرات نيروگاه بوشهر"</f>
        <v>پروژه تعميرات نيروگاه بوشهر</v>
      </c>
      <c r="F319" s="1">
        <v>0</v>
      </c>
      <c r="G319" s="1">
        <v>0</v>
      </c>
      <c r="H319" s="1">
        <v>0</v>
      </c>
      <c r="I319" s="1">
        <v>7942686</v>
      </c>
      <c r="J319" s="1">
        <v>0</v>
      </c>
      <c r="K319" s="1">
        <v>0</v>
      </c>
      <c r="L319" s="1">
        <v>11521166</v>
      </c>
      <c r="M319" s="1">
        <v>2000000</v>
      </c>
      <c r="N319" s="1">
        <v>5764446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2640000</v>
      </c>
      <c r="U319" s="1">
        <v>0</v>
      </c>
      <c r="V319" s="1">
        <v>18721594</v>
      </c>
      <c r="W319" s="1">
        <v>4000000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5416303</v>
      </c>
      <c r="AE319" s="1">
        <v>0</v>
      </c>
      <c r="AF319" s="1">
        <v>7341708</v>
      </c>
      <c r="AG319" s="1">
        <v>0</v>
      </c>
      <c r="AH319" s="1">
        <v>0</v>
      </c>
      <c r="AI319" s="1">
        <v>0</v>
      </c>
      <c r="AJ319" s="1">
        <v>7428619</v>
      </c>
      <c r="AK319" s="1">
        <v>0</v>
      </c>
      <c r="AL319" s="1">
        <v>0</v>
      </c>
      <c r="AM319" s="1">
        <v>0</v>
      </c>
      <c r="AN319" s="1">
        <v>0</v>
      </c>
      <c r="AO319" s="1">
        <v>83656913</v>
      </c>
      <c r="AP319" s="1">
        <v>11472349</v>
      </c>
      <c r="AQ319" s="1">
        <v>72184564</v>
      </c>
      <c r="AR319" s="1">
        <v>15263041</v>
      </c>
      <c r="AS319" s="1">
        <v>2289456</v>
      </c>
      <c r="AT319" s="3">
        <f t="shared" si="27"/>
        <v>101209410</v>
      </c>
    </row>
    <row r="320" spans="1:46" x14ac:dyDescent="0.2">
      <c r="A320" s="1" t="str">
        <f>"00370"</f>
        <v>00370</v>
      </c>
      <c r="B320" s="1" t="str">
        <f>"احمد"</f>
        <v>احمد</v>
      </c>
      <c r="C320" s="1" t="str">
        <f>"عابدي"</f>
        <v>عابدي</v>
      </c>
      <c r="D320" s="1" t="str">
        <f t="shared" si="33"/>
        <v>قراردادي کارگري</v>
      </c>
      <c r="E320" s="1" t="str">
        <f t="shared" si="34"/>
        <v>پروژه تعميرات نيروگاه بوشهر</v>
      </c>
      <c r="F320" s="1">
        <v>0</v>
      </c>
      <c r="G320" s="1">
        <v>2674126</v>
      </c>
      <c r="H320" s="1">
        <v>0</v>
      </c>
      <c r="I320" s="1">
        <v>6323544</v>
      </c>
      <c r="J320" s="1">
        <v>0</v>
      </c>
      <c r="K320" s="1">
        <v>0</v>
      </c>
      <c r="L320" s="1">
        <v>11521166</v>
      </c>
      <c r="M320" s="1">
        <v>2000000</v>
      </c>
      <c r="N320" s="1">
        <v>4559152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2640000</v>
      </c>
      <c r="U320" s="1">
        <v>0</v>
      </c>
      <c r="V320" s="1">
        <v>16303986</v>
      </c>
      <c r="W320" s="1">
        <v>4000000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4659938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2139301</v>
      </c>
      <c r="AK320" s="1">
        <v>0</v>
      </c>
      <c r="AL320" s="1">
        <v>0</v>
      </c>
      <c r="AM320" s="1">
        <v>0</v>
      </c>
      <c r="AN320" s="1">
        <v>0</v>
      </c>
      <c r="AO320" s="1">
        <v>65483603</v>
      </c>
      <c r="AP320" s="1">
        <v>6963827</v>
      </c>
      <c r="AQ320" s="1">
        <v>58519776</v>
      </c>
      <c r="AR320" s="1">
        <v>13096721</v>
      </c>
      <c r="AS320" s="1">
        <v>1964508</v>
      </c>
      <c r="AT320" s="3">
        <f t="shared" si="27"/>
        <v>80544832</v>
      </c>
    </row>
    <row r="321" spans="1:46" x14ac:dyDescent="0.2">
      <c r="A321" s="1" t="str">
        <f>"00371"</f>
        <v>00371</v>
      </c>
      <c r="B321" s="1" t="str">
        <f>"اميد"</f>
        <v>اميد</v>
      </c>
      <c r="C321" s="1" t="str">
        <f>"محمدي"</f>
        <v>محمدي</v>
      </c>
      <c r="D321" s="1" t="str">
        <f t="shared" si="33"/>
        <v>قراردادي کارگري</v>
      </c>
      <c r="E321" s="1" t="str">
        <f t="shared" si="34"/>
        <v>پروژه تعميرات نيروگاه بوشهر</v>
      </c>
      <c r="F321" s="1">
        <v>0</v>
      </c>
      <c r="G321" s="1">
        <v>2742569</v>
      </c>
      <c r="H321" s="1">
        <v>0</v>
      </c>
      <c r="I321" s="1">
        <v>5982312</v>
      </c>
      <c r="J321" s="1">
        <v>0</v>
      </c>
      <c r="K321" s="1">
        <v>0</v>
      </c>
      <c r="L321" s="1">
        <v>11521166</v>
      </c>
      <c r="M321" s="1">
        <v>2000000</v>
      </c>
      <c r="N321" s="1">
        <v>4630273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2640000</v>
      </c>
      <c r="U321" s="1">
        <v>0</v>
      </c>
      <c r="V321" s="1">
        <v>12253318</v>
      </c>
      <c r="W321" s="1">
        <v>4000000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4639690</v>
      </c>
      <c r="AE321" s="1">
        <v>0</v>
      </c>
      <c r="AF321" s="1">
        <v>1835427</v>
      </c>
      <c r="AG321" s="1">
        <v>0</v>
      </c>
      <c r="AH321" s="1">
        <v>0</v>
      </c>
      <c r="AI321" s="1">
        <v>0</v>
      </c>
      <c r="AJ321" s="1">
        <v>3900543</v>
      </c>
      <c r="AK321" s="1">
        <v>0</v>
      </c>
      <c r="AL321" s="1">
        <v>0</v>
      </c>
      <c r="AM321" s="1">
        <v>0</v>
      </c>
      <c r="AN321" s="1">
        <v>0</v>
      </c>
      <c r="AO321" s="1">
        <v>64942816</v>
      </c>
      <c r="AP321" s="1">
        <v>9722636</v>
      </c>
      <c r="AQ321" s="1">
        <v>55220180</v>
      </c>
      <c r="AR321" s="1">
        <v>12621478</v>
      </c>
      <c r="AS321" s="1">
        <v>1893222</v>
      </c>
      <c r="AT321" s="3">
        <f t="shared" si="27"/>
        <v>79457516</v>
      </c>
    </row>
    <row r="322" spans="1:46" x14ac:dyDescent="0.2">
      <c r="A322" s="1" t="str">
        <f>"00372"</f>
        <v>00372</v>
      </c>
      <c r="B322" s="1" t="str">
        <f>"رسول"</f>
        <v>رسول</v>
      </c>
      <c r="C322" s="1" t="str">
        <f>"حسن احمدي"</f>
        <v>حسن احمدي</v>
      </c>
      <c r="D322" s="1" t="str">
        <f t="shared" si="33"/>
        <v>قراردادي کارگري</v>
      </c>
      <c r="E322" s="1" t="str">
        <f t="shared" si="34"/>
        <v>پروژه تعميرات نيروگاه بوشهر</v>
      </c>
      <c r="F322" s="1">
        <v>0</v>
      </c>
      <c r="G322" s="1">
        <v>43441367</v>
      </c>
      <c r="H322" s="1">
        <v>0</v>
      </c>
      <c r="I322" s="1">
        <v>7467622</v>
      </c>
      <c r="J322" s="1">
        <v>0</v>
      </c>
      <c r="K322" s="1">
        <v>0</v>
      </c>
      <c r="L322" s="1">
        <v>11521166</v>
      </c>
      <c r="M322" s="1">
        <v>2000000</v>
      </c>
      <c r="N322" s="1">
        <v>5494939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2640000</v>
      </c>
      <c r="U322" s="1">
        <v>0</v>
      </c>
      <c r="V322" s="1">
        <v>13240375</v>
      </c>
      <c r="W322" s="1">
        <v>4000000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5228314</v>
      </c>
      <c r="AE322" s="1">
        <v>0</v>
      </c>
      <c r="AF322" s="1">
        <v>5506281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110911762</v>
      </c>
      <c r="AP322" s="1">
        <v>21688455</v>
      </c>
      <c r="AQ322" s="1">
        <v>89223307</v>
      </c>
      <c r="AR322" s="1">
        <v>21081096</v>
      </c>
      <c r="AS322" s="1">
        <v>3162164</v>
      </c>
      <c r="AT322" s="3">
        <f t="shared" si="27"/>
        <v>135155022</v>
      </c>
    </row>
    <row r="323" spans="1:46" x14ac:dyDescent="0.2">
      <c r="A323" s="1" t="str">
        <f>"00373"</f>
        <v>00373</v>
      </c>
      <c r="B323" s="1" t="str">
        <f>"شکراله"</f>
        <v>شکراله</v>
      </c>
      <c r="C323" s="1" t="str">
        <f>"عباسي"</f>
        <v>عباسي</v>
      </c>
      <c r="D323" s="1" t="str">
        <f t="shared" si="33"/>
        <v>قراردادي کارگري</v>
      </c>
      <c r="E323" s="1" t="str">
        <f t="shared" si="34"/>
        <v>پروژه تعميرات نيروگاه بوشهر</v>
      </c>
      <c r="F323" s="1">
        <v>0</v>
      </c>
      <c r="G323" s="1">
        <v>9161096</v>
      </c>
      <c r="H323" s="1">
        <v>0</v>
      </c>
      <c r="I323" s="1">
        <v>12217911</v>
      </c>
      <c r="J323" s="1">
        <v>0</v>
      </c>
      <c r="K323" s="1">
        <v>0</v>
      </c>
      <c r="L323" s="1">
        <v>11521166</v>
      </c>
      <c r="M323" s="1">
        <v>2000000</v>
      </c>
      <c r="N323" s="1">
        <v>7321594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2640000</v>
      </c>
      <c r="U323" s="1">
        <v>0</v>
      </c>
      <c r="V323" s="1">
        <v>9305431</v>
      </c>
      <c r="W323" s="1">
        <v>4000000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3670854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75566043</v>
      </c>
      <c r="AP323" s="1">
        <v>9591001</v>
      </c>
      <c r="AQ323" s="1">
        <v>65975042</v>
      </c>
      <c r="AR323" s="1">
        <v>14379038</v>
      </c>
      <c r="AS323" s="1">
        <v>2156856</v>
      </c>
      <c r="AT323" s="3">
        <f t="shared" ref="AT323:AT386" si="35">AO323+AR323+AS323</f>
        <v>92101937</v>
      </c>
    </row>
    <row r="324" spans="1:46" x14ac:dyDescent="0.2">
      <c r="A324" s="1" t="str">
        <f>"00374"</f>
        <v>00374</v>
      </c>
      <c r="B324" s="1" t="str">
        <f>"مهدي"</f>
        <v>مهدي</v>
      </c>
      <c r="C324" s="1" t="str">
        <f>"برتون"</f>
        <v>برتون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0</v>
      </c>
      <c r="G324" s="1">
        <v>12131401</v>
      </c>
      <c r="H324" s="1">
        <v>0</v>
      </c>
      <c r="I324" s="1">
        <v>7787958</v>
      </c>
      <c r="J324" s="1">
        <v>0</v>
      </c>
      <c r="K324" s="1">
        <v>0</v>
      </c>
      <c r="L324" s="1">
        <v>11521166</v>
      </c>
      <c r="M324" s="1">
        <v>2000000</v>
      </c>
      <c r="N324" s="1">
        <v>5652151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2640000</v>
      </c>
      <c r="U324" s="1">
        <v>0</v>
      </c>
      <c r="V324" s="1">
        <v>13490082</v>
      </c>
      <c r="W324" s="1">
        <v>4000000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5344457</v>
      </c>
      <c r="AE324" s="1">
        <v>0</v>
      </c>
      <c r="AF324" s="1">
        <v>11012562</v>
      </c>
      <c r="AG324" s="1">
        <v>0</v>
      </c>
      <c r="AH324" s="1">
        <v>0</v>
      </c>
      <c r="AI324" s="1">
        <v>0</v>
      </c>
      <c r="AJ324" s="1">
        <v>6654940</v>
      </c>
      <c r="AK324" s="1">
        <v>0</v>
      </c>
      <c r="AL324" s="1">
        <v>0</v>
      </c>
      <c r="AM324" s="1">
        <v>0</v>
      </c>
      <c r="AN324" s="1">
        <v>0</v>
      </c>
      <c r="AO324" s="1">
        <v>92903153</v>
      </c>
      <c r="AP324" s="1">
        <v>17265184</v>
      </c>
      <c r="AQ324" s="1">
        <v>75637969</v>
      </c>
      <c r="AR324" s="1">
        <v>16378118</v>
      </c>
      <c r="AS324" s="1">
        <v>2456718</v>
      </c>
      <c r="AT324" s="3">
        <f t="shared" si="35"/>
        <v>111737989</v>
      </c>
    </row>
    <row r="325" spans="1:46" x14ac:dyDescent="0.2">
      <c r="A325" s="1" t="str">
        <f>"00375"</f>
        <v>00375</v>
      </c>
      <c r="B325" s="1" t="str">
        <f>"محمدرضا"</f>
        <v>محمدرضا</v>
      </c>
      <c r="C325" s="1" t="str">
        <f>"قادري"</f>
        <v>قادري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0</v>
      </c>
      <c r="G325" s="1">
        <v>0</v>
      </c>
      <c r="H325" s="1">
        <v>0</v>
      </c>
      <c r="I325" s="1">
        <v>12024459</v>
      </c>
      <c r="J325" s="1">
        <v>0</v>
      </c>
      <c r="K325" s="1">
        <v>0</v>
      </c>
      <c r="L325" s="1">
        <v>11331151</v>
      </c>
      <c r="M325" s="1">
        <v>2000000</v>
      </c>
      <c r="N325" s="1">
        <v>8016306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2640000</v>
      </c>
      <c r="U325" s="1">
        <v>0</v>
      </c>
      <c r="V325" s="1">
        <v>10652004</v>
      </c>
      <c r="W325" s="1">
        <v>4000000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1835427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67529920</v>
      </c>
      <c r="AP325" s="1">
        <v>15175816</v>
      </c>
      <c r="AQ325" s="1">
        <v>52354104</v>
      </c>
      <c r="AR325" s="1">
        <v>13138899</v>
      </c>
      <c r="AS325" s="1">
        <v>1970835</v>
      </c>
      <c r="AT325" s="3">
        <f t="shared" si="35"/>
        <v>82639654</v>
      </c>
    </row>
    <row r="326" spans="1:46" x14ac:dyDescent="0.2">
      <c r="A326" s="1" t="str">
        <f>"00376"</f>
        <v>00376</v>
      </c>
      <c r="B326" s="1" t="str">
        <f>"امين"</f>
        <v>امين</v>
      </c>
      <c r="C326" s="1" t="str">
        <f>"عسکرزاده شيرازي"</f>
        <v>عسکرزاده شيرازي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0</v>
      </c>
      <c r="G326" s="1">
        <v>12732331</v>
      </c>
      <c r="H326" s="1">
        <v>0</v>
      </c>
      <c r="I326" s="1">
        <v>10325775</v>
      </c>
      <c r="J326" s="1">
        <v>0</v>
      </c>
      <c r="K326" s="1">
        <v>0</v>
      </c>
      <c r="L326" s="1">
        <v>11521166</v>
      </c>
      <c r="M326" s="1">
        <v>2000000</v>
      </c>
      <c r="N326" s="1">
        <v>7392715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2640000</v>
      </c>
      <c r="U326" s="1">
        <v>0</v>
      </c>
      <c r="V326" s="1">
        <v>11483967</v>
      </c>
      <c r="W326" s="1">
        <v>4000000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3670854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79720557</v>
      </c>
      <c r="AP326" s="1">
        <v>9053186</v>
      </c>
      <c r="AQ326" s="1">
        <v>70667371</v>
      </c>
      <c r="AR326" s="1">
        <v>15209941</v>
      </c>
      <c r="AS326" s="1">
        <v>2281491</v>
      </c>
      <c r="AT326" s="3">
        <f t="shared" si="35"/>
        <v>97211989</v>
      </c>
    </row>
    <row r="327" spans="1:46" x14ac:dyDescent="0.2">
      <c r="A327" s="1" t="str">
        <f>"00377"</f>
        <v>00377</v>
      </c>
      <c r="B327" s="1" t="str">
        <f>"احمد"</f>
        <v>احمد</v>
      </c>
      <c r="C327" s="1" t="str">
        <f>"فقيه الاسلام جهرمي"</f>
        <v>فقيه الاسلام جهرمي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0</v>
      </c>
      <c r="G327" s="1">
        <v>0</v>
      </c>
      <c r="H327" s="1">
        <v>0</v>
      </c>
      <c r="I327" s="1">
        <v>11582955</v>
      </c>
      <c r="J327" s="1">
        <v>0</v>
      </c>
      <c r="K327" s="1">
        <v>0</v>
      </c>
      <c r="L327" s="1">
        <v>11331151</v>
      </c>
      <c r="M327" s="1">
        <v>2000000</v>
      </c>
      <c r="N327" s="1">
        <v>6571888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2640000</v>
      </c>
      <c r="U327" s="1">
        <v>0</v>
      </c>
      <c r="V327" s="1">
        <v>9961720</v>
      </c>
      <c r="W327" s="1">
        <v>4000000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1835427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62245434</v>
      </c>
      <c r="AP327" s="1">
        <v>14925678</v>
      </c>
      <c r="AQ327" s="1">
        <v>47319756</v>
      </c>
      <c r="AR327" s="1">
        <v>12082001</v>
      </c>
      <c r="AS327" s="1">
        <v>1812300</v>
      </c>
      <c r="AT327" s="3">
        <f t="shared" si="35"/>
        <v>76139735</v>
      </c>
    </row>
    <row r="328" spans="1:46" x14ac:dyDescent="0.2">
      <c r="A328" s="1" t="str">
        <f>"00380"</f>
        <v>00380</v>
      </c>
      <c r="B328" s="1" t="str">
        <f>"سجاد"</f>
        <v>سجاد</v>
      </c>
      <c r="C328" s="1" t="str">
        <f>"عاشوري"</f>
        <v>عاشوري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0</v>
      </c>
      <c r="G328" s="1">
        <v>3044907</v>
      </c>
      <c r="H328" s="1">
        <v>0</v>
      </c>
      <c r="I328" s="1">
        <v>5913397</v>
      </c>
      <c r="J328" s="1">
        <v>0</v>
      </c>
      <c r="K328" s="1">
        <v>0</v>
      </c>
      <c r="L328" s="1">
        <v>11521166</v>
      </c>
      <c r="M328" s="1">
        <v>2000000</v>
      </c>
      <c r="N328" s="1">
        <v>4645245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2640000</v>
      </c>
      <c r="U328" s="1">
        <v>0</v>
      </c>
      <c r="V328" s="1">
        <v>12244905</v>
      </c>
      <c r="W328" s="1">
        <v>4000000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4635866</v>
      </c>
      <c r="AE328" s="1">
        <v>0</v>
      </c>
      <c r="AF328" s="1">
        <v>5506281</v>
      </c>
      <c r="AG328" s="1">
        <v>0</v>
      </c>
      <c r="AH328" s="1">
        <v>0</v>
      </c>
      <c r="AI328" s="1">
        <v>0</v>
      </c>
      <c r="AJ328" s="1">
        <v>3897481</v>
      </c>
      <c r="AK328" s="1">
        <v>0</v>
      </c>
      <c r="AL328" s="1">
        <v>0</v>
      </c>
      <c r="AM328" s="1">
        <v>0</v>
      </c>
      <c r="AN328" s="1">
        <v>0</v>
      </c>
      <c r="AO328" s="1">
        <v>68875213</v>
      </c>
      <c r="AP328" s="1">
        <v>7169763</v>
      </c>
      <c r="AQ328" s="1">
        <v>61705450</v>
      </c>
      <c r="AR328" s="1">
        <v>12673786</v>
      </c>
      <c r="AS328" s="1">
        <v>1901068</v>
      </c>
      <c r="AT328" s="3">
        <f t="shared" si="35"/>
        <v>83450067</v>
      </c>
    </row>
    <row r="329" spans="1:46" x14ac:dyDescent="0.2">
      <c r="A329" s="1" t="str">
        <f>"00381"</f>
        <v>00381</v>
      </c>
      <c r="B329" s="1" t="str">
        <f>"سيد محمود"</f>
        <v>سيد محمود</v>
      </c>
      <c r="C329" s="1" t="str">
        <f>"سجاديان"</f>
        <v>سجاديان</v>
      </c>
      <c r="D329" s="1" t="str">
        <f>"قراردادي بهره بردار"</f>
        <v>قراردادي بهره بردار</v>
      </c>
      <c r="E329" s="1" t="str">
        <f t="shared" si="34"/>
        <v>پروژه تعميرات نيروگاه بوشهر</v>
      </c>
      <c r="F329" s="1">
        <v>29369611</v>
      </c>
      <c r="G329" s="1">
        <v>36490997</v>
      </c>
      <c r="H329" s="1">
        <v>0</v>
      </c>
      <c r="I329" s="1">
        <v>35731684</v>
      </c>
      <c r="J329" s="1">
        <v>0</v>
      </c>
      <c r="K329" s="1">
        <v>5500000</v>
      </c>
      <c r="L329" s="1">
        <v>0</v>
      </c>
      <c r="M329" s="1">
        <v>1000000</v>
      </c>
      <c r="N329" s="1">
        <v>4410481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8247680</v>
      </c>
      <c r="W329" s="1">
        <v>4000000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4459102</v>
      </c>
      <c r="AD329" s="1">
        <v>0</v>
      </c>
      <c r="AE329" s="1">
        <v>3465377</v>
      </c>
      <c r="AF329" s="1">
        <v>1835427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5040548</v>
      </c>
      <c r="AM329" s="1">
        <v>0</v>
      </c>
      <c r="AN329" s="1">
        <v>0</v>
      </c>
      <c r="AO329" s="1">
        <v>139550907</v>
      </c>
      <c r="AP329" s="1">
        <v>51609222</v>
      </c>
      <c r="AQ329" s="1">
        <v>87941685</v>
      </c>
      <c r="AR329" s="1">
        <v>26552511</v>
      </c>
      <c r="AS329" s="1">
        <v>3982877</v>
      </c>
      <c r="AT329" s="3">
        <f t="shared" si="35"/>
        <v>170086295</v>
      </c>
    </row>
    <row r="330" spans="1:46" x14ac:dyDescent="0.2">
      <c r="A330" s="1" t="str">
        <f>"00382"</f>
        <v>00382</v>
      </c>
      <c r="B330" s="1" t="str">
        <f>"سيد امير"</f>
        <v>سيد امير</v>
      </c>
      <c r="C330" s="1" t="str">
        <f>"حسيني"</f>
        <v>حسيني</v>
      </c>
      <c r="D330" s="1" t="str">
        <f>"قراردادي بهره بردار"</f>
        <v>قراردادي بهره بردار</v>
      </c>
      <c r="E330" s="1" t="str">
        <f>"پروژه بهره برداري نيروگاه بوشهر"</f>
        <v>پروژه بهره برداري نيروگاه بوشهر</v>
      </c>
      <c r="F330" s="1">
        <v>27782473</v>
      </c>
      <c r="G330" s="1">
        <v>50916724</v>
      </c>
      <c r="H330" s="1">
        <v>0</v>
      </c>
      <c r="I330" s="1">
        <v>25434366</v>
      </c>
      <c r="J330" s="1">
        <v>0</v>
      </c>
      <c r="K330" s="1">
        <v>5500000</v>
      </c>
      <c r="L330" s="1">
        <v>0</v>
      </c>
      <c r="M330" s="1">
        <v>1000000</v>
      </c>
      <c r="N330" s="1">
        <v>4351404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17445103</v>
      </c>
      <c r="W330" s="1">
        <v>4000000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3418960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5470335</v>
      </c>
      <c r="AM330" s="1">
        <v>0</v>
      </c>
      <c r="AN330" s="1">
        <v>0</v>
      </c>
      <c r="AO330" s="1">
        <v>145319365</v>
      </c>
      <c r="AP330" s="1">
        <v>51436421</v>
      </c>
      <c r="AQ330" s="1">
        <v>93882944</v>
      </c>
      <c r="AR330" s="1">
        <v>26552511</v>
      </c>
      <c r="AS330" s="1">
        <v>3982877</v>
      </c>
      <c r="AT330" s="3">
        <f t="shared" si="35"/>
        <v>175854753</v>
      </c>
    </row>
    <row r="331" spans="1:46" x14ac:dyDescent="0.2">
      <c r="A331" s="1" t="str">
        <f>"00383"</f>
        <v>00383</v>
      </c>
      <c r="B331" s="1" t="str">
        <f>"زهرا"</f>
        <v>زهرا</v>
      </c>
      <c r="C331" s="1" t="str">
        <f>"عفيفيان"</f>
        <v>عفيفيان</v>
      </c>
      <c r="D331" s="1" t="str">
        <f>"قراردادي کارگري"</f>
        <v>قراردادي کارگري</v>
      </c>
      <c r="E331" s="1" t="str">
        <f>"پروژه تعميرات نيروگاه بوشهر"</f>
        <v>پروژه تعميرات نيروگاه بوشهر</v>
      </c>
      <c r="F331" s="1">
        <v>0</v>
      </c>
      <c r="G331" s="1">
        <v>4149804</v>
      </c>
      <c r="H331" s="1">
        <v>0</v>
      </c>
      <c r="I331" s="1">
        <v>7621481</v>
      </c>
      <c r="J331" s="1">
        <v>0</v>
      </c>
      <c r="K331" s="1">
        <v>0</v>
      </c>
      <c r="L331" s="1">
        <v>11521166</v>
      </c>
      <c r="M331" s="1">
        <v>2000000</v>
      </c>
      <c r="N331" s="1">
        <v>5494939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2640000</v>
      </c>
      <c r="U331" s="1">
        <v>0</v>
      </c>
      <c r="V331" s="1">
        <v>4127797</v>
      </c>
      <c r="W331" s="1">
        <v>4000000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51995571</v>
      </c>
      <c r="AP331" s="1">
        <v>6852590</v>
      </c>
      <c r="AQ331" s="1">
        <v>45142981</v>
      </c>
      <c r="AR331" s="1">
        <v>10399114</v>
      </c>
      <c r="AS331" s="1">
        <v>1559867</v>
      </c>
      <c r="AT331" s="3">
        <f t="shared" si="35"/>
        <v>63954552</v>
      </c>
    </row>
    <row r="332" spans="1:46" x14ac:dyDescent="0.2">
      <c r="A332" s="1" t="str">
        <f>"00384"</f>
        <v>00384</v>
      </c>
      <c r="B332" s="1" t="str">
        <f>"غلامرضا"</f>
        <v>غلامرضا</v>
      </c>
      <c r="C332" s="1" t="str">
        <f>"خسروي"</f>
        <v>خسروي</v>
      </c>
      <c r="D332" s="1" t="str">
        <f>"قراردادي کارگري"</f>
        <v>قراردادي کارگري</v>
      </c>
      <c r="E332" s="1" t="str">
        <f>"پروژه تعميرات نيروگاه بوشهر"</f>
        <v>پروژه تعميرات نيروگاه بوشهر</v>
      </c>
      <c r="F332" s="1">
        <v>0</v>
      </c>
      <c r="G332" s="1">
        <v>6132027</v>
      </c>
      <c r="H332" s="1">
        <v>0</v>
      </c>
      <c r="I332" s="1">
        <v>6462105</v>
      </c>
      <c r="J332" s="1">
        <v>0</v>
      </c>
      <c r="K332" s="1">
        <v>0</v>
      </c>
      <c r="L332" s="1">
        <v>11521166</v>
      </c>
      <c r="M332" s="1">
        <v>2000000</v>
      </c>
      <c r="N332" s="1">
        <v>4626529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2640000</v>
      </c>
      <c r="U332" s="1">
        <v>0</v>
      </c>
      <c r="V332" s="1">
        <v>12107416</v>
      </c>
      <c r="W332" s="1">
        <v>4000000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58221817</v>
      </c>
      <c r="AP332" s="1">
        <v>9058556</v>
      </c>
      <c r="AQ332" s="1">
        <v>49163261</v>
      </c>
      <c r="AR332" s="1">
        <v>11644363</v>
      </c>
      <c r="AS332" s="1">
        <v>1746655</v>
      </c>
      <c r="AT332" s="3">
        <f t="shared" si="35"/>
        <v>71612835</v>
      </c>
    </row>
    <row r="333" spans="1:46" x14ac:dyDescent="0.2">
      <c r="A333" s="1" t="str">
        <f>"00385"</f>
        <v>00385</v>
      </c>
      <c r="B333" s="1" t="str">
        <f>"محمد"</f>
        <v>محمد</v>
      </c>
      <c r="C333" s="1" t="str">
        <f>"پولادي نژاد"</f>
        <v>پولادي نژاد</v>
      </c>
      <c r="D333" s="1" t="str">
        <f>"قراردادي بهره بردار"</f>
        <v>قراردادي بهره بردار</v>
      </c>
      <c r="E333" s="1" t="str">
        <f>"پروژه بهره برداري نيروگاه بوشهر"</f>
        <v>پروژه بهره برداري نيروگاه بوشهر</v>
      </c>
      <c r="F333" s="1">
        <v>16911837</v>
      </c>
      <c r="G333" s="1">
        <v>29528050</v>
      </c>
      <c r="H333" s="1">
        <v>0</v>
      </c>
      <c r="I333" s="1">
        <v>15169535</v>
      </c>
      <c r="J333" s="1">
        <v>0</v>
      </c>
      <c r="K333" s="1">
        <v>4620000</v>
      </c>
      <c r="L333" s="1">
        <v>0</v>
      </c>
      <c r="M333" s="1">
        <v>1000000</v>
      </c>
      <c r="N333" s="1">
        <v>3018208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11448082</v>
      </c>
      <c r="W333" s="1">
        <v>4000000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2371448</v>
      </c>
      <c r="AF333" s="1">
        <v>1835427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6140713</v>
      </c>
      <c r="AM333" s="1">
        <v>0</v>
      </c>
      <c r="AN333" s="1">
        <v>0</v>
      </c>
      <c r="AO333" s="1">
        <v>96043300</v>
      </c>
      <c r="AP333" s="1">
        <v>33491105</v>
      </c>
      <c r="AQ333" s="1">
        <v>62552195</v>
      </c>
      <c r="AR333" s="1">
        <v>18841575</v>
      </c>
      <c r="AS333" s="1">
        <v>2826236</v>
      </c>
      <c r="AT333" s="3">
        <f t="shared" si="35"/>
        <v>117711111</v>
      </c>
    </row>
    <row r="334" spans="1:46" x14ac:dyDescent="0.2">
      <c r="A334" s="1" t="str">
        <f>"00386"</f>
        <v>00386</v>
      </c>
      <c r="B334" s="1" t="str">
        <f>"سيد اسد"</f>
        <v>سيد اسد</v>
      </c>
      <c r="C334" s="1" t="str">
        <f>"موسوي"</f>
        <v>موسوي</v>
      </c>
      <c r="D334" s="1" t="str">
        <f>"قراردادي کارگري"</f>
        <v>قراردادي کارگري</v>
      </c>
      <c r="E334" s="1" t="str">
        <f>"پروژه تعميرات نيروگاه بوشهر"</f>
        <v>پروژه تعميرات نيروگاه بوشهر</v>
      </c>
      <c r="F334" s="1">
        <v>0</v>
      </c>
      <c r="G334" s="1">
        <v>2977751</v>
      </c>
      <c r="H334" s="1">
        <v>0</v>
      </c>
      <c r="I334" s="1">
        <v>8740856</v>
      </c>
      <c r="J334" s="1">
        <v>0</v>
      </c>
      <c r="K334" s="1">
        <v>0</v>
      </c>
      <c r="L334" s="1">
        <v>11521166</v>
      </c>
      <c r="M334" s="1">
        <v>2000000</v>
      </c>
      <c r="N334" s="1">
        <v>6299716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2640000</v>
      </c>
      <c r="U334" s="1">
        <v>0</v>
      </c>
      <c r="V334" s="1">
        <v>14375019</v>
      </c>
      <c r="W334" s="1">
        <v>4000000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5756056</v>
      </c>
      <c r="AE334" s="1">
        <v>0</v>
      </c>
      <c r="AF334" s="1">
        <v>3670854</v>
      </c>
      <c r="AG334" s="1">
        <v>0</v>
      </c>
      <c r="AH334" s="1">
        <v>0</v>
      </c>
      <c r="AI334" s="1">
        <v>0</v>
      </c>
      <c r="AJ334" s="1">
        <v>4764401</v>
      </c>
      <c r="AK334" s="1">
        <v>0</v>
      </c>
      <c r="AL334" s="1">
        <v>0</v>
      </c>
      <c r="AM334" s="1">
        <v>0</v>
      </c>
      <c r="AN334" s="1">
        <v>0</v>
      </c>
      <c r="AO334" s="1">
        <v>78557786</v>
      </c>
      <c r="AP334" s="1">
        <v>9349655</v>
      </c>
      <c r="AQ334" s="1">
        <v>69208131</v>
      </c>
      <c r="AR334" s="1">
        <v>14977386</v>
      </c>
      <c r="AS334" s="1">
        <v>2246608</v>
      </c>
      <c r="AT334" s="3">
        <f t="shared" si="35"/>
        <v>95781780</v>
      </c>
    </row>
    <row r="335" spans="1:46" x14ac:dyDescent="0.2">
      <c r="A335" s="1" t="str">
        <f>"00387"</f>
        <v>00387</v>
      </c>
      <c r="B335" s="1" t="str">
        <f>"عادل"</f>
        <v>عادل</v>
      </c>
      <c r="C335" s="1" t="str">
        <f>"محمدي نهاد"</f>
        <v>محمدي نهاد</v>
      </c>
      <c r="D335" s="1" t="str">
        <f>"قراردادي بهره بردار"</f>
        <v>قراردادي بهره بردار</v>
      </c>
      <c r="E335" s="1" t="str">
        <f>"پروژه بهره برداري نيروگاه بوشهر"</f>
        <v>پروژه بهره برداري نيروگاه بوشهر</v>
      </c>
      <c r="F335" s="1">
        <v>22441627</v>
      </c>
      <c r="G335" s="1">
        <v>11035123</v>
      </c>
      <c r="H335" s="1">
        <v>0</v>
      </c>
      <c r="I335" s="1">
        <v>17660012</v>
      </c>
      <c r="J335" s="1">
        <v>0</v>
      </c>
      <c r="K335" s="1">
        <v>0</v>
      </c>
      <c r="L335" s="1">
        <v>0</v>
      </c>
      <c r="M335" s="1">
        <v>1000000</v>
      </c>
      <c r="N335" s="1">
        <v>3556071</v>
      </c>
      <c r="O335" s="1">
        <v>0</v>
      </c>
      <c r="P335" s="1">
        <v>0</v>
      </c>
      <c r="Q335" s="1">
        <v>0</v>
      </c>
      <c r="R335" s="1">
        <v>108665</v>
      </c>
      <c r="S335" s="1">
        <v>0</v>
      </c>
      <c r="T335" s="1">
        <v>0</v>
      </c>
      <c r="U335" s="1">
        <v>0</v>
      </c>
      <c r="V335" s="1">
        <v>10641862</v>
      </c>
      <c r="W335" s="1">
        <v>4000000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2794056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5459755</v>
      </c>
      <c r="AM335" s="1">
        <v>0</v>
      </c>
      <c r="AN335" s="1">
        <v>0</v>
      </c>
      <c r="AO335" s="1">
        <v>78697171</v>
      </c>
      <c r="AP335" s="1">
        <v>30189137</v>
      </c>
      <c r="AQ335" s="1">
        <v>48508034</v>
      </c>
      <c r="AR335" s="1">
        <v>15717701</v>
      </c>
      <c r="AS335" s="1">
        <v>2357655</v>
      </c>
      <c r="AT335" s="3">
        <f t="shared" si="35"/>
        <v>96772527</v>
      </c>
    </row>
    <row r="336" spans="1:46" x14ac:dyDescent="0.2">
      <c r="A336" s="1" t="str">
        <f>"00388"</f>
        <v>00388</v>
      </c>
      <c r="B336" s="1" t="str">
        <f>"عبدالمهدي"</f>
        <v>عبدالمهدي</v>
      </c>
      <c r="C336" s="1" t="str">
        <f>"صفائي"</f>
        <v>صفائي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0</v>
      </c>
      <c r="G336" s="1">
        <v>7113274</v>
      </c>
      <c r="H336" s="1">
        <v>0</v>
      </c>
      <c r="I336" s="1">
        <v>6684234</v>
      </c>
      <c r="J336" s="1">
        <v>0</v>
      </c>
      <c r="K336" s="1">
        <v>0</v>
      </c>
      <c r="L336" s="1">
        <v>11521166</v>
      </c>
      <c r="M336" s="1">
        <v>2000000</v>
      </c>
      <c r="N336" s="1">
        <v>4918495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2640000</v>
      </c>
      <c r="U336" s="1">
        <v>0</v>
      </c>
      <c r="V336" s="1">
        <v>7914548</v>
      </c>
      <c r="W336" s="1">
        <v>4000000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56075375</v>
      </c>
      <c r="AP336" s="1">
        <v>10074225</v>
      </c>
      <c r="AQ336" s="1">
        <v>46001150</v>
      </c>
      <c r="AR336" s="1">
        <v>11215075</v>
      </c>
      <c r="AS336" s="1">
        <v>1682261</v>
      </c>
      <c r="AT336" s="3">
        <f t="shared" si="35"/>
        <v>68972711</v>
      </c>
    </row>
    <row r="337" spans="1:46" x14ac:dyDescent="0.2">
      <c r="A337" s="1" t="str">
        <f>"00389"</f>
        <v>00389</v>
      </c>
      <c r="B337" s="1" t="str">
        <f>"رضا"</f>
        <v>رضا</v>
      </c>
      <c r="C337" s="1" t="str">
        <f>"احسان نيا"</f>
        <v>احسان نيا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0</v>
      </c>
      <c r="G337" s="1">
        <v>13621310</v>
      </c>
      <c r="H337" s="1">
        <v>0</v>
      </c>
      <c r="I337" s="1">
        <v>7128265</v>
      </c>
      <c r="J337" s="1">
        <v>0</v>
      </c>
      <c r="K337" s="1">
        <v>0</v>
      </c>
      <c r="L337" s="1">
        <v>11572430</v>
      </c>
      <c r="M337" s="1">
        <v>2000000</v>
      </c>
      <c r="N337" s="1">
        <v>5139340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2640000</v>
      </c>
      <c r="U337" s="1">
        <v>0</v>
      </c>
      <c r="V337" s="1">
        <v>8359004</v>
      </c>
      <c r="W337" s="1">
        <v>4000000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64225095</v>
      </c>
      <c r="AP337" s="1">
        <v>13020585</v>
      </c>
      <c r="AQ337" s="1">
        <v>51204510</v>
      </c>
      <c r="AR337" s="1">
        <v>12845019</v>
      </c>
      <c r="AS337" s="1">
        <v>1926753</v>
      </c>
      <c r="AT337" s="3">
        <f t="shared" si="35"/>
        <v>78996867</v>
      </c>
    </row>
    <row r="338" spans="1:46" x14ac:dyDescent="0.2">
      <c r="A338" s="1" t="str">
        <f>"00390"</f>
        <v>00390</v>
      </c>
      <c r="B338" s="1" t="str">
        <f>"رضا"</f>
        <v>رضا</v>
      </c>
      <c r="C338" s="1" t="str">
        <f>"كشاورز"</f>
        <v>كشاورز</v>
      </c>
      <c r="D338" s="1" t="str">
        <f>"قراردادي بهره بردار"</f>
        <v>قراردادي بهره بردار</v>
      </c>
      <c r="E338" s="1" t="str">
        <f>"پروژه بهره برداري نيروگاه بوشهر"</f>
        <v>پروژه بهره برداري نيروگاه بوشهر</v>
      </c>
      <c r="F338" s="1">
        <v>25263206</v>
      </c>
      <c r="G338" s="1">
        <v>3676101</v>
      </c>
      <c r="H338" s="1">
        <v>0</v>
      </c>
      <c r="I338" s="1">
        <v>22497165</v>
      </c>
      <c r="J338" s="1">
        <v>0</v>
      </c>
      <c r="K338" s="1">
        <v>5500000</v>
      </c>
      <c r="L338" s="1">
        <v>0</v>
      </c>
      <c r="M338" s="1">
        <v>1000000</v>
      </c>
      <c r="N338" s="1">
        <v>3750055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5919954</v>
      </c>
      <c r="W338" s="1">
        <v>4000000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2946471</v>
      </c>
      <c r="AF338" s="1">
        <v>3670854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4742646</v>
      </c>
      <c r="AM338" s="1">
        <v>0</v>
      </c>
      <c r="AN338" s="1">
        <v>0</v>
      </c>
      <c r="AO338" s="1">
        <v>82966452</v>
      </c>
      <c r="AP338" s="1">
        <v>40136025</v>
      </c>
      <c r="AQ338" s="1">
        <v>42830427</v>
      </c>
      <c r="AR338" s="1">
        <v>15859120</v>
      </c>
      <c r="AS338" s="1">
        <v>2378868</v>
      </c>
      <c r="AT338" s="3">
        <f t="shared" si="35"/>
        <v>101204440</v>
      </c>
    </row>
    <row r="339" spans="1:46" x14ac:dyDescent="0.2">
      <c r="A339" s="1" t="str">
        <f>"00391"</f>
        <v>00391</v>
      </c>
      <c r="B339" s="1" t="str">
        <f>"حسين"</f>
        <v>حسين</v>
      </c>
      <c r="C339" s="1" t="str">
        <f>"محمدي حساوي"</f>
        <v>محمدي حساوي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0</v>
      </c>
      <c r="G339" s="1">
        <v>10206835</v>
      </c>
      <c r="H339" s="1">
        <v>0</v>
      </c>
      <c r="I339" s="1">
        <v>6882625</v>
      </c>
      <c r="J339" s="1">
        <v>0</v>
      </c>
      <c r="K339" s="1">
        <v>0</v>
      </c>
      <c r="L339" s="1">
        <v>11572430</v>
      </c>
      <c r="M339" s="1">
        <v>2000000</v>
      </c>
      <c r="N339" s="1">
        <v>5064477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2640000</v>
      </c>
      <c r="U339" s="1">
        <v>0</v>
      </c>
      <c r="V339" s="1">
        <v>8248534</v>
      </c>
      <c r="W339" s="1">
        <v>4000000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3670854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63844957</v>
      </c>
      <c r="AP339" s="1">
        <v>18198522</v>
      </c>
      <c r="AQ339" s="1">
        <v>45646435</v>
      </c>
      <c r="AR339" s="1">
        <v>12034821</v>
      </c>
      <c r="AS339" s="1">
        <v>1805223</v>
      </c>
      <c r="AT339" s="3">
        <f t="shared" si="35"/>
        <v>77685001</v>
      </c>
    </row>
    <row r="340" spans="1:46" x14ac:dyDescent="0.2">
      <c r="A340" s="1" t="str">
        <f>"00392"</f>
        <v>00392</v>
      </c>
      <c r="B340" s="1" t="str">
        <f>"عبدالرضا"</f>
        <v>عبدالرضا</v>
      </c>
      <c r="C340" s="1" t="str">
        <f>"علقمي"</f>
        <v>علقمي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0</v>
      </c>
      <c r="G340" s="1">
        <v>7852688</v>
      </c>
      <c r="H340" s="1">
        <v>0</v>
      </c>
      <c r="I340" s="1">
        <v>5385639</v>
      </c>
      <c r="J340" s="1">
        <v>0</v>
      </c>
      <c r="K340" s="1">
        <v>0</v>
      </c>
      <c r="L340" s="1">
        <v>11572430</v>
      </c>
      <c r="M340" s="1">
        <v>2000000</v>
      </c>
      <c r="N340" s="1">
        <v>4207531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2640000</v>
      </c>
      <c r="U340" s="1">
        <v>0</v>
      </c>
      <c r="V340" s="1">
        <v>7513939</v>
      </c>
      <c r="W340" s="1">
        <v>4000000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5506281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59093570</v>
      </c>
      <c r="AP340" s="1">
        <v>17314145</v>
      </c>
      <c r="AQ340" s="1">
        <v>41779425</v>
      </c>
      <c r="AR340" s="1">
        <v>10717458</v>
      </c>
      <c r="AS340" s="1">
        <v>1607619</v>
      </c>
      <c r="AT340" s="3">
        <f t="shared" si="35"/>
        <v>71418647</v>
      </c>
    </row>
    <row r="341" spans="1:46" x14ac:dyDescent="0.2">
      <c r="A341" s="1" t="str">
        <f>"00393"</f>
        <v>00393</v>
      </c>
      <c r="B341" s="1" t="str">
        <f>"زهرا"</f>
        <v>زهرا</v>
      </c>
      <c r="C341" s="1" t="str">
        <f>"فاضلي پور"</f>
        <v>فاضلي پور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27346640</v>
      </c>
      <c r="G341" s="1">
        <v>4577907</v>
      </c>
      <c r="H341" s="1">
        <v>0</v>
      </c>
      <c r="I341" s="1">
        <v>21731298</v>
      </c>
      <c r="J341" s="1">
        <v>0</v>
      </c>
      <c r="K341" s="1">
        <v>4125000</v>
      </c>
      <c r="L341" s="1">
        <v>0</v>
      </c>
      <c r="M341" s="1">
        <v>1000000</v>
      </c>
      <c r="N341" s="1">
        <v>4198862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9673592</v>
      </c>
      <c r="W341" s="1">
        <v>4000000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3299106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5834369</v>
      </c>
      <c r="AM341" s="1">
        <v>0</v>
      </c>
      <c r="AN341" s="1">
        <v>0</v>
      </c>
      <c r="AO341" s="1">
        <v>85786774</v>
      </c>
      <c r="AP341" s="1">
        <v>49220522</v>
      </c>
      <c r="AQ341" s="1">
        <v>36566252</v>
      </c>
      <c r="AR341" s="1">
        <v>17157355</v>
      </c>
      <c r="AS341" s="1">
        <v>2573603</v>
      </c>
      <c r="AT341" s="3">
        <f t="shared" si="35"/>
        <v>105517732</v>
      </c>
    </row>
    <row r="342" spans="1:46" x14ac:dyDescent="0.2">
      <c r="A342" s="1" t="str">
        <f>"00397"</f>
        <v>00397</v>
      </c>
      <c r="B342" s="1" t="str">
        <f>"جواد"</f>
        <v>جواد</v>
      </c>
      <c r="C342" s="1" t="str">
        <f>"بيات"</f>
        <v>بيات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0</v>
      </c>
      <c r="G342" s="1">
        <v>3671052</v>
      </c>
      <c r="H342" s="1">
        <v>0</v>
      </c>
      <c r="I342" s="1">
        <v>7325551</v>
      </c>
      <c r="J342" s="1">
        <v>0</v>
      </c>
      <c r="K342" s="1">
        <v>0</v>
      </c>
      <c r="L342" s="1">
        <v>11521166</v>
      </c>
      <c r="M342" s="1">
        <v>2000000</v>
      </c>
      <c r="N342" s="1">
        <v>5281580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2640000</v>
      </c>
      <c r="U342" s="1">
        <v>0</v>
      </c>
      <c r="V342" s="1">
        <v>17860760</v>
      </c>
      <c r="W342" s="1">
        <v>4000000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5124495</v>
      </c>
      <c r="AE342" s="1">
        <v>0</v>
      </c>
      <c r="AF342" s="1">
        <v>3670854</v>
      </c>
      <c r="AG342" s="1">
        <v>0</v>
      </c>
      <c r="AH342" s="1">
        <v>0</v>
      </c>
      <c r="AI342" s="1">
        <v>0</v>
      </c>
      <c r="AJ342" s="1">
        <v>7048421</v>
      </c>
      <c r="AK342" s="1">
        <v>0</v>
      </c>
      <c r="AL342" s="1">
        <v>0</v>
      </c>
      <c r="AM342" s="1">
        <v>0</v>
      </c>
      <c r="AN342" s="1">
        <v>0</v>
      </c>
      <c r="AO342" s="1">
        <v>80178881</v>
      </c>
      <c r="AP342" s="1">
        <v>14892199</v>
      </c>
      <c r="AQ342" s="1">
        <v>65286682</v>
      </c>
      <c r="AR342" s="1">
        <v>15301605</v>
      </c>
      <c r="AS342" s="1">
        <v>2295241</v>
      </c>
      <c r="AT342" s="3">
        <f t="shared" si="35"/>
        <v>97775727</v>
      </c>
    </row>
    <row r="343" spans="1:46" x14ac:dyDescent="0.2">
      <c r="A343" s="1" t="str">
        <f>"00398"</f>
        <v>00398</v>
      </c>
      <c r="B343" s="1" t="str">
        <f>"علي اصغر"</f>
        <v>علي اصغر</v>
      </c>
      <c r="C343" s="1" t="str">
        <f>"عباسي بيلندي"</f>
        <v>عباسي بيلندي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17629828</v>
      </c>
      <c r="G343" s="1">
        <v>0</v>
      </c>
      <c r="H343" s="1">
        <v>0</v>
      </c>
      <c r="I343" s="1">
        <v>13352284</v>
      </c>
      <c r="J343" s="1">
        <v>0</v>
      </c>
      <c r="K343" s="1">
        <v>0</v>
      </c>
      <c r="L343" s="1">
        <v>0</v>
      </c>
      <c r="M343" s="1">
        <v>1000000</v>
      </c>
      <c r="N343" s="1">
        <v>3269504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8422214</v>
      </c>
      <c r="W343" s="1">
        <v>4000000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2568897</v>
      </c>
      <c r="AF343" s="1">
        <v>3670854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5290561</v>
      </c>
      <c r="AM343" s="1">
        <v>0</v>
      </c>
      <c r="AN343" s="1">
        <v>0</v>
      </c>
      <c r="AO343" s="1">
        <v>59204142</v>
      </c>
      <c r="AP343" s="1">
        <v>52330147</v>
      </c>
      <c r="AQ343" s="1">
        <v>6873995</v>
      </c>
      <c r="AR343" s="1">
        <v>11106658</v>
      </c>
      <c r="AS343" s="1">
        <v>1665999</v>
      </c>
      <c r="AT343" s="3">
        <f t="shared" si="35"/>
        <v>71976799</v>
      </c>
    </row>
    <row r="344" spans="1:46" x14ac:dyDescent="0.2">
      <c r="A344" s="1" t="str">
        <f>"00399"</f>
        <v>00399</v>
      </c>
      <c r="B344" s="1" t="str">
        <f>"سيده سلمي"</f>
        <v>سيده سلمي</v>
      </c>
      <c r="C344" s="1" t="str">
        <f>"محمدي يوسف نژاد"</f>
        <v>محمدي يوسف نژاد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23839820</v>
      </c>
      <c r="G344" s="1">
        <v>410146</v>
      </c>
      <c r="H344" s="1">
        <v>0</v>
      </c>
      <c r="I344" s="1">
        <v>18649577</v>
      </c>
      <c r="J344" s="1">
        <v>0</v>
      </c>
      <c r="K344" s="1">
        <v>4125000</v>
      </c>
      <c r="L344" s="1">
        <v>0</v>
      </c>
      <c r="M344" s="1">
        <v>1000000</v>
      </c>
      <c r="N344" s="1">
        <v>3251869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5283955</v>
      </c>
      <c r="W344" s="1">
        <v>4000000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2555041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4543245</v>
      </c>
      <c r="AM344" s="1">
        <v>0</v>
      </c>
      <c r="AN344" s="1">
        <v>0</v>
      </c>
      <c r="AO344" s="1">
        <v>67658653</v>
      </c>
      <c r="AP344" s="1">
        <v>9237576</v>
      </c>
      <c r="AQ344" s="1">
        <v>58421077</v>
      </c>
      <c r="AR344" s="1">
        <v>13531731</v>
      </c>
      <c r="AS344" s="1">
        <v>2029760</v>
      </c>
      <c r="AT344" s="3">
        <f t="shared" si="35"/>
        <v>83220144</v>
      </c>
    </row>
    <row r="345" spans="1:46" x14ac:dyDescent="0.2">
      <c r="A345" s="1" t="str">
        <f>"00400"</f>
        <v>00400</v>
      </c>
      <c r="B345" s="1" t="str">
        <f>"محمد"</f>
        <v>محمد</v>
      </c>
      <c r="C345" s="1" t="str">
        <f>"شهمرادي"</f>
        <v>شهمرادي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0</v>
      </c>
      <c r="G345" s="1">
        <v>7297569</v>
      </c>
      <c r="H345" s="1">
        <v>0</v>
      </c>
      <c r="I345" s="1">
        <v>5776634</v>
      </c>
      <c r="J345" s="1">
        <v>0</v>
      </c>
      <c r="K345" s="1">
        <v>0</v>
      </c>
      <c r="L345" s="1">
        <v>11572430</v>
      </c>
      <c r="M345" s="1">
        <v>2000000</v>
      </c>
      <c r="N345" s="1">
        <v>4282160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2640000</v>
      </c>
      <c r="U345" s="1">
        <v>0</v>
      </c>
      <c r="V345" s="1">
        <v>11599463</v>
      </c>
      <c r="W345" s="1">
        <v>4000000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1835427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59139787</v>
      </c>
      <c r="AP345" s="1">
        <v>11751293</v>
      </c>
      <c r="AQ345" s="1">
        <v>47388494</v>
      </c>
      <c r="AR345" s="1">
        <v>11460872</v>
      </c>
      <c r="AS345" s="1">
        <v>1719131</v>
      </c>
      <c r="AT345" s="3">
        <f t="shared" si="35"/>
        <v>72319790</v>
      </c>
    </row>
    <row r="346" spans="1:46" x14ac:dyDescent="0.2">
      <c r="A346" s="1" t="str">
        <f>"00401"</f>
        <v>00401</v>
      </c>
      <c r="B346" s="1" t="str">
        <f>"عارف"</f>
        <v>عارف</v>
      </c>
      <c r="C346" s="1" t="str">
        <f>"افراسيابي"</f>
        <v>افراسيابي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0</v>
      </c>
      <c r="G346" s="1">
        <v>16812340</v>
      </c>
      <c r="H346" s="1">
        <v>0</v>
      </c>
      <c r="I346" s="1">
        <v>12155783</v>
      </c>
      <c r="J346" s="1">
        <v>0</v>
      </c>
      <c r="K346" s="1">
        <v>0</v>
      </c>
      <c r="L346" s="1">
        <v>11331151</v>
      </c>
      <c r="M346" s="1">
        <v>2000000</v>
      </c>
      <c r="N346" s="1">
        <v>7468992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2640000</v>
      </c>
      <c r="U346" s="1">
        <v>0</v>
      </c>
      <c r="V346" s="1">
        <v>12079051</v>
      </c>
      <c r="W346" s="1">
        <v>4000000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2057573</v>
      </c>
      <c r="AD346" s="1">
        <v>0</v>
      </c>
      <c r="AE346" s="1">
        <v>0</v>
      </c>
      <c r="AF346" s="1">
        <v>7341708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92357768</v>
      </c>
      <c r="AP346" s="1">
        <v>33937087</v>
      </c>
      <c r="AQ346" s="1">
        <v>58420681</v>
      </c>
      <c r="AR346" s="1">
        <v>17003212</v>
      </c>
      <c r="AS346" s="1">
        <v>2550482</v>
      </c>
      <c r="AT346" s="3">
        <f t="shared" si="35"/>
        <v>111911462</v>
      </c>
    </row>
    <row r="347" spans="1:46" x14ac:dyDescent="0.2">
      <c r="A347" s="1" t="str">
        <f>"00402"</f>
        <v>00402</v>
      </c>
      <c r="B347" s="1" t="str">
        <f>"حسين"</f>
        <v>حسين</v>
      </c>
      <c r="C347" s="1" t="str">
        <f>"بازيار"</f>
        <v>بازيار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24205114</v>
      </c>
      <c r="G347" s="1">
        <v>12977378</v>
      </c>
      <c r="H347" s="1">
        <v>0</v>
      </c>
      <c r="I347" s="1">
        <v>20282960</v>
      </c>
      <c r="J347" s="1">
        <v>0</v>
      </c>
      <c r="K347" s="1">
        <v>5500000</v>
      </c>
      <c r="L347" s="1">
        <v>0</v>
      </c>
      <c r="M347" s="1">
        <v>1000000</v>
      </c>
      <c r="N347" s="1">
        <v>4173291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20510184</v>
      </c>
      <c r="W347" s="1">
        <v>4000000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3279015</v>
      </c>
      <c r="AF347" s="1">
        <v>1835427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7509430</v>
      </c>
      <c r="AM347" s="1">
        <v>0</v>
      </c>
      <c r="AN347" s="1">
        <v>0</v>
      </c>
      <c r="AO347" s="1">
        <v>105272799</v>
      </c>
      <c r="AP347" s="1">
        <v>40590651</v>
      </c>
      <c r="AQ347" s="1">
        <v>64682148</v>
      </c>
      <c r="AR347" s="1">
        <v>20687474</v>
      </c>
      <c r="AS347" s="1">
        <v>3103121</v>
      </c>
      <c r="AT347" s="3">
        <f t="shared" si="35"/>
        <v>129063394</v>
      </c>
    </row>
    <row r="348" spans="1:46" x14ac:dyDescent="0.2">
      <c r="A348" s="1" t="str">
        <f>"00403"</f>
        <v>00403</v>
      </c>
      <c r="B348" s="1" t="str">
        <f>"سجاد"</f>
        <v>سجاد</v>
      </c>
      <c r="C348" s="1" t="str">
        <f>"راستي"</f>
        <v>راستي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28296403</v>
      </c>
      <c r="G348" s="1">
        <v>23956563</v>
      </c>
      <c r="H348" s="1">
        <v>0</v>
      </c>
      <c r="I348" s="1">
        <v>24272994</v>
      </c>
      <c r="J348" s="1">
        <v>0</v>
      </c>
      <c r="K348" s="1">
        <v>0</v>
      </c>
      <c r="L348" s="1">
        <v>0</v>
      </c>
      <c r="M348" s="1">
        <v>1000000</v>
      </c>
      <c r="N348" s="1">
        <v>4531279</v>
      </c>
      <c r="O348" s="1">
        <v>0</v>
      </c>
      <c r="P348" s="1">
        <v>0</v>
      </c>
      <c r="Q348" s="1">
        <v>0</v>
      </c>
      <c r="R348" s="1">
        <v>445427</v>
      </c>
      <c r="S348" s="1">
        <v>0</v>
      </c>
      <c r="T348" s="1">
        <v>0</v>
      </c>
      <c r="U348" s="1">
        <v>0</v>
      </c>
      <c r="V348" s="1">
        <v>12466294</v>
      </c>
      <c r="W348" s="1">
        <v>4000000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3560291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5825930</v>
      </c>
      <c r="AM348" s="1">
        <v>0</v>
      </c>
      <c r="AN348" s="1">
        <v>0</v>
      </c>
      <c r="AO348" s="1">
        <v>108355181</v>
      </c>
      <c r="AP348" s="1">
        <v>41558510</v>
      </c>
      <c r="AQ348" s="1">
        <v>66796671</v>
      </c>
      <c r="AR348" s="1">
        <v>21581951</v>
      </c>
      <c r="AS348" s="1">
        <v>3237293</v>
      </c>
      <c r="AT348" s="3">
        <f t="shared" si="35"/>
        <v>133174425</v>
      </c>
    </row>
    <row r="349" spans="1:46" x14ac:dyDescent="0.2">
      <c r="A349" s="1" t="str">
        <f>"00407"</f>
        <v>00407</v>
      </c>
      <c r="B349" s="1" t="str">
        <f>"مهدي"</f>
        <v>مهدي</v>
      </c>
      <c r="C349" s="1" t="str">
        <f>"سليمي"</f>
        <v>سليمي</v>
      </c>
      <c r="D349" s="1" t="str">
        <f t="shared" ref="D349:D356" si="36">"قراردادي کارگري"</f>
        <v>قراردادي کارگري</v>
      </c>
      <c r="E349" s="1" t="str">
        <f t="shared" ref="E349:E373" si="37">"پروژه تعميرات نيروگاه بوشهر"</f>
        <v>پروژه تعميرات نيروگاه بوشهر</v>
      </c>
      <c r="F349" s="1">
        <v>0</v>
      </c>
      <c r="G349" s="1">
        <v>11046693</v>
      </c>
      <c r="H349" s="1">
        <v>0</v>
      </c>
      <c r="I349" s="1">
        <v>15854940</v>
      </c>
      <c r="J349" s="1">
        <v>0</v>
      </c>
      <c r="K349" s="1">
        <v>0</v>
      </c>
      <c r="L349" s="1">
        <v>11331151</v>
      </c>
      <c r="M349" s="1">
        <v>2000000</v>
      </c>
      <c r="N349" s="1">
        <v>10120174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2640000</v>
      </c>
      <c r="U349" s="1">
        <v>0</v>
      </c>
      <c r="V349" s="1">
        <v>6037322</v>
      </c>
      <c r="W349" s="1">
        <v>4000000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79897237</v>
      </c>
      <c r="AP349" s="1">
        <v>12591650</v>
      </c>
      <c r="AQ349" s="1">
        <v>67305587</v>
      </c>
      <c r="AR349" s="1">
        <v>15979447</v>
      </c>
      <c r="AS349" s="1">
        <v>2396917</v>
      </c>
      <c r="AT349" s="3">
        <f t="shared" si="35"/>
        <v>98273601</v>
      </c>
    </row>
    <row r="350" spans="1:46" x14ac:dyDescent="0.2">
      <c r="A350" s="1" t="str">
        <f>"00408"</f>
        <v>00408</v>
      </c>
      <c r="B350" s="1" t="str">
        <f>"ايرج"</f>
        <v>ايرج</v>
      </c>
      <c r="C350" s="1" t="str">
        <f>"ثوامري"</f>
        <v>ثوامري</v>
      </c>
      <c r="D350" s="1" t="str">
        <f t="shared" si="36"/>
        <v>قراردادي کارگري</v>
      </c>
      <c r="E350" s="1" t="str">
        <f t="shared" si="37"/>
        <v>پروژه تعميرات نيروگاه بوشهر</v>
      </c>
      <c r="F350" s="1">
        <v>0</v>
      </c>
      <c r="G350" s="1">
        <v>40829037</v>
      </c>
      <c r="H350" s="1">
        <v>0</v>
      </c>
      <c r="I350" s="1">
        <v>6921947</v>
      </c>
      <c r="J350" s="1">
        <v>0</v>
      </c>
      <c r="K350" s="1">
        <v>0</v>
      </c>
      <c r="L350" s="1">
        <v>11572430</v>
      </c>
      <c r="M350" s="1">
        <v>2000000</v>
      </c>
      <c r="N350" s="1">
        <v>4731338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2640000</v>
      </c>
      <c r="U350" s="1">
        <v>0</v>
      </c>
      <c r="V350" s="1">
        <v>12292882</v>
      </c>
      <c r="W350" s="1">
        <v>4000000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4832288</v>
      </c>
      <c r="AE350" s="1">
        <v>0</v>
      </c>
      <c r="AF350" s="1">
        <v>3670854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102480317</v>
      </c>
      <c r="AP350" s="1">
        <v>24960615</v>
      </c>
      <c r="AQ350" s="1">
        <v>77519702</v>
      </c>
      <c r="AR350" s="1">
        <v>19761893</v>
      </c>
      <c r="AS350" s="1">
        <v>2964284</v>
      </c>
      <c r="AT350" s="3">
        <f t="shared" si="35"/>
        <v>125206494</v>
      </c>
    </row>
    <row r="351" spans="1:46" x14ac:dyDescent="0.2">
      <c r="A351" s="1" t="str">
        <f>"00409"</f>
        <v>00409</v>
      </c>
      <c r="B351" s="1" t="str">
        <f>"حسن"</f>
        <v>حسن</v>
      </c>
      <c r="C351" s="1" t="str">
        <f>"رستمي"</f>
        <v>رستمي</v>
      </c>
      <c r="D351" s="1" t="str">
        <f t="shared" si="36"/>
        <v>قراردادي کارگري</v>
      </c>
      <c r="E351" s="1" t="str">
        <f t="shared" si="37"/>
        <v>پروژه تعميرات نيروگاه بوشهر</v>
      </c>
      <c r="F351" s="1">
        <v>0</v>
      </c>
      <c r="G351" s="1">
        <v>8769569</v>
      </c>
      <c r="H351" s="1">
        <v>0</v>
      </c>
      <c r="I351" s="1">
        <v>8762948</v>
      </c>
      <c r="J351" s="1">
        <v>0</v>
      </c>
      <c r="K351" s="1">
        <v>0</v>
      </c>
      <c r="L351" s="1">
        <v>11331151</v>
      </c>
      <c r="M351" s="1">
        <v>2000000</v>
      </c>
      <c r="N351" s="1">
        <v>5699477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2640000</v>
      </c>
      <c r="U351" s="1">
        <v>0</v>
      </c>
      <c r="V351" s="1">
        <v>13230831</v>
      </c>
      <c r="W351" s="1">
        <v>4000000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67120498</v>
      </c>
      <c r="AP351" s="1">
        <v>15493009</v>
      </c>
      <c r="AQ351" s="1">
        <v>51627489</v>
      </c>
      <c r="AR351" s="1">
        <v>13424100</v>
      </c>
      <c r="AS351" s="1">
        <v>2013615</v>
      </c>
      <c r="AT351" s="3">
        <f t="shared" si="35"/>
        <v>82558213</v>
      </c>
    </row>
    <row r="352" spans="1:46" x14ac:dyDescent="0.2">
      <c r="A352" s="1" t="str">
        <f>"00411"</f>
        <v>00411</v>
      </c>
      <c r="B352" s="1" t="str">
        <f>"زاهد"</f>
        <v>زاهد</v>
      </c>
      <c r="C352" s="1" t="str">
        <f>"طاهري"</f>
        <v>طاهري</v>
      </c>
      <c r="D352" s="1" t="str">
        <f t="shared" si="36"/>
        <v>قراردادي کارگري</v>
      </c>
      <c r="E352" s="1" t="str">
        <f t="shared" si="37"/>
        <v>پروژه تعميرات نيروگاه بوشهر</v>
      </c>
      <c r="F352" s="1">
        <v>0</v>
      </c>
      <c r="G352" s="1">
        <v>47234725</v>
      </c>
      <c r="H352" s="1">
        <v>0</v>
      </c>
      <c r="I352" s="1">
        <v>8674074</v>
      </c>
      <c r="J352" s="1">
        <v>0</v>
      </c>
      <c r="K352" s="1">
        <v>0</v>
      </c>
      <c r="L352" s="1">
        <v>11521166</v>
      </c>
      <c r="M352" s="1">
        <v>2000000</v>
      </c>
      <c r="N352" s="1">
        <v>5891713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2640000</v>
      </c>
      <c r="U352" s="1">
        <v>0</v>
      </c>
      <c r="V352" s="1">
        <v>13890419</v>
      </c>
      <c r="W352" s="1">
        <v>4000000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3670854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110643559</v>
      </c>
      <c r="AP352" s="1">
        <v>17984207</v>
      </c>
      <c r="AQ352" s="1">
        <v>92659352</v>
      </c>
      <c r="AR352" s="1">
        <v>21394541</v>
      </c>
      <c r="AS352" s="1">
        <v>3209181</v>
      </c>
      <c r="AT352" s="3">
        <f t="shared" si="35"/>
        <v>135247281</v>
      </c>
    </row>
    <row r="353" spans="1:46" x14ac:dyDescent="0.2">
      <c r="A353" s="1" t="str">
        <f>"00412"</f>
        <v>00412</v>
      </c>
      <c r="B353" s="1" t="str">
        <f>"خسرو"</f>
        <v>خسرو</v>
      </c>
      <c r="C353" s="1" t="str">
        <f>"نيکنام"</f>
        <v>نيکنام</v>
      </c>
      <c r="D353" s="1" t="str">
        <f t="shared" si="36"/>
        <v>قراردادي کارگري</v>
      </c>
      <c r="E353" s="1" t="str">
        <f t="shared" si="37"/>
        <v>پروژه تعميرات نيروگاه بوشهر</v>
      </c>
      <c r="F353" s="1">
        <v>0</v>
      </c>
      <c r="G353" s="1">
        <v>2598967</v>
      </c>
      <c r="H353" s="1">
        <v>0</v>
      </c>
      <c r="I353" s="1">
        <v>7607796</v>
      </c>
      <c r="J353" s="1">
        <v>0</v>
      </c>
      <c r="K353" s="1">
        <v>0</v>
      </c>
      <c r="L353" s="1">
        <v>11521166</v>
      </c>
      <c r="M353" s="1">
        <v>2000000</v>
      </c>
      <c r="N353" s="1">
        <v>5038275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2640000</v>
      </c>
      <c r="U353" s="1">
        <v>0</v>
      </c>
      <c r="V353" s="1">
        <v>12361865</v>
      </c>
      <c r="W353" s="1">
        <v>4000000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3670854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60948668</v>
      </c>
      <c r="AP353" s="1">
        <v>16604609</v>
      </c>
      <c r="AQ353" s="1">
        <v>44344059</v>
      </c>
      <c r="AR353" s="1">
        <v>11455563</v>
      </c>
      <c r="AS353" s="1">
        <v>1718334</v>
      </c>
      <c r="AT353" s="3">
        <f t="shared" si="35"/>
        <v>74122565</v>
      </c>
    </row>
    <row r="354" spans="1:46" x14ac:dyDescent="0.2">
      <c r="A354" s="1" t="str">
        <f>"00413"</f>
        <v>00413</v>
      </c>
      <c r="B354" s="1" t="str">
        <f>"سعيد"</f>
        <v>سعيد</v>
      </c>
      <c r="C354" s="1" t="str">
        <f>"نيک راد"</f>
        <v>نيک راد</v>
      </c>
      <c r="D354" s="1" t="str">
        <f t="shared" si="36"/>
        <v>قراردادي کارگري</v>
      </c>
      <c r="E354" s="1" t="str">
        <f t="shared" si="37"/>
        <v>پروژه تعميرات نيروگاه بوشهر</v>
      </c>
      <c r="F354" s="1">
        <v>0</v>
      </c>
      <c r="G354" s="1">
        <v>18317053</v>
      </c>
      <c r="H354" s="1">
        <v>0</v>
      </c>
      <c r="I354" s="1">
        <v>10230820</v>
      </c>
      <c r="J354" s="1">
        <v>0</v>
      </c>
      <c r="K354" s="1">
        <v>0</v>
      </c>
      <c r="L354" s="1">
        <v>11331151</v>
      </c>
      <c r="M354" s="1">
        <v>2000000</v>
      </c>
      <c r="N354" s="1">
        <v>6654191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2640000</v>
      </c>
      <c r="U354" s="1">
        <v>0</v>
      </c>
      <c r="V354" s="1">
        <v>14536760</v>
      </c>
      <c r="W354" s="1">
        <v>4000000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82186585</v>
      </c>
      <c r="AP354" s="1">
        <v>13070413</v>
      </c>
      <c r="AQ354" s="1">
        <v>69116172</v>
      </c>
      <c r="AR354" s="1">
        <v>16437317</v>
      </c>
      <c r="AS354" s="1">
        <v>2465598</v>
      </c>
      <c r="AT354" s="3">
        <f t="shared" si="35"/>
        <v>101089500</v>
      </c>
    </row>
    <row r="355" spans="1:46" x14ac:dyDescent="0.2">
      <c r="A355" s="1" t="str">
        <f>"00414"</f>
        <v>00414</v>
      </c>
      <c r="B355" s="1" t="str">
        <f>"حسين"</f>
        <v>حسين</v>
      </c>
      <c r="C355" s="1" t="str">
        <f>"حيدري"</f>
        <v>حيدري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0</v>
      </c>
      <c r="G355" s="1">
        <v>290423</v>
      </c>
      <c r="H355" s="1">
        <v>0</v>
      </c>
      <c r="I355" s="1">
        <v>6907723</v>
      </c>
      <c r="J355" s="1">
        <v>0</v>
      </c>
      <c r="K355" s="1">
        <v>0</v>
      </c>
      <c r="L355" s="1">
        <v>11521166</v>
      </c>
      <c r="M355" s="1">
        <v>2000000</v>
      </c>
      <c r="N355" s="1">
        <v>4783741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2640000</v>
      </c>
      <c r="U355" s="1">
        <v>0</v>
      </c>
      <c r="V355" s="1">
        <v>8855400</v>
      </c>
      <c r="W355" s="1">
        <v>4000000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3670854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53758416</v>
      </c>
      <c r="AP355" s="1">
        <v>6160558</v>
      </c>
      <c r="AQ355" s="1">
        <v>47597858</v>
      </c>
      <c r="AR355" s="1">
        <v>10017512</v>
      </c>
      <c r="AS355" s="1">
        <v>1502627</v>
      </c>
      <c r="AT355" s="3">
        <f t="shared" si="35"/>
        <v>65278555</v>
      </c>
    </row>
    <row r="356" spans="1:46" x14ac:dyDescent="0.2">
      <c r="A356" s="1" t="str">
        <f>"00415"</f>
        <v>00415</v>
      </c>
      <c r="B356" s="1" t="str">
        <f>"صادق"</f>
        <v>صادق</v>
      </c>
      <c r="C356" s="1" t="str">
        <f>"سياوش پوري"</f>
        <v>سياوش پوري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0</v>
      </c>
      <c r="G356" s="1">
        <v>7624942</v>
      </c>
      <c r="H356" s="1">
        <v>0</v>
      </c>
      <c r="I356" s="1">
        <v>6370247</v>
      </c>
      <c r="J356" s="1">
        <v>0</v>
      </c>
      <c r="K356" s="1">
        <v>0</v>
      </c>
      <c r="L356" s="1">
        <v>11331151</v>
      </c>
      <c r="M356" s="1">
        <v>2000000</v>
      </c>
      <c r="N356" s="1">
        <v>5662441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2640000</v>
      </c>
      <c r="U356" s="1">
        <v>0</v>
      </c>
      <c r="V356" s="1">
        <v>9241612</v>
      </c>
      <c r="W356" s="1">
        <v>4000000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59487471</v>
      </c>
      <c r="AP356" s="1">
        <v>7325657</v>
      </c>
      <c r="AQ356" s="1">
        <v>52161814</v>
      </c>
      <c r="AR356" s="1">
        <v>11897494</v>
      </c>
      <c r="AS356" s="1">
        <v>1784624</v>
      </c>
      <c r="AT356" s="3">
        <f t="shared" si="35"/>
        <v>73169589</v>
      </c>
    </row>
    <row r="357" spans="1:46" x14ac:dyDescent="0.2">
      <c r="A357" s="1" t="str">
        <f>"00416"</f>
        <v>00416</v>
      </c>
      <c r="B357" s="1" t="str">
        <f>"سيد محسن"</f>
        <v>سيد محسن</v>
      </c>
      <c r="C357" s="1" t="str">
        <f>"تهامي پورزرندي"</f>
        <v>تهامي پورزرندي</v>
      </c>
      <c r="D357" s="1" t="str">
        <f>"قراردادي بهره بردار"</f>
        <v>قراردادي بهره بردار</v>
      </c>
      <c r="E357" s="1" t="str">
        <f t="shared" si="37"/>
        <v>پروژه تعميرات نيروگاه بوشهر</v>
      </c>
      <c r="F357" s="1">
        <v>31453044</v>
      </c>
      <c r="G357" s="1">
        <v>14040949</v>
      </c>
      <c r="H357" s="1">
        <v>0</v>
      </c>
      <c r="I357" s="1">
        <v>27879162</v>
      </c>
      <c r="J357" s="1">
        <v>0</v>
      </c>
      <c r="K357" s="1">
        <v>5000000</v>
      </c>
      <c r="L357" s="1">
        <v>0</v>
      </c>
      <c r="M357" s="1">
        <v>1000000</v>
      </c>
      <c r="N357" s="1">
        <v>4825781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23543471</v>
      </c>
      <c r="W357" s="1">
        <v>4000000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3791685</v>
      </c>
      <c r="AF357" s="1">
        <v>5506281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7997009</v>
      </c>
      <c r="AM357" s="1">
        <v>0</v>
      </c>
      <c r="AN357" s="1">
        <v>0</v>
      </c>
      <c r="AO357" s="1">
        <v>129037382</v>
      </c>
      <c r="AP357" s="1">
        <v>53682937</v>
      </c>
      <c r="AQ357" s="1">
        <v>75354445</v>
      </c>
      <c r="AR357" s="1">
        <v>24706220</v>
      </c>
      <c r="AS357" s="1">
        <v>3705933</v>
      </c>
      <c r="AT357" s="3">
        <f t="shared" si="35"/>
        <v>157449535</v>
      </c>
    </row>
    <row r="358" spans="1:46" x14ac:dyDescent="0.2">
      <c r="A358" s="1" t="str">
        <f>"00417"</f>
        <v>00417</v>
      </c>
      <c r="B358" s="1" t="str">
        <f>"حسن"</f>
        <v>حسن</v>
      </c>
      <c r="C358" s="1" t="str">
        <f>"لک"</f>
        <v>لک</v>
      </c>
      <c r="D358" s="1" t="str">
        <f t="shared" ref="D358:D373" si="38">"قراردادي کارگري"</f>
        <v>قراردادي کارگري</v>
      </c>
      <c r="E358" s="1" t="str">
        <f t="shared" si="37"/>
        <v>پروژه تعميرات نيروگاه بوشهر</v>
      </c>
      <c r="F358" s="1">
        <v>0</v>
      </c>
      <c r="G358" s="1">
        <v>0</v>
      </c>
      <c r="H358" s="1">
        <v>0</v>
      </c>
      <c r="I358" s="1">
        <v>8815660</v>
      </c>
      <c r="J358" s="1">
        <v>0</v>
      </c>
      <c r="K358" s="1">
        <v>0</v>
      </c>
      <c r="L358" s="1">
        <v>11521166</v>
      </c>
      <c r="M358" s="1">
        <v>2000000</v>
      </c>
      <c r="N358" s="1">
        <v>6486873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2640000</v>
      </c>
      <c r="U358" s="1">
        <v>0</v>
      </c>
      <c r="V358" s="1">
        <v>8374520</v>
      </c>
      <c r="W358" s="1">
        <v>4000000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1835427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57917618</v>
      </c>
      <c r="AP358" s="1">
        <v>8530940</v>
      </c>
      <c r="AQ358" s="1">
        <v>49386678</v>
      </c>
      <c r="AR358" s="1">
        <v>11216438</v>
      </c>
      <c r="AS358" s="1">
        <v>1682466</v>
      </c>
      <c r="AT358" s="3">
        <f t="shared" si="35"/>
        <v>70816522</v>
      </c>
    </row>
    <row r="359" spans="1:46" x14ac:dyDescent="0.2">
      <c r="A359" s="1" t="str">
        <f>"00418"</f>
        <v>00418</v>
      </c>
      <c r="B359" s="1" t="str">
        <f>"اسماعيل"</f>
        <v>اسماعيل</v>
      </c>
      <c r="C359" s="1" t="str">
        <f>"محمدي نژاد"</f>
        <v>محمدي نژاد</v>
      </c>
      <c r="D359" s="1" t="str">
        <f t="shared" si="38"/>
        <v>قراردادي کارگري</v>
      </c>
      <c r="E359" s="1" t="str">
        <f t="shared" si="37"/>
        <v>پروژه تعميرات نيروگاه بوشهر</v>
      </c>
      <c r="F359" s="1">
        <v>0</v>
      </c>
      <c r="G359" s="1">
        <v>589393</v>
      </c>
      <c r="H359" s="1">
        <v>0</v>
      </c>
      <c r="I359" s="1">
        <v>7348096</v>
      </c>
      <c r="J359" s="1">
        <v>0</v>
      </c>
      <c r="K359" s="1">
        <v>0</v>
      </c>
      <c r="L359" s="1">
        <v>11521166</v>
      </c>
      <c r="M359" s="1">
        <v>2000000</v>
      </c>
      <c r="N359" s="1">
        <v>5371415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2640000</v>
      </c>
      <c r="U359" s="1">
        <v>0</v>
      </c>
      <c r="V359" s="1">
        <v>7316346</v>
      </c>
      <c r="W359" s="1">
        <v>4000000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1835427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52827532</v>
      </c>
      <c r="AP359" s="1">
        <v>13687973</v>
      </c>
      <c r="AQ359" s="1">
        <v>39139559</v>
      </c>
      <c r="AR359" s="1">
        <v>10198421</v>
      </c>
      <c r="AS359" s="1">
        <v>1529763</v>
      </c>
      <c r="AT359" s="3">
        <f t="shared" si="35"/>
        <v>64555716</v>
      </c>
    </row>
    <row r="360" spans="1:46" x14ac:dyDescent="0.2">
      <c r="A360" s="1" t="str">
        <f>"00419"</f>
        <v>00419</v>
      </c>
      <c r="B360" s="1" t="str">
        <f>"ابوذر"</f>
        <v>ابوذر</v>
      </c>
      <c r="C360" s="1" t="str">
        <f>"خاقاني"</f>
        <v>خاقاني</v>
      </c>
      <c r="D360" s="1" t="str">
        <f t="shared" si="38"/>
        <v>قراردادي کارگري</v>
      </c>
      <c r="E360" s="1" t="str">
        <f t="shared" si="37"/>
        <v>پروژه تعميرات نيروگاه بوشهر</v>
      </c>
      <c r="F360" s="1">
        <v>0</v>
      </c>
      <c r="G360" s="1">
        <v>1764723</v>
      </c>
      <c r="H360" s="1">
        <v>0</v>
      </c>
      <c r="I360" s="1">
        <v>7985924</v>
      </c>
      <c r="J360" s="1">
        <v>0</v>
      </c>
      <c r="K360" s="1">
        <v>0</v>
      </c>
      <c r="L360" s="1">
        <v>11521166</v>
      </c>
      <c r="M360" s="1">
        <v>2000000</v>
      </c>
      <c r="N360" s="1">
        <v>5959090</v>
      </c>
      <c r="O360" s="1">
        <v>0</v>
      </c>
      <c r="P360" s="1">
        <v>0</v>
      </c>
      <c r="Q360" s="1">
        <v>0</v>
      </c>
      <c r="R360" s="1">
        <v>131906</v>
      </c>
      <c r="S360" s="1">
        <v>0</v>
      </c>
      <c r="T360" s="1">
        <v>2640000</v>
      </c>
      <c r="U360" s="1">
        <v>0</v>
      </c>
      <c r="V360" s="1">
        <v>13303328</v>
      </c>
      <c r="W360" s="1">
        <v>4000000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3670854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64224773</v>
      </c>
      <c r="AP360" s="1">
        <v>7693831</v>
      </c>
      <c r="AQ360" s="1">
        <v>56530942</v>
      </c>
      <c r="AR360" s="1">
        <v>12084403</v>
      </c>
      <c r="AS360" s="1">
        <v>1812660</v>
      </c>
      <c r="AT360" s="3">
        <f t="shared" si="35"/>
        <v>78121836</v>
      </c>
    </row>
    <row r="361" spans="1:46" x14ac:dyDescent="0.2">
      <c r="A361" s="1" t="str">
        <f>"00420"</f>
        <v>00420</v>
      </c>
      <c r="B361" s="1" t="str">
        <f>"صادق"</f>
        <v>صادق</v>
      </c>
      <c r="C361" s="1" t="str">
        <f>"عادلي زاده"</f>
        <v>عادلي زاده</v>
      </c>
      <c r="D361" s="1" t="str">
        <f t="shared" si="38"/>
        <v>قراردادي کارگري</v>
      </c>
      <c r="E361" s="1" t="str">
        <f t="shared" si="37"/>
        <v>پروژه تعميرات نيروگاه بوشهر</v>
      </c>
      <c r="F361" s="1">
        <v>0</v>
      </c>
      <c r="G361" s="1">
        <v>7734082</v>
      </c>
      <c r="H361" s="1">
        <v>0</v>
      </c>
      <c r="I361" s="1">
        <v>7916898</v>
      </c>
      <c r="J361" s="1">
        <v>0</v>
      </c>
      <c r="K361" s="1">
        <v>0</v>
      </c>
      <c r="L361" s="1">
        <v>11521166</v>
      </c>
      <c r="M361" s="1">
        <v>2000000</v>
      </c>
      <c r="N361" s="1">
        <v>5745730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2640000</v>
      </c>
      <c r="U361" s="1">
        <v>0</v>
      </c>
      <c r="V361" s="1">
        <v>7812339</v>
      </c>
      <c r="W361" s="1">
        <v>4000000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3670854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63886135</v>
      </c>
      <c r="AP361" s="1">
        <v>10460176</v>
      </c>
      <c r="AQ361" s="1">
        <v>53425959</v>
      </c>
      <c r="AR361" s="1">
        <v>12043056</v>
      </c>
      <c r="AS361" s="1">
        <v>1806458</v>
      </c>
      <c r="AT361" s="3">
        <f t="shared" si="35"/>
        <v>77735649</v>
      </c>
    </row>
    <row r="362" spans="1:46" x14ac:dyDescent="0.2">
      <c r="A362" s="1" t="str">
        <f>"00421"</f>
        <v>00421</v>
      </c>
      <c r="B362" s="1" t="str">
        <f>"محمود"</f>
        <v>محمود</v>
      </c>
      <c r="C362" s="1" t="str">
        <f>"سليماني"</f>
        <v>سليماني</v>
      </c>
      <c r="D362" s="1" t="str">
        <f t="shared" si="38"/>
        <v>قراردادي کارگري</v>
      </c>
      <c r="E362" s="1" t="str">
        <f t="shared" si="37"/>
        <v>پروژه تعميرات نيروگاه بوشهر</v>
      </c>
      <c r="F362" s="1">
        <v>0</v>
      </c>
      <c r="G362" s="1">
        <v>0</v>
      </c>
      <c r="H362" s="1">
        <v>0</v>
      </c>
      <c r="I362" s="1">
        <v>9410549</v>
      </c>
      <c r="J362" s="1">
        <v>0</v>
      </c>
      <c r="K362" s="1">
        <v>0</v>
      </c>
      <c r="L362" s="1">
        <v>11521166</v>
      </c>
      <c r="M362" s="1">
        <v>2000000</v>
      </c>
      <c r="N362" s="1">
        <v>7022143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2640000</v>
      </c>
      <c r="U362" s="1">
        <v>0</v>
      </c>
      <c r="V362" s="1">
        <v>16474333</v>
      </c>
      <c r="W362" s="1">
        <v>4000000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1835427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68157913</v>
      </c>
      <c r="AP362" s="1">
        <v>7484108</v>
      </c>
      <c r="AQ362" s="1">
        <v>60673805</v>
      </c>
      <c r="AR362" s="1">
        <v>13264497</v>
      </c>
      <c r="AS362" s="1">
        <v>1989675</v>
      </c>
      <c r="AT362" s="3">
        <f t="shared" si="35"/>
        <v>83412085</v>
      </c>
    </row>
    <row r="363" spans="1:46" x14ac:dyDescent="0.2">
      <c r="A363" s="1" t="str">
        <f>"00422"</f>
        <v>00422</v>
      </c>
      <c r="B363" s="1" t="str">
        <f>"حسين"</f>
        <v>حسين</v>
      </c>
      <c r="C363" s="1" t="str">
        <f>"علوي راد"</f>
        <v>علوي راد</v>
      </c>
      <c r="D363" s="1" t="str">
        <f t="shared" si="38"/>
        <v>قراردادي کارگري</v>
      </c>
      <c r="E363" s="1" t="str">
        <f t="shared" si="37"/>
        <v>پروژه تعميرات نيروگاه بوشهر</v>
      </c>
      <c r="F363" s="1">
        <v>0</v>
      </c>
      <c r="G363" s="1">
        <v>17825875</v>
      </c>
      <c r="H363" s="1">
        <v>0</v>
      </c>
      <c r="I363" s="1">
        <v>6005070</v>
      </c>
      <c r="J363" s="1">
        <v>0</v>
      </c>
      <c r="K363" s="1">
        <v>0</v>
      </c>
      <c r="L363" s="1">
        <v>11572430</v>
      </c>
      <c r="M363" s="1">
        <v>2000000</v>
      </c>
      <c r="N363" s="1">
        <v>4158636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2640000</v>
      </c>
      <c r="U363" s="1">
        <v>0</v>
      </c>
      <c r="V363" s="1">
        <v>6450758</v>
      </c>
      <c r="W363" s="1">
        <v>4000000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3670854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66225031</v>
      </c>
      <c r="AP363" s="1">
        <v>10741416</v>
      </c>
      <c r="AQ363" s="1">
        <v>55483615</v>
      </c>
      <c r="AR363" s="1">
        <v>12510835</v>
      </c>
      <c r="AS363" s="1">
        <v>1876625</v>
      </c>
      <c r="AT363" s="3">
        <f t="shared" si="35"/>
        <v>80612491</v>
      </c>
    </row>
    <row r="364" spans="1:46" x14ac:dyDescent="0.2">
      <c r="A364" s="1" t="str">
        <f>"00423"</f>
        <v>00423</v>
      </c>
      <c r="B364" s="1" t="str">
        <f>"عليرضا"</f>
        <v>عليرضا</v>
      </c>
      <c r="C364" s="1" t="str">
        <f>"احمدي"</f>
        <v>احمدي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0</v>
      </c>
      <c r="G364" s="1">
        <v>14807313</v>
      </c>
      <c r="H364" s="1">
        <v>0</v>
      </c>
      <c r="I364" s="1">
        <v>7406297</v>
      </c>
      <c r="J364" s="1">
        <v>0</v>
      </c>
      <c r="K364" s="1">
        <v>0</v>
      </c>
      <c r="L364" s="1">
        <v>11521166</v>
      </c>
      <c r="M364" s="1">
        <v>2000000</v>
      </c>
      <c r="N364" s="1">
        <v>5375158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2640000</v>
      </c>
      <c r="U364" s="1">
        <v>0</v>
      </c>
      <c r="V364" s="1">
        <v>7519923</v>
      </c>
      <c r="W364" s="1">
        <v>4000000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3670854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69086323</v>
      </c>
      <c r="AP364" s="1">
        <v>10335807</v>
      </c>
      <c r="AQ364" s="1">
        <v>58750516</v>
      </c>
      <c r="AR364" s="1">
        <v>13083094</v>
      </c>
      <c r="AS364" s="1">
        <v>1962464</v>
      </c>
      <c r="AT364" s="3">
        <f t="shared" si="35"/>
        <v>84131881</v>
      </c>
    </row>
    <row r="365" spans="1:46" x14ac:dyDescent="0.2">
      <c r="A365" s="1" t="str">
        <f>"00424"</f>
        <v>00424</v>
      </c>
      <c r="B365" s="1" t="str">
        <f>"سيد محمد"</f>
        <v>سيد محمد</v>
      </c>
      <c r="C365" s="1" t="str">
        <f>"پور قنبري"</f>
        <v>پور قنبري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0</v>
      </c>
      <c r="G365" s="1">
        <v>11744237</v>
      </c>
      <c r="H365" s="1">
        <v>0</v>
      </c>
      <c r="I365" s="1">
        <v>8695973</v>
      </c>
      <c r="J365" s="1">
        <v>0</v>
      </c>
      <c r="K365" s="1">
        <v>0</v>
      </c>
      <c r="L365" s="1">
        <v>11331151</v>
      </c>
      <c r="M365" s="1">
        <v>2000000</v>
      </c>
      <c r="N365" s="1">
        <v>6267369</v>
      </c>
      <c r="O365" s="1">
        <v>0</v>
      </c>
      <c r="P365" s="1">
        <v>0</v>
      </c>
      <c r="Q365" s="1">
        <v>0</v>
      </c>
      <c r="R365" s="1">
        <v>358923</v>
      </c>
      <c r="S365" s="1">
        <v>0</v>
      </c>
      <c r="T365" s="1">
        <v>2640000</v>
      </c>
      <c r="U365" s="1">
        <v>0</v>
      </c>
      <c r="V365" s="1">
        <v>8185475</v>
      </c>
      <c r="W365" s="1">
        <v>4000000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1835427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68809870</v>
      </c>
      <c r="AP365" s="1">
        <v>24061355</v>
      </c>
      <c r="AQ365" s="1">
        <v>44748515</v>
      </c>
      <c r="AR365" s="1">
        <v>13323104</v>
      </c>
      <c r="AS365" s="1">
        <v>1998466</v>
      </c>
      <c r="AT365" s="3">
        <f t="shared" si="35"/>
        <v>84131440</v>
      </c>
    </row>
    <row r="366" spans="1:46" x14ac:dyDescent="0.2">
      <c r="A366" s="1" t="str">
        <f>"00425"</f>
        <v>00425</v>
      </c>
      <c r="B366" s="1" t="str">
        <f>"عليرضا"</f>
        <v>عليرضا</v>
      </c>
      <c r="C366" s="1" t="str">
        <f>"اميري منش"</f>
        <v>اميري منش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0</v>
      </c>
      <c r="G366" s="1">
        <v>1462177</v>
      </c>
      <c r="H366" s="1">
        <v>0</v>
      </c>
      <c r="I366" s="1">
        <v>7329992</v>
      </c>
      <c r="J366" s="1">
        <v>0</v>
      </c>
      <c r="K366" s="1">
        <v>0</v>
      </c>
      <c r="L366" s="1">
        <v>11521166</v>
      </c>
      <c r="M366" s="1">
        <v>2000000</v>
      </c>
      <c r="N366" s="1">
        <v>5247892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2640000</v>
      </c>
      <c r="U366" s="1">
        <v>0</v>
      </c>
      <c r="V366" s="1">
        <v>7437823</v>
      </c>
      <c r="W366" s="1">
        <v>4000000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3670854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55215300</v>
      </c>
      <c r="AP366" s="1">
        <v>13309273</v>
      </c>
      <c r="AQ366" s="1">
        <v>41906027</v>
      </c>
      <c r="AR366" s="1">
        <v>10308889</v>
      </c>
      <c r="AS366" s="1">
        <v>1546333</v>
      </c>
      <c r="AT366" s="3">
        <f t="shared" si="35"/>
        <v>67070522</v>
      </c>
    </row>
    <row r="367" spans="1:46" x14ac:dyDescent="0.2">
      <c r="A367" s="1" t="str">
        <f>"00426"</f>
        <v>00426</v>
      </c>
      <c r="B367" s="1" t="str">
        <f>"محسن"</f>
        <v>محسن</v>
      </c>
      <c r="C367" s="1" t="str">
        <f>"منفرد"</f>
        <v>منفرد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0</v>
      </c>
      <c r="G367" s="1">
        <v>1312804</v>
      </c>
      <c r="H367" s="1">
        <v>0</v>
      </c>
      <c r="I367" s="1">
        <v>9605370</v>
      </c>
      <c r="J367" s="1">
        <v>0</v>
      </c>
      <c r="K367" s="1">
        <v>0</v>
      </c>
      <c r="L367" s="1">
        <v>11331151</v>
      </c>
      <c r="M367" s="1">
        <v>2000000</v>
      </c>
      <c r="N367" s="1">
        <v>6098648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2640000</v>
      </c>
      <c r="U367" s="1">
        <v>0</v>
      </c>
      <c r="V367" s="1">
        <v>8040624</v>
      </c>
      <c r="W367" s="1">
        <v>4000000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1835427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58298988</v>
      </c>
      <c r="AP367" s="1">
        <v>9345713</v>
      </c>
      <c r="AQ367" s="1">
        <v>48953275</v>
      </c>
      <c r="AR367" s="1">
        <v>11292712</v>
      </c>
      <c r="AS367" s="1">
        <v>1693907</v>
      </c>
      <c r="AT367" s="3">
        <f t="shared" si="35"/>
        <v>71285607</v>
      </c>
    </row>
    <row r="368" spans="1:46" x14ac:dyDescent="0.2">
      <c r="A368" s="1" t="str">
        <f>"00427"</f>
        <v>00427</v>
      </c>
      <c r="B368" s="1" t="str">
        <f>"عبدالمجيد"</f>
        <v>عبدالمجيد</v>
      </c>
      <c r="C368" s="1" t="str">
        <f>"كازروني"</f>
        <v>كازروني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0</v>
      </c>
      <c r="G368" s="1">
        <v>18431522</v>
      </c>
      <c r="H368" s="1">
        <v>0</v>
      </c>
      <c r="I368" s="1">
        <v>10414613</v>
      </c>
      <c r="J368" s="1">
        <v>0</v>
      </c>
      <c r="K368" s="1">
        <v>0</v>
      </c>
      <c r="L368" s="1">
        <v>11331151</v>
      </c>
      <c r="M368" s="1">
        <v>2000000</v>
      </c>
      <c r="N368" s="1">
        <v>7506028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2640000</v>
      </c>
      <c r="U368" s="1">
        <v>0</v>
      </c>
      <c r="V368" s="1">
        <v>8914607</v>
      </c>
      <c r="W368" s="1">
        <v>4000000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5506281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84818003</v>
      </c>
      <c r="AP368" s="1">
        <v>14898552</v>
      </c>
      <c r="AQ368" s="1">
        <v>69919451</v>
      </c>
      <c r="AR368" s="1">
        <v>15862344</v>
      </c>
      <c r="AS368" s="1">
        <v>2379352</v>
      </c>
      <c r="AT368" s="3">
        <f t="shared" si="35"/>
        <v>103059699</v>
      </c>
    </row>
    <row r="369" spans="1:46" x14ac:dyDescent="0.2">
      <c r="A369" s="1" t="str">
        <f>"00428"</f>
        <v>00428</v>
      </c>
      <c r="B369" s="1" t="str">
        <f>"قاسم"</f>
        <v>قاسم</v>
      </c>
      <c r="C369" s="1" t="str">
        <f>"عليزاده"</f>
        <v>عليزاده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0</v>
      </c>
      <c r="G369" s="1">
        <v>7959893</v>
      </c>
      <c r="H369" s="1">
        <v>0</v>
      </c>
      <c r="I369" s="1">
        <v>7732143</v>
      </c>
      <c r="J369" s="1">
        <v>0</v>
      </c>
      <c r="K369" s="1">
        <v>0</v>
      </c>
      <c r="L369" s="1">
        <v>11521166</v>
      </c>
      <c r="M369" s="1">
        <v>2000000</v>
      </c>
      <c r="N369" s="1">
        <v>5652151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2640000</v>
      </c>
      <c r="U369" s="1">
        <v>0</v>
      </c>
      <c r="V369" s="1">
        <v>7741241</v>
      </c>
      <c r="W369" s="1">
        <v>4000000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1835427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61821109</v>
      </c>
      <c r="AP369" s="1">
        <v>22926156</v>
      </c>
      <c r="AQ369" s="1">
        <v>38894953</v>
      </c>
      <c r="AR369" s="1">
        <v>11997136</v>
      </c>
      <c r="AS369" s="1">
        <v>1799570</v>
      </c>
      <c r="AT369" s="3">
        <f t="shared" si="35"/>
        <v>75617815</v>
      </c>
    </row>
    <row r="370" spans="1:46" x14ac:dyDescent="0.2">
      <c r="A370" s="1" t="str">
        <f>"00429"</f>
        <v>00429</v>
      </c>
      <c r="B370" s="1" t="str">
        <f>"علي"</f>
        <v>علي</v>
      </c>
      <c r="C370" s="1" t="str">
        <f>"نجفي نيا"</f>
        <v>نجفي نيا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0</v>
      </c>
      <c r="G370" s="1">
        <v>5029780</v>
      </c>
      <c r="H370" s="1">
        <v>0</v>
      </c>
      <c r="I370" s="1">
        <v>6708019</v>
      </c>
      <c r="J370" s="1">
        <v>0</v>
      </c>
      <c r="K370" s="1">
        <v>0</v>
      </c>
      <c r="L370" s="1">
        <v>11521166</v>
      </c>
      <c r="M370" s="1">
        <v>2000000</v>
      </c>
      <c r="N370" s="1">
        <v>4903522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2640000</v>
      </c>
      <c r="U370" s="1">
        <v>0</v>
      </c>
      <c r="V370" s="1">
        <v>7150139</v>
      </c>
      <c r="W370" s="1">
        <v>4000000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5506281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58775600</v>
      </c>
      <c r="AP370" s="1">
        <v>10213630</v>
      </c>
      <c r="AQ370" s="1">
        <v>48561970</v>
      </c>
      <c r="AR370" s="1">
        <v>10653864</v>
      </c>
      <c r="AS370" s="1">
        <v>1598080</v>
      </c>
      <c r="AT370" s="3">
        <f t="shared" si="35"/>
        <v>71027544</v>
      </c>
    </row>
    <row r="371" spans="1:46" x14ac:dyDescent="0.2">
      <c r="A371" s="1" t="str">
        <f>"00430"</f>
        <v>00430</v>
      </c>
      <c r="B371" s="1" t="str">
        <f>"مهدي"</f>
        <v>مهدي</v>
      </c>
      <c r="C371" s="1" t="str">
        <f>"خدري"</f>
        <v>خدري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0</v>
      </c>
      <c r="G371" s="1">
        <v>10619061</v>
      </c>
      <c r="H371" s="1">
        <v>0</v>
      </c>
      <c r="I371" s="1">
        <v>8134326</v>
      </c>
      <c r="J371" s="1">
        <v>0</v>
      </c>
      <c r="K371" s="1">
        <v>0</v>
      </c>
      <c r="L371" s="1">
        <v>11572430</v>
      </c>
      <c r="M371" s="1">
        <v>2000000</v>
      </c>
      <c r="N371" s="1">
        <v>5708299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2640000</v>
      </c>
      <c r="U371" s="1">
        <v>0</v>
      </c>
      <c r="V371" s="1">
        <v>9341381</v>
      </c>
      <c r="W371" s="1">
        <v>4000000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3670854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68532118</v>
      </c>
      <c r="AP371" s="1">
        <v>7229471</v>
      </c>
      <c r="AQ371" s="1">
        <v>61302647</v>
      </c>
      <c r="AR371" s="1">
        <v>12972253</v>
      </c>
      <c r="AS371" s="1">
        <v>1945838</v>
      </c>
      <c r="AT371" s="3">
        <f t="shared" si="35"/>
        <v>83450209</v>
      </c>
    </row>
    <row r="372" spans="1:46" x14ac:dyDescent="0.2">
      <c r="A372" s="1" t="str">
        <f>"00431"</f>
        <v>00431</v>
      </c>
      <c r="B372" s="1" t="str">
        <f>"صفرعلي"</f>
        <v>صفرعلي</v>
      </c>
      <c r="C372" s="1" t="str">
        <f>"جوادي اقدم هرزند"</f>
        <v>جوادي اقدم هرزند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0</v>
      </c>
      <c r="G372" s="1">
        <v>13596950</v>
      </c>
      <c r="H372" s="1">
        <v>0</v>
      </c>
      <c r="I372" s="1">
        <v>8438380</v>
      </c>
      <c r="J372" s="1">
        <v>0</v>
      </c>
      <c r="K372" s="1">
        <v>0</v>
      </c>
      <c r="L372" s="1">
        <v>11521166</v>
      </c>
      <c r="M372" s="1">
        <v>2000000</v>
      </c>
      <c r="N372" s="1">
        <v>6041439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2640000</v>
      </c>
      <c r="U372" s="1">
        <v>0</v>
      </c>
      <c r="V372" s="1">
        <v>9592924</v>
      </c>
      <c r="W372" s="1">
        <v>4000000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1835427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71069501</v>
      </c>
      <c r="AP372" s="1">
        <v>16374177</v>
      </c>
      <c r="AQ372" s="1">
        <v>54695324</v>
      </c>
      <c r="AR372" s="1">
        <v>13846815</v>
      </c>
      <c r="AS372" s="1">
        <v>2077022</v>
      </c>
      <c r="AT372" s="3">
        <f t="shared" si="35"/>
        <v>86993338</v>
      </c>
    </row>
    <row r="373" spans="1:46" x14ac:dyDescent="0.2">
      <c r="A373" s="1" t="str">
        <f>"00432"</f>
        <v>00432</v>
      </c>
      <c r="B373" s="1" t="str">
        <f>"حسين"</f>
        <v>حسين</v>
      </c>
      <c r="C373" s="1" t="str">
        <f>"محمدي ثالث"</f>
        <v>محمدي ثالث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0</v>
      </c>
      <c r="G373" s="1">
        <v>13387639</v>
      </c>
      <c r="H373" s="1">
        <v>0</v>
      </c>
      <c r="I373" s="1">
        <v>8169620</v>
      </c>
      <c r="J373" s="1">
        <v>0</v>
      </c>
      <c r="K373" s="1">
        <v>0</v>
      </c>
      <c r="L373" s="1">
        <v>11521166</v>
      </c>
      <c r="M373" s="1">
        <v>2000000</v>
      </c>
      <c r="N373" s="1">
        <v>5929145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2640000</v>
      </c>
      <c r="U373" s="1">
        <v>0</v>
      </c>
      <c r="V373" s="1">
        <v>9462462</v>
      </c>
      <c r="W373" s="1">
        <v>4000000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3670854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71972146</v>
      </c>
      <c r="AP373" s="1">
        <v>15733110</v>
      </c>
      <c r="AQ373" s="1">
        <v>56239036</v>
      </c>
      <c r="AR373" s="1">
        <v>13660258</v>
      </c>
      <c r="AS373" s="1">
        <v>2049039</v>
      </c>
      <c r="AT373" s="3">
        <f t="shared" si="35"/>
        <v>87681443</v>
      </c>
    </row>
    <row r="374" spans="1:46" x14ac:dyDescent="0.2">
      <c r="A374" s="1" t="str">
        <f>"00433"</f>
        <v>00433</v>
      </c>
      <c r="B374" s="1" t="str">
        <f>"عليرضا"</f>
        <v>عليرضا</v>
      </c>
      <c r="C374" s="1" t="str">
        <f>"مسعودي"</f>
        <v>مسعودي</v>
      </c>
      <c r="D374" s="1" t="str">
        <f>"قراردادي بهره بردار"</f>
        <v>قراردادي بهره بردار</v>
      </c>
      <c r="E374" s="1" t="str">
        <f>"پروژه بهره برداري نيروگاه بوشهر"</f>
        <v>پروژه بهره برداري نيروگاه بوشهر</v>
      </c>
      <c r="F374" s="1">
        <v>14508457</v>
      </c>
      <c r="G374" s="1">
        <v>4843160</v>
      </c>
      <c r="H374" s="1">
        <v>0</v>
      </c>
      <c r="I374" s="1">
        <v>13500197</v>
      </c>
      <c r="J374" s="1">
        <v>0</v>
      </c>
      <c r="K374" s="1">
        <v>0</v>
      </c>
      <c r="L374" s="1">
        <v>0</v>
      </c>
      <c r="M374" s="1">
        <v>1000000</v>
      </c>
      <c r="N374" s="1">
        <v>2485635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7143394</v>
      </c>
      <c r="W374" s="1">
        <v>4000000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1952999</v>
      </c>
      <c r="AF374" s="1">
        <v>3670854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6165653</v>
      </c>
      <c r="AM374" s="1">
        <v>0</v>
      </c>
      <c r="AN374" s="1">
        <v>0</v>
      </c>
      <c r="AO374" s="1">
        <v>59270349</v>
      </c>
      <c r="AP374" s="1">
        <v>8254211</v>
      </c>
      <c r="AQ374" s="1">
        <v>51016138</v>
      </c>
      <c r="AR374" s="1">
        <v>11119899</v>
      </c>
      <c r="AS374" s="1">
        <v>1667985</v>
      </c>
      <c r="AT374" s="3">
        <f t="shared" si="35"/>
        <v>72058233</v>
      </c>
    </row>
    <row r="375" spans="1:46" x14ac:dyDescent="0.2">
      <c r="A375" s="1" t="str">
        <f>"00434"</f>
        <v>00434</v>
      </c>
      <c r="B375" s="1" t="str">
        <f>"عباس"</f>
        <v>عباس</v>
      </c>
      <c r="C375" s="1" t="str">
        <f>"عبدالعلي پور"</f>
        <v>عبدالعلي پور</v>
      </c>
      <c r="D375" s="1" t="str">
        <f t="shared" ref="D375:D381" si="39">"قراردادي کارگري"</f>
        <v>قراردادي کارگري</v>
      </c>
      <c r="E375" s="1" t="str">
        <f t="shared" ref="E375:E381" si="40">"پروژه تعميرات نيروگاه بوشهر"</f>
        <v>پروژه تعميرات نيروگاه بوشهر</v>
      </c>
      <c r="F375" s="1">
        <v>0</v>
      </c>
      <c r="G375" s="1">
        <v>11696715</v>
      </c>
      <c r="H375" s="1">
        <v>0</v>
      </c>
      <c r="I375" s="1">
        <v>8644586</v>
      </c>
      <c r="J375" s="1">
        <v>0</v>
      </c>
      <c r="K375" s="1">
        <v>0</v>
      </c>
      <c r="L375" s="1">
        <v>11331151</v>
      </c>
      <c r="M375" s="1">
        <v>2000000</v>
      </c>
      <c r="N375" s="1">
        <v>6230332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2640000</v>
      </c>
      <c r="U375" s="1">
        <v>0</v>
      </c>
      <c r="V375" s="1">
        <v>8156269</v>
      </c>
      <c r="W375" s="1">
        <v>4000000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3670854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70051780</v>
      </c>
      <c r="AP375" s="1">
        <v>9921176</v>
      </c>
      <c r="AQ375" s="1">
        <v>60130604</v>
      </c>
      <c r="AR375" s="1">
        <v>13276185</v>
      </c>
      <c r="AS375" s="1">
        <v>1991428</v>
      </c>
      <c r="AT375" s="3">
        <f t="shared" si="35"/>
        <v>85319393</v>
      </c>
    </row>
    <row r="376" spans="1:46" x14ac:dyDescent="0.2">
      <c r="A376" s="1" t="str">
        <f>"00435"</f>
        <v>00435</v>
      </c>
      <c r="B376" s="1" t="str">
        <f>"رضا"</f>
        <v>رضا</v>
      </c>
      <c r="C376" s="1" t="str">
        <f>"محمودي"</f>
        <v>محمودي</v>
      </c>
      <c r="D376" s="1" t="str">
        <f t="shared" si="39"/>
        <v>قراردادي کارگري</v>
      </c>
      <c r="E376" s="1" t="str">
        <f t="shared" si="40"/>
        <v>پروژه تعميرات نيروگاه بوشهر</v>
      </c>
      <c r="F376" s="1">
        <v>0</v>
      </c>
      <c r="G376" s="1">
        <v>16089430</v>
      </c>
      <c r="H376" s="1">
        <v>0</v>
      </c>
      <c r="I376" s="1">
        <v>9630419</v>
      </c>
      <c r="J376" s="1">
        <v>0</v>
      </c>
      <c r="K376" s="1">
        <v>0</v>
      </c>
      <c r="L376" s="1">
        <v>11521166</v>
      </c>
      <c r="M376" s="1">
        <v>2000000</v>
      </c>
      <c r="N376" s="1">
        <v>6894876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2640000</v>
      </c>
      <c r="U376" s="1">
        <v>0</v>
      </c>
      <c r="V376" s="1">
        <v>8506897</v>
      </c>
      <c r="W376" s="1">
        <v>4000000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1835427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76132294</v>
      </c>
      <c r="AP376" s="1">
        <v>11348733</v>
      </c>
      <c r="AQ376" s="1">
        <v>64783561</v>
      </c>
      <c r="AR376" s="1">
        <v>14859373</v>
      </c>
      <c r="AS376" s="1">
        <v>2228906</v>
      </c>
      <c r="AT376" s="3">
        <f t="shared" si="35"/>
        <v>93220573</v>
      </c>
    </row>
    <row r="377" spans="1:46" x14ac:dyDescent="0.2">
      <c r="A377" s="1" t="str">
        <f>"00437"</f>
        <v>00437</v>
      </c>
      <c r="B377" s="1" t="str">
        <f>"رسول"</f>
        <v>رسول</v>
      </c>
      <c r="C377" s="1" t="str">
        <f>"زماني"</f>
        <v>زماني</v>
      </c>
      <c r="D377" s="1" t="str">
        <f t="shared" si="39"/>
        <v>قراردادي کارگري</v>
      </c>
      <c r="E377" s="1" t="str">
        <f t="shared" si="40"/>
        <v>پروژه تعميرات نيروگاه بوشهر</v>
      </c>
      <c r="F377" s="1">
        <v>0</v>
      </c>
      <c r="G377" s="1">
        <v>0</v>
      </c>
      <c r="H377" s="1">
        <v>0</v>
      </c>
      <c r="I377" s="1">
        <v>6393313</v>
      </c>
      <c r="J377" s="1">
        <v>0</v>
      </c>
      <c r="K377" s="1">
        <v>0</v>
      </c>
      <c r="L377" s="1">
        <v>11521166</v>
      </c>
      <c r="M377" s="1">
        <v>2000000</v>
      </c>
      <c r="N377" s="1">
        <v>5176772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2640000</v>
      </c>
      <c r="U377" s="1">
        <v>0</v>
      </c>
      <c r="V377" s="1">
        <v>9781779</v>
      </c>
      <c r="W377" s="1">
        <v>4000000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51348896</v>
      </c>
      <c r="AP377" s="1">
        <v>10399794</v>
      </c>
      <c r="AQ377" s="1">
        <v>40949102</v>
      </c>
      <c r="AR377" s="1">
        <v>10269779</v>
      </c>
      <c r="AS377" s="1">
        <v>1540467</v>
      </c>
      <c r="AT377" s="3">
        <f t="shared" si="35"/>
        <v>63159142</v>
      </c>
    </row>
    <row r="378" spans="1:46" x14ac:dyDescent="0.2">
      <c r="A378" s="1" t="str">
        <f>"00438"</f>
        <v>00438</v>
      </c>
      <c r="B378" s="1" t="str">
        <f>"منصور"</f>
        <v>منصور</v>
      </c>
      <c r="C378" s="1" t="str">
        <f>"محمدي"</f>
        <v>محمدي</v>
      </c>
      <c r="D378" s="1" t="str">
        <f t="shared" si="39"/>
        <v>قراردادي کارگري</v>
      </c>
      <c r="E378" s="1" t="str">
        <f t="shared" si="40"/>
        <v>پروژه تعميرات نيروگاه بوشهر</v>
      </c>
      <c r="F378" s="1">
        <v>0</v>
      </c>
      <c r="G378" s="1">
        <v>14310006</v>
      </c>
      <c r="H378" s="1">
        <v>0</v>
      </c>
      <c r="I378" s="1">
        <v>13260855</v>
      </c>
      <c r="J378" s="1">
        <v>0</v>
      </c>
      <c r="K378" s="1">
        <v>0</v>
      </c>
      <c r="L378" s="1">
        <v>11331151</v>
      </c>
      <c r="M378" s="1">
        <v>2000000</v>
      </c>
      <c r="N378" s="1">
        <v>8419590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2640000</v>
      </c>
      <c r="U378" s="1">
        <v>0</v>
      </c>
      <c r="V378" s="1">
        <v>14574557</v>
      </c>
      <c r="W378" s="1">
        <v>4000000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3670854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89993745</v>
      </c>
      <c r="AP378" s="1">
        <v>17677833</v>
      </c>
      <c r="AQ378" s="1">
        <v>72315912</v>
      </c>
      <c r="AR378" s="1">
        <v>17264578</v>
      </c>
      <c r="AS378" s="1">
        <v>2589687</v>
      </c>
      <c r="AT378" s="3">
        <f t="shared" si="35"/>
        <v>109848010</v>
      </c>
    </row>
    <row r="379" spans="1:46" x14ac:dyDescent="0.2">
      <c r="A379" s="1" t="str">
        <f>"00439"</f>
        <v>00439</v>
      </c>
      <c r="B379" s="1" t="str">
        <f>"سيد سعد"</f>
        <v>سيد سعد</v>
      </c>
      <c r="C379" s="1" t="str">
        <f>"موسوي بغلاني"</f>
        <v>موسوي بغلاني</v>
      </c>
      <c r="D379" s="1" t="str">
        <f t="shared" si="39"/>
        <v>قراردادي کارگري</v>
      </c>
      <c r="E379" s="1" t="str">
        <f t="shared" si="40"/>
        <v>پروژه تعميرات نيروگاه بوشهر</v>
      </c>
      <c r="F379" s="1">
        <v>0</v>
      </c>
      <c r="G379" s="1">
        <v>9094525</v>
      </c>
      <c r="H379" s="1">
        <v>0</v>
      </c>
      <c r="I379" s="1">
        <v>6733622</v>
      </c>
      <c r="J379" s="1">
        <v>0</v>
      </c>
      <c r="K379" s="1">
        <v>0</v>
      </c>
      <c r="L379" s="1">
        <v>11521166</v>
      </c>
      <c r="M379" s="1">
        <v>2000000</v>
      </c>
      <c r="N379" s="1">
        <v>4922238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2640000</v>
      </c>
      <c r="U379" s="1">
        <v>0</v>
      </c>
      <c r="V379" s="1">
        <v>17040882</v>
      </c>
      <c r="W379" s="1">
        <v>4000000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4879391</v>
      </c>
      <c r="AE379" s="1">
        <v>0</v>
      </c>
      <c r="AF379" s="1">
        <v>3670854</v>
      </c>
      <c r="AG379" s="1">
        <v>0</v>
      </c>
      <c r="AH379" s="1">
        <v>0</v>
      </c>
      <c r="AI379" s="1">
        <v>0</v>
      </c>
      <c r="AJ379" s="1">
        <v>4477305</v>
      </c>
      <c r="AK379" s="1">
        <v>0</v>
      </c>
      <c r="AL379" s="1">
        <v>0</v>
      </c>
      <c r="AM379" s="1">
        <v>0</v>
      </c>
      <c r="AN379" s="1">
        <v>0</v>
      </c>
      <c r="AO379" s="1">
        <v>80332234</v>
      </c>
      <c r="AP379" s="1">
        <v>13395978</v>
      </c>
      <c r="AQ379" s="1">
        <v>66936256</v>
      </c>
      <c r="AR379" s="1">
        <v>15332276</v>
      </c>
      <c r="AS379" s="1">
        <v>2299841</v>
      </c>
      <c r="AT379" s="3">
        <f t="shared" si="35"/>
        <v>97964351</v>
      </c>
    </row>
    <row r="380" spans="1:46" x14ac:dyDescent="0.2">
      <c r="A380" s="1" t="str">
        <f>"00440"</f>
        <v>00440</v>
      </c>
      <c r="B380" s="1" t="str">
        <f>"احمد"</f>
        <v>احمد</v>
      </c>
      <c r="C380" s="1" t="str">
        <f>"خليفه"</f>
        <v>خليفه</v>
      </c>
      <c r="D380" s="1" t="str">
        <f t="shared" si="39"/>
        <v>قراردادي کارگري</v>
      </c>
      <c r="E380" s="1" t="str">
        <f t="shared" si="40"/>
        <v>پروژه تعميرات نيروگاه بوشهر</v>
      </c>
      <c r="F380" s="1">
        <v>0</v>
      </c>
      <c r="G380" s="1">
        <v>5423994</v>
      </c>
      <c r="H380" s="1">
        <v>0</v>
      </c>
      <c r="I380" s="1">
        <v>6453338</v>
      </c>
      <c r="J380" s="1">
        <v>0</v>
      </c>
      <c r="K380" s="1">
        <v>0</v>
      </c>
      <c r="L380" s="1">
        <v>11521166</v>
      </c>
      <c r="M380" s="1">
        <v>2000000</v>
      </c>
      <c r="N380" s="1">
        <v>4652731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2640000</v>
      </c>
      <c r="U380" s="1">
        <v>0</v>
      </c>
      <c r="V380" s="1">
        <v>16573666</v>
      </c>
      <c r="W380" s="1">
        <v>4000000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4720114</v>
      </c>
      <c r="AE380" s="1">
        <v>0</v>
      </c>
      <c r="AF380" s="1">
        <v>3670854</v>
      </c>
      <c r="AG380" s="1">
        <v>0</v>
      </c>
      <c r="AH380" s="1">
        <v>0</v>
      </c>
      <c r="AI380" s="1">
        <v>0</v>
      </c>
      <c r="AJ380" s="1">
        <v>4339195</v>
      </c>
      <c r="AK380" s="1">
        <v>0</v>
      </c>
      <c r="AL380" s="1">
        <v>0</v>
      </c>
      <c r="AM380" s="1">
        <v>0</v>
      </c>
      <c r="AN380" s="1">
        <v>0</v>
      </c>
      <c r="AO380" s="1">
        <v>74835247</v>
      </c>
      <c r="AP380" s="1">
        <v>12404082</v>
      </c>
      <c r="AQ380" s="1">
        <v>62431165</v>
      </c>
      <c r="AR380" s="1">
        <v>14232879</v>
      </c>
      <c r="AS380" s="1">
        <v>2134932</v>
      </c>
      <c r="AT380" s="3">
        <f t="shared" si="35"/>
        <v>91203058</v>
      </c>
    </row>
    <row r="381" spans="1:46" x14ac:dyDescent="0.2">
      <c r="A381" s="1" t="str">
        <f>"00442"</f>
        <v>00442</v>
      </c>
      <c r="B381" s="1" t="str">
        <f>"ايوب"</f>
        <v>ايوب</v>
      </c>
      <c r="C381" s="1" t="str">
        <f>"غلامي"</f>
        <v>غلامي</v>
      </c>
      <c r="D381" s="1" t="str">
        <f t="shared" si="39"/>
        <v>قراردادي کارگري</v>
      </c>
      <c r="E381" s="1" t="str">
        <f t="shared" si="40"/>
        <v>پروژه تعميرات نيروگاه بوشهر</v>
      </c>
      <c r="F381" s="1">
        <v>0</v>
      </c>
      <c r="G381" s="1">
        <v>317965</v>
      </c>
      <c r="H381" s="1">
        <v>0</v>
      </c>
      <c r="I381" s="1">
        <v>7614964</v>
      </c>
      <c r="J381" s="1">
        <v>0</v>
      </c>
      <c r="K381" s="1">
        <v>0</v>
      </c>
      <c r="L381" s="1">
        <v>11521166</v>
      </c>
      <c r="M381" s="1">
        <v>2000000</v>
      </c>
      <c r="N381" s="1">
        <v>5801877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2640000</v>
      </c>
      <c r="U381" s="1">
        <v>0</v>
      </c>
      <c r="V381" s="1">
        <v>9243636</v>
      </c>
      <c r="W381" s="1">
        <v>4000000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1835427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55853555</v>
      </c>
      <c r="AP381" s="1">
        <v>20761532</v>
      </c>
      <c r="AQ381" s="1">
        <v>35092023</v>
      </c>
      <c r="AR381" s="1">
        <v>10803626</v>
      </c>
      <c r="AS381" s="1">
        <v>1620544</v>
      </c>
      <c r="AT381" s="3">
        <f t="shared" si="35"/>
        <v>68277725</v>
      </c>
    </row>
    <row r="382" spans="1:46" x14ac:dyDescent="0.2">
      <c r="A382" s="1" t="str">
        <f>"00443"</f>
        <v>00443</v>
      </c>
      <c r="B382" s="1" t="str">
        <f>"امير"</f>
        <v>امير</v>
      </c>
      <c r="C382" s="1" t="str">
        <f>"مرادي"</f>
        <v>مرادي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28497945</v>
      </c>
      <c r="G382" s="1">
        <v>14385085</v>
      </c>
      <c r="H382" s="1">
        <v>0</v>
      </c>
      <c r="I382" s="1">
        <v>23592779</v>
      </c>
      <c r="J382" s="1">
        <v>0</v>
      </c>
      <c r="K382" s="1">
        <v>5500000</v>
      </c>
      <c r="L382" s="1">
        <v>0</v>
      </c>
      <c r="M382" s="1">
        <v>1000000</v>
      </c>
      <c r="N382" s="1">
        <v>4601819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18058216</v>
      </c>
      <c r="W382" s="1">
        <v>4000000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3615715</v>
      </c>
      <c r="AF382" s="1">
        <v>1835427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6574026</v>
      </c>
      <c r="AM382" s="1">
        <v>0</v>
      </c>
      <c r="AN382" s="1">
        <v>0</v>
      </c>
      <c r="AO382" s="1">
        <v>111661012</v>
      </c>
      <c r="AP382" s="1">
        <v>43963776</v>
      </c>
      <c r="AQ382" s="1">
        <v>67697236</v>
      </c>
      <c r="AR382" s="1">
        <v>21965117</v>
      </c>
      <c r="AS382" s="1">
        <v>3294768</v>
      </c>
      <c r="AT382" s="3">
        <f t="shared" si="35"/>
        <v>136920897</v>
      </c>
    </row>
    <row r="383" spans="1:46" x14ac:dyDescent="0.2">
      <c r="A383" s="1" t="str">
        <f>"00444"</f>
        <v>00444</v>
      </c>
      <c r="B383" s="1" t="str">
        <f>"علي"</f>
        <v>علي</v>
      </c>
      <c r="C383" s="1" t="str">
        <f>"حسن زاده"</f>
        <v>حسن زاده</v>
      </c>
      <c r="D383" s="1" t="str">
        <f>"قراردادي کارگري"</f>
        <v>قراردادي کارگري</v>
      </c>
      <c r="E383" s="1" t="str">
        <f>"پروژه تعميرات نيروگاه بوشهر"</f>
        <v>پروژه تعميرات نيروگاه بوشهر</v>
      </c>
      <c r="F383" s="1">
        <v>0</v>
      </c>
      <c r="G383" s="1">
        <v>19730086</v>
      </c>
      <c r="H383" s="1">
        <v>0</v>
      </c>
      <c r="I383" s="1">
        <v>9015464</v>
      </c>
      <c r="J383" s="1">
        <v>0</v>
      </c>
      <c r="K383" s="1">
        <v>0</v>
      </c>
      <c r="L383" s="1">
        <v>11521166</v>
      </c>
      <c r="M383" s="1">
        <v>2000000</v>
      </c>
      <c r="N383" s="1">
        <v>6543020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2640000</v>
      </c>
      <c r="U383" s="1">
        <v>0</v>
      </c>
      <c r="V383" s="1">
        <v>11407401</v>
      </c>
      <c r="W383" s="1">
        <v>4000000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3670854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82877941</v>
      </c>
      <c r="AP383" s="1">
        <v>17172558</v>
      </c>
      <c r="AQ383" s="1">
        <v>65705383</v>
      </c>
      <c r="AR383" s="1">
        <v>15841417</v>
      </c>
      <c r="AS383" s="1">
        <v>2376213</v>
      </c>
      <c r="AT383" s="3">
        <f t="shared" si="35"/>
        <v>101095571</v>
      </c>
    </row>
    <row r="384" spans="1:46" x14ac:dyDescent="0.2">
      <c r="A384" s="1" t="str">
        <f>"00448"</f>
        <v>00448</v>
      </c>
      <c r="B384" s="1" t="str">
        <f>"اکبر"</f>
        <v>اکبر</v>
      </c>
      <c r="C384" s="1" t="str">
        <f>"آجامي"</f>
        <v>آجامي</v>
      </c>
      <c r="D384" s="1" t="str">
        <f t="shared" ref="D384:D415" si="41">"قراردادي بهره بردار"</f>
        <v>قراردادي بهره بردار</v>
      </c>
      <c r="E384" s="1" t="str">
        <f>"پروژه بهره برداري نيروگاه بوشهر"</f>
        <v>پروژه بهره برداري نيروگاه بوشهر</v>
      </c>
      <c r="F384" s="1">
        <v>18609823</v>
      </c>
      <c r="G384" s="1">
        <v>8876290</v>
      </c>
      <c r="H384" s="1">
        <v>0</v>
      </c>
      <c r="I384" s="1">
        <v>17843007</v>
      </c>
      <c r="J384" s="1">
        <v>0</v>
      </c>
      <c r="K384" s="1">
        <v>4620000</v>
      </c>
      <c r="L384" s="1">
        <v>0</v>
      </c>
      <c r="M384" s="1">
        <v>1000000</v>
      </c>
      <c r="N384" s="1">
        <v>3612502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13836266</v>
      </c>
      <c r="W384" s="1">
        <v>4000000</v>
      </c>
      <c r="X384" s="1">
        <v>2701426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2838395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17253953</v>
      </c>
      <c r="AM384" s="1">
        <v>0</v>
      </c>
      <c r="AN384" s="1">
        <v>0</v>
      </c>
      <c r="AO384" s="1">
        <v>95191662</v>
      </c>
      <c r="AP384" s="1">
        <v>38587861</v>
      </c>
      <c r="AQ384" s="1">
        <v>56603801</v>
      </c>
      <c r="AR384" s="1">
        <v>19038332</v>
      </c>
      <c r="AS384" s="1">
        <v>2855750</v>
      </c>
      <c r="AT384" s="3">
        <f t="shared" si="35"/>
        <v>117085744</v>
      </c>
    </row>
    <row r="385" spans="1:46" x14ac:dyDescent="0.2">
      <c r="A385" s="1" t="str">
        <f>"00449"</f>
        <v>00449</v>
      </c>
      <c r="B385" s="1" t="str">
        <f>"حميدرضا"</f>
        <v>حميدرضا</v>
      </c>
      <c r="C385" s="1" t="str">
        <f>"احمدي خرم"</f>
        <v>احمدي خرم</v>
      </c>
      <c r="D385" s="1" t="str">
        <f t="shared" si="41"/>
        <v>قراردادي بهره بردار</v>
      </c>
      <c r="E385" s="1" t="str">
        <f>"پروژه بهره برداري نيروگاه بوشهر"</f>
        <v>پروژه بهره برداري نيروگاه بوشهر</v>
      </c>
      <c r="F385" s="1">
        <v>15357450</v>
      </c>
      <c r="G385" s="1">
        <v>0</v>
      </c>
      <c r="H385" s="1">
        <v>0</v>
      </c>
      <c r="I385" s="1">
        <v>11622744</v>
      </c>
      <c r="J385" s="1">
        <v>0</v>
      </c>
      <c r="K385" s="1">
        <v>4620000</v>
      </c>
      <c r="L385" s="1">
        <v>0</v>
      </c>
      <c r="M385" s="1">
        <v>1000000</v>
      </c>
      <c r="N385" s="1">
        <v>2751921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14404309</v>
      </c>
      <c r="W385" s="1">
        <v>4000000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2162223</v>
      </c>
      <c r="AF385" s="1">
        <v>1835427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8117631</v>
      </c>
      <c r="AM385" s="1">
        <v>0</v>
      </c>
      <c r="AN385" s="1">
        <v>0</v>
      </c>
      <c r="AO385" s="1">
        <v>65871705</v>
      </c>
      <c r="AP385" s="1">
        <v>9208656</v>
      </c>
      <c r="AQ385" s="1">
        <v>56663049</v>
      </c>
      <c r="AR385" s="1">
        <v>12807256</v>
      </c>
      <c r="AS385" s="1">
        <v>1921088</v>
      </c>
      <c r="AT385" s="3">
        <f t="shared" si="35"/>
        <v>80600049</v>
      </c>
    </row>
    <row r="386" spans="1:46" x14ac:dyDescent="0.2">
      <c r="A386" s="1" t="str">
        <f>"00450"</f>
        <v>00450</v>
      </c>
      <c r="B386" s="1" t="str">
        <f>"سيدابراهيم"</f>
        <v>سيدابراهيم</v>
      </c>
      <c r="C386" s="1" t="str">
        <f>"اعلايي خانقاه سادات"</f>
        <v>اعلايي خانقاه سادات</v>
      </c>
      <c r="D386" s="1" t="str">
        <f t="shared" si="41"/>
        <v>قراردادي بهره بردار</v>
      </c>
      <c r="E386" s="1" t="str">
        <f>"پروژه بهره برداري نيروگاه بوشهر"</f>
        <v>پروژه بهره برداري نيروگاه بوشهر</v>
      </c>
      <c r="F386" s="1">
        <v>22834633</v>
      </c>
      <c r="G386" s="1">
        <v>4949475</v>
      </c>
      <c r="H386" s="1">
        <v>0</v>
      </c>
      <c r="I386" s="1">
        <v>20142905</v>
      </c>
      <c r="J386" s="1">
        <v>0</v>
      </c>
      <c r="K386" s="1">
        <v>5500000</v>
      </c>
      <c r="L386" s="1">
        <v>0</v>
      </c>
      <c r="M386" s="1">
        <v>1000000</v>
      </c>
      <c r="N386" s="1">
        <v>4130086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23711832</v>
      </c>
      <c r="W386" s="1">
        <v>4000000</v>
      </c>
      <c r="X386" s="1">
        <v>3314705</v>
      </c>
      <c r="Y386" s="1">
        <v>0</v>
      </c>
      <c r="Z386" s="1">
        <v>0</v>
      </c>
      <c r="AA386" s="1">
        <v>0</v>
      </c>
      <c r="AB386" s="1">
        <v>0</v>
      </c>
      <c r="AC386" s="1">
        <v>4459102</v>
      </c>
      <c r="AD386" s="1">
        <v>0</v>
      </c>
      <c r="AE386" s="1">
        <v>3245068</v>
      </c>
      <c r="AF386" s="1">
        <v>3670854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21677987</v>
      </c>
      <c r="AM386" s="1">
        <v>0</v>
      </c>
      <c r="AN386" s="1">
        <v>0</v>
      </c>
      <c r="AO386" s="1">
        <v>122636647</v>
      </c>
      <c r="AP386" s="1">
        <v>54206883</v>
      </c>
      <c r="AQ386" s="1">
        <v>68429764</v>
      </c>
      <c r="AR386" s="1">
        <v>23793159</v>
      </c>
      <c r="AS386" s="1">
        <v>3568974</v>
      </c>
      <c r="AT386" s="3">
        <f t="shared" si="35"/>
        <v>149998780</v>
      </c>
    </row>
    <row r="387" spans="1:46" x14ac:dyDescent="0.2">
      <c r="A387" s="1" t="str">
        <f>"00451"</f>
        <v>00451</v>
      </c>
      <c r="B387" s="1" t="str">
        <f>"محمدمهدي"</f>
        <v>محمدمهدي</v>
      </c>
      <c r="C387" s="1" t="str">
        <f>"افشاري"</f>
        <v>افشاري</v>
      </c>
      <c r="D387" s="1" t="str">
        <f t="shared" si="41"/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17833889</v>
      </c>
      <c r="G387" s="1">
        <v>367123</v>
      </c>
      <c r="H387" s="1">
        <v>0</v>
      </c>
      <c r="I387" s="1">
        <v>13210556</v>
      </c>
      <c r="J387" s="1">
        <v>0</v>
      </c>
      <c r="K387" s="1">
        <v>4620000</v>
      </c>
      <c r="L387" s="1">
        <v>0</v>
      </c>
      <c r="M387" s="1">
        <v>1000000</v>
      </c>
      <c r="N387" s="1">
        <v>3340926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9728542</v>
      </c>
      <c r="W387" s="1">
        <v>4000000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2625013</v>
      </c>
      <c r="AF387" s="1">
        <v>1835427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5287626</v>
      </c>
      <c r="AM387" s="1">
        <v>0</v>
      </c>
      <c r="AN387" s="1">
        <v>0</v>
      </c>
      <c r="AO387" s="1">
        <v>63849102</v>
      </c>
      <c r="AP387" s="1">
        <v>9982972</v>
      </c>
      <c r="AQ387" s="1">
        <v>53866130</v>
      </c>
      <c r="AR387" s="1">
        <v>12402735</v>
      </c>
      <c r="AS387" s="1">
        <v>1860410</v>
      </c>
      <c r="AT387" s="3">
        <f t="shared" ref="AT387:AT450" si="42">AO387+AR387+AS387</f>
        <v>78112247</v>
      </c>
    </row>
    <row r="388" spans="1:46" x14ac:dyDescent="0.2">
      <c r="A388" s="1" t="str">
        <f>"00452"</f>
        <v>00452</v>
      </c>
      <c r="B388" s="1" t="str">
        <f>"محمدرضا"</f>
        <v>محمدرضا</v>
      </c>
      <c r="C388" s="1" t="str">
        <f>"اکبرپور"</f>
        <v>اکبرپور</v>
      </c>
      <c r="D388" s="1" t="str">
        <f t="shared" si="41"/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16962222</v>
      </c>
      <c r="G388" s="1">
        <v>4274381</v>
      </c>
      <c r="H388" s="1">
        <v>0</v>
      </c>
      <c r="I388" s="1">
        <v>16268051</v>
      </c>
      <c r="J388" s="1">
        <v>0</v>
      </c>
      <c r="K388" s="1">
        <v>4620000</v>
      </c>
      <c r="L388" s="1">
        <v>0</v>
      </c>
      <c r="M388" s="1">
        <v>1000000</v>
      </c>
      <c r="N388" s="1">
        <v>3313591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12585402</v>
      </c>
      <c r="W388" s="1">
        <v>4000000</v>
      </c>
      <c r="X388" s="1">
        <v>2462258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2603536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15571738</v>
      </c>
      <c r="AM388" s="1">
        <v>0</v>
      </c>
      <c r="AN388" s="1">
        <v>0</v>
      </c>
      <c r="AO388" s="1">
        <v>83661179</v>
      </c>
      <c r="AP388" s="1">
        <v>35721897</v>
      </c>
      <c r="AQ388" s="1">
        <v>47939282</v>
      </c>
      <c r="AR388" s="1">
        <v>16732236</v>
      </c>
      <c r="AS388" s="1">
        <v>2509835</v>
      </c>
      <c r="AT388" s="3">
        <f t="shared" si="42"/>
        <v>102903250</v>
      </c>
    </row>
    <row r="389" spans="1:46" x14ac:dyDescent="0.2">
      <c r="A389" s="1" t="str">
        <f>"00453"</f>
        <v>00453</v>
      </c>
      <c r="B389" s="1" t="str">
        <f>"رضا"</f>
        <v>رضا</v>
      </c>
      <c r="C389" s="1" t="str">
        <f>"اوجي نيا"</f>
        <v>اوجي نيا</v>
      </c>
      <c r="D389" s="1" t="str">
        <f t="shared" si="41"/>
        <v>قراردادي بهره بردار</v>
      </c>
      <c r="E389" s="1" t="str">
        <f>"پروژه تعميرات نيروگاه بوشهر"</f>
        <v>پروژه تعميرات نيروگاه بوشهر</v>
      </c>
      <c r="F389" s="1">
        <v>23255351</v>
      </c>
      <c r="G389" s="1">
        <v>14713471</v>
      </c>
      <c r="H389" s="1">
        <v>0</v>
      </c>
      <c r="I389" s="1">
        <v>18752215</v>
      </c>
      <c r="J389" s="1">
        <v>0</v>
      </c>
      <c r="K389" s="1">
        <v>5500000</v>
      </c>
      <c r="L389" s="1">
        <v>0</v>
      </c>
      <c r="M389" s="1">
        <v>1000000</v>
      </c>
      <c r="N389" s="1">
        <v>3840874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14342020</v>
      </c>
      <c r="W389" s="1">
        <v>4000000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3017829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6295345</v>
      </c>
      <c r="AM389" s="1">
        <v>0</v>
      </c>
      <c r="AN389" s="1">
        <v>0</v>
      </c>
      <c r="AO389" s="1">
        <v>94717105</v>
      </c>
      <c r="AP389" s="1">
        <v>29814894</v>
      </c>
      <c r="AQ389" s="1">
        <v>64902211</v>
      </c>
      <c r="AR389" s="1">
        <v>18943421</v>
      </c>
      <c r="AS389" s="1">
        <v>2841513</v>
      </c>
      <c r="AT389" s="3">
        <f t="shared" si="42"/>
        <v>116502039</v>
      </c>
    </row>
    <row r="390" spans="1:46" x14ac:dyDescent="0.2">
      <c r="A390" s="1" t="str">
        <f>"00454"</f>
        <v>00454</v>
      </c>
      <c r="B390" s="1" t="str">
        <f>"مهرداد"</f>
        <v>مهرداد</v>
      </c>
      <c r="C390" s="1" t="str">
        <f>"بازياري"</f>
        <v>بازياري</v>
      </c>
      <c r="D390" s="1" t="str">
        <f t="shared" si="41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17904428</v>
      </c>
      <c r="G390" s="1">
        <v>5488887</v>
      </c>
      <c r="H390" s="1">
        <v>0</v>
      </c>
      <c r="I390" s="1">
        <v>14765033</v>
      </c>
      <c r="J390" s="1">
        <v>0</v>
      </c>
      <c r="K390" s="1">
        <v>4620000</v>
      </c>
      <c r="L390" s="1">
        <v>0</v>
      </c>
      <c r="M390" s="1">
        <v>1000000</v>
      </c>
      <c r="N390" s="1">
        <v>3365614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12121026</v>
      </c>
      <c r="W390" s="1">
        <v>4000000</v>
      </c>
      <c r="X390" s="1">
        <v>2287036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2644412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14020626</v>
      </c>
      <c r="AM390" s="1">
        <v>0</v>
      </c>
      <c r="AN390" s="1">
        <v>0</v>
      </c>
      <c r="AO390" s="1">
        <v>82217062</v>
      </c>
      <c r="AP390" s="1">
        <v>55253284</v>
      </c>
      <c r="AQ390" s="1">
        <v>26963778</v>
      </c>
      <c r="AR390" s="1">
        <v>16443412</v>
      </c>
      <c r="AS390" s="1">
        <v>2466512</v>
      </c>
      <c r="AT390" s="3">
        <f t="shared" si="42"/>
        <v>101126986</v>
      </c>
    </row>
    <row r="391" spans="1:46" x14ac:dyDescent="0.2">
      <c r="A391" s="1" t="str">
        <f>"00455"</f>
        <v>00455</v>
      </c>
      <c r="B391" s="1" t="str">
        <f>"سعيد"</f>
        <v>سعيد</v>
      </c>
      <c r="C391" s="1" t="str">
        <f>"بزرگي"</f>
        <v>بزرگي</v>
      </c>
      <c r="D391" s="1" t="str">
        <f t="shared" si="41"/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22036026</v>
      </c>
      <c r="G391" s="1">
        <v>20131127</v>
      </c>
      <c r="H391" s="1">
        <v>0</v>
      </c>
      <c r="I391" s="1">
        <v>16727135</v>
      </c>
      <c r="J391" s="1">
        <v>0</v>
      </c>
      <c r="K391" s="1">
        <v>5500000</v>
      </c>
      <c r="L391" s="1">
        <v>0</v>
      </c>
      <c r="M391" s="1">
        <v>1000000</v>
      </c>
      <c r="N391" s="1">
        <v>3850573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17944192</v>
      </c>
      <c r="W391" s="1">
        <v>4000000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3025450</v>
      </c>
      <c r="AF391" s="1">
        <v>1835427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5998777</v>
      </c>
      <c r="AM391" s="1">
        <v>0</v>
      </c>
      <c r="AN391" s="1">
        <v>0</v>
      </c>
      <c r="AO391" s="1">
        <v>102048707</v>
      </c>
      <c r="AP391" s="1">
        <v>25263502</v>
      </c>
      <c r="AQ391" s="1">
        <v>76785205</v>
      </c>
      <c r="AR391" s="1">
        <v>20042656</v>
      </c>
      <c r="AS391" s="1">
        <v>3006398</v>
      </c>
      <c r="AT391" s="3">
        <f t="shared" si="42"/>
        <v>125097761</v>
      </c>
    </row>
    <row r="392" spans="1:46" x14ac:dyDescent="0.2">
      <c r="A392" s="1" t="str">
        <f>"00456"</f>
        <v>00456</v>
      </c>
      <c r="B392" s="1" t="str">
        <f>"محمد"</f>
        <v>محمد</v>
      </c>
      <c r="C392" s="1" t="str">
        <f>"پرويني"</f>
        <v>پرويني</v>
      </c>
      <c r="D392" s="1" t="str">
        <f t="shared" si="41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18045507</v>
      </c>
      <c r="G392" s="1">
        <v>16333611</v>
      </c>
      <c r="H392" s="1">
        <v>0</v>
      </c>
      <c r="I392" s="1">
        <v>15546885</v>
      </c>
      <c r="J392" s="1">
        <v>0</v>
      </c>
      <c r="K392" s="1">
        <v>4620000</v>
      </c>
      <c r="L392" s="1">
        <v>0</v>
      </c>
      <c r="M392" s="1">
        <v>1000000</v>
      </c>
      <c r="N392" s="1">
        <v>3414992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12366606</v>
      </c>
      <c r="W392" s="1">
        <v>4000000</v>
      </c>
      <c r="X392" s="1">
        <v>2619509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2683208</v>
      </c>
      <c r="AF392" s="1">
        <v>1835427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14077259</v>
      </c>
      <c r="AM392" s="1">
        <v>0</v>
      </c>
      <c r="AN392" s="1">
        <v>0</v>
      </c>
      <c r="AO392" s="1">
        <v>96543004</v>
      </c>
      <c r="AP392" s="1">
        <v>26928194</v>
      </c>
      <c r="AQ392" s="1">
        <v>69614810</v>
      </c>
      <c r="AR392" s="1">
        <v>18941515</v>
      </c>
      <c r="AS392" s="1">
        <v>2841227</v>
      </c>
      <c r="AT392" s="3">
        <f t="shared" si="42"/>
        <v>118325746</v>
      </c>
    </row>
    <row r="393" spans="1:46" x14ac:dyDescent="0.2">
      <c r="A393" s="1" t="str">
        <f>"00457"</f>
        <v>00457</v>
      </c>
      <c r="B393" s="1" t="str">
        <f>"محمد امين"</f>
        <v>محمد امين</v>
      </c>
      <c r="C393" s="1" t="str">
        <f>"پريسوز"</f>
        <v>پريسوز</v>
      </c>
      <c r="D393" s="1" t="str">
        <f t="shared" si="41"/>
        <v>قراردادي بهره بردار</v>
      </c>
      <c r="E393" s="1" t="str">
        <f>"پروژه تعميرات نيروگاه بوشهر"</f>
        <v>پروژه تعميرات نيروگاه بوشهر</v>
      </c>
      <c r="F393" s="1">
        <v>15800841</v>
      </c>
      <c r="G393" s="1">
        <v>6525093</v>
      </c>
      <c r="H393" s="1">
        <v>0</v>
      </c>
      <c r="I393" s="1">
        <v>8349966</v>
      </c>
      <c r="J393" s="1">
        <v>0</v>
      </c>
      <c r="K393" s="1">
        <v>4620000</v>
      </c>
      <c r="L393" s="1">
        <v>0</v>
      </c>
      <c r="M393" s="1">
        <v>1000000</v>
      </c>
      <c r="N393" s="1">
        <v>2907108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9100588</v>
      </c>
      <c r="W393" s="1">
        <v>4000000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2284156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10225703</v>
      </c>
      <c r="AM393" s="1">
        <v>0</v>
      </c>
      <c r="AN393" s="1">
        <v>0</v>
      </c>
      <c r="AO393" s="1">
        <v>64813455</v>
      </c>
      <c r="AP393" s="1">
        <v>28467699</v>
      </c>
      <c r="AQ393" s="1">
        <v>36345756</v>
      </c>
      <c r="AR393" s="1">
        <v>12962691</v>
      </c>
      <c r="AS393" s="1">
        <v>1944404</v>
      </c>
      <c r="AT393" s="3">
        <f t="shared" si="42"/>
        <v>79720550</v>
      </c>
    </row>
    <row r="394" spans="1:46" x14ac:dyDescent="0.2">
      <c r="A394" s="1" t="str">
        <f>"00458"</f>
        <v>00458</v>
      </c>
      <c r="B394" s="1" t="str">
        <f>"سعيد"</f>
        <v>سعيد</v>
      </c>
      <c r="C394" s="1" t="str">
        <f>"پولادي"</f>
        <v>پولادي</v>
      </c>
      <c r="D394" s="1" t="str">
        <f t="shared" si="41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16851375</v>
      </c>
      <c r="G394" s="1">
        <v>12484820</v>
      </c>
      <c r="H394" s="1">
        <v>0</v>
      </c>
      <c r="I394" s="1">
        <v>14115404</v>
      </c>
      <c r="J394" s="1">
        <v>0</v>
      </c>
      <c r="K394" s="1">
        <v>4620000</v>
      </c>
      <c r="L394" s="1">
        <v>0</v>
      </c>
      <c r="M394" s="1">
        <v>1000000</v>
      </c>
      <c r="N394" s="1">
        <v>3274795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21367189</v>
      </c>
      <c r="W394" s="1">
        <v>4000000</v>
      </c>
      <c r="X394" s="1">
        <v>2446167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2573053</v>
      </c>
      <c r="AF394" s="1">
        <v>3670854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12589280</v>
      </c>
      <c r="AM394" s="1">
        <v>0</v>
      </c>
      <c r="AN394" s="1">
        <v>0</v>
      </c>
      <c r="AO394" s="1">
        <v>98992937</v>
      </c>
      <c r="AP394" s="1">
        <v>50283903</v>
      </c>
      <c r="AQ394" s="1">
        <v>48709034</v>
      </c>
      <c r="AR394" s="1">
        <v>19064417</v>
      </c>
      <c r="AS394" s="1">
        <v>2859662</v>
      </c>
      <c r="AT394" s="3">
        <f t="shared" si="42"/>
        <v>120917016</v>
      </c>
    </row>
    <row r="395" spans="1:46" x14ac:dyDescent="0.2">
      <c r="A395" s="1" t="str">
        <f>"00459"</f>
        <v>00459</v>
      </c>
      <c r="B395" s="1" t="str">
        <f>"بهنام"</f>
        <v>بهنام</v>
      </c>
      <c r="C395" s="1" t="str">
        <f>"تنگستاني"</f>
        <v>تنگستاني</v>
      </c>
      <c r="D395" s="1" t="str">
        <f t="shared" si="41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16561659</v>
      </c>
      <c r="G395" s="1">
        <v>0</v>
      </c>
      <c r="H395" s="1">
        <v>0</v>
      </c>
      <c r="I395" s="1">
        <v>13745501</v>
      </c>
      <c r="J395" s="1">
        <v>0</v>
      </c>
      <c r="K395" s="1">
        <v>3465000</v>
      </c>
      <c r="L395" s="1">
        <v>0</v>
      </c>
      <c r="M395" s="1">
        <v>1000000</v>
      </c>
      <c r="N395" s="1">
        <v>3173395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19301679</v>
      </c>
      <c r="W395" s="1">
        <v>4000000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2493382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7893518</v>
      </c>
      <c r="AM395" s="1">
        <v>0</v>
      </c>
      <c r="AN395" s="1">
        <v>0</v>
      </c>
      <c r="AO395" s="1">
        <v>71634134</v>
      </c>
      <c r="AP395" s="1">
        <v>25880928</v>
      </c>
      <c r="AQ395" s="1">
        <v>45753206</v>
      </c>
      <c r="AR395" s="1">
        <v>14326827</v>
      </c>
      <c r="AS395" s="1">
        <v>2149024</v>
      </c>
      <c r="AT395" s="3">
        <f t="shared" si="42"/>
        <v>88109985</v>
      </c>
    </row>
    <row r="396" spans="1:46" x14ac:dyDescent="0.2">
      <c r="A396" s="1" t="str">
        <f>"00460"</f>
        <v>00460</v>
      </c>
      <c r="B396" s="1" t="str">
        <f>"مجيد"</f>
        <v>مجيد</v>
      </c>
      <c r="C396" s="1" t="str">
        <f>"جعفري"</f>
        <v>جعفري</v>
      </c>
      <c r="D396" s="1" t="str">
        <f t="shared" si="41"/>
        <v>قراردادي بهره بردار</v>
      </c>
      <c r="E396" s="1" t="str">
        <f>"پروژه تعميرات نيروگاه بوشهر"</f>
        <v>پروژه تعميرات نيروگاه بوشهر</v>
      </c>
      <c r="F396" s="1">
        <v>16549063</v>
      </c>
      <c r="G396" s="1">
        <v>52617586</v>
      </c>
      <c r="H396" s="1">
        <v>0</v>
      </c>
      <c r="I396" s="1">
        <v>14040602</v>
      </c>
      <c r="J396" s="1">
        <v>0</v>
      </c>
      <c r="K396" s="1">
        <v>4620000</v>
      </c>
      <c r="L396" s="1">
        <v>0</v>
      </c>
      <c r="M396" s="1">
        <v>1000000</v>
      </c>
      <c r="N396" s="1">
        <v>3168985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15824654</v>
      </c>
      <c r="W396" s="1">
        <v>4000000</v>
      </c>
      <c r="X396" s="1">
        <v>2402283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2489917</v>
      </c>
      <c r="AF396" s="1">
        <v>1835427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7106650</v>
      </c>
      <c r="AM396" s="1">
        <v>0</v>
      </c>
      <c r="AN396" s="1">
        <v>0</v>
      </c>
      <c r="AO396" s="1">
        <v>125655167</v>
      </c>
      <c r="AP396" s="1">
        <v>60655164</v>
      </c>
      <c r="AQ396" s="1">
        <v>65000003</v>
      </c>
      <c r="AR396" s="1">
        <v>24763948</v>
      </c>
      <c r="AS396" s="1">
        <v>3714592</v>
      </c>
      <c r="AT396" s="3">
        <f t="shared" si="42"/>
        <v>154133707</v>
      </c>
    </row>
    <row r="397" spans="1:46" x14ac:dyDescent="0.2">
      <c r="A397" s="1" t="str">
        <f>"00461"</f>
        <v>00461</v>
      </c>
      <c r="B397" s="1" t="str">
        <f>"علي اکبر"</f>
        <v>علي اکبر</v>
      </c>
      <c r="C397" s="1" t="str">
        <f>"جعفري"</f>
        <v>جعفري</v>
      </c>
      <c r="D397" s="1" t="str">
        <f t="shared" si="41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18032911</v>
      </c>
      <c r="G397" s="1">
        <v>4121775</v>
      </c>
      <c r="H397" s="1">
        <v>0</v>
      </c>
      <c r="I397" s="1">
        <v>15077647</v>
      </c>
      <c r="J397" s="1">
        <v>0</v>
      </c>
      <c r="K397" s="1">
        <v>4620000</v>
      </c>
      <c r="L397" s="1">
        <v>0</v>
      </c>
      <c r="M397" s="1">
        <v>1000000</v>
      </c>
      <c r="N397" s="1">
        <v>3410583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12136070</v>
      </c>
      <c r="W397" s="1">
        <v>4000000</v>
      </c>
      <c r="X397" s="1">
        <v>2617681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2679744</v>
      </c>
      <c r="AF397" s="1">
        <v>1835427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13564639</v>
      </c>
      <c r="AM397" s="1">
        <v>0</v>
      </c>
      <c r="AN397" s="1">
        <v>0</v>
      </c>
      <c r="AO397" s="1">
        <v>83096477</v>
      </c>
      <c r="AP397" s="1">
        <v>23004250</v>
      </c>
      <c r="AQ397" s="1">
        <v>60092227</v>
      </c>
      <c r="AR397" s="1">
        <v>16252210</v>
      </c>
      <c r="AS397" s="1">
        <v>2437832</v>
      </c>
      <c r="AT397" s="3">
        <f t="shared" si="42"/>
        <v>101786519</v>
      </c>
    </row>
    <row r="398" spans="1:46" x14ac:dyDescent="0.2">
      <c r="A398" s="1" t="str">
        <f>"00462"</f>
        <v>00462</v>
      </c>
      <c r="B398" s="1" t="str">
        <f>"سلمان"</f>
        <v>سلمان</v>
      </c>
      <c r="C398" s="1" t="str">
        <f>"حسين زاده"</f>
        <v>حسين زاده</v>
      </c>
      <c r="D398" s="1" t="str">
        <f t="shared" si="41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18970078</v>
      </c>
      <c r="G398" s="1">
        <v>11270955</v>
      </c>
      <c r="H398" s="1">
        <v>0</v>
      </c>
      <c r="I398" s="1">
        <v>16559184</v>
      </c>
      <c r="J398" s="1">
        <v>0</v>
      </c>
      <c r="K398" s="1">
        <v>4620000</v>
      </c>
      <c r="L398" s="1">
        <v>0</v>
      </c>
      <c r="M398" s="1">
        <v>1000000</v>
      </c>
      <c r="N398" s="1">
        <v>3738592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19404450</v>
      </c>
      <c r="W398" s="1">
        <v>4000000</v>
      </c>
      <c r="X398" s="1">
        <v>2753721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2937465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14450009</v>
      </c>
      <c r="AM398" s="1">
        <v>0</v>
      </c>
      <c r="AN398" s="1">
        <v>0</v>
      </c>
      <c r="AO398" s="1">
        <v>99704454</v>
      </c>
      <c r="AP398" s="1">
        <v>17622883</v>
      </c>
      <c r="AQ398" s="1">
        <v>82081571</v>
      </c>
      <c r="AR398" s="1">
        <v>19940891</v>
      </c>
      <c r="AS398" s="1">
        <v>2991134</v>
      </c>
      <c r="AT398" s="3">
        <f t="shared" si="42"/>
        <v>122636479</v>
      </c>
    </row>
    <row r="399" spans="1:46" x14ac:dyDescent="0.2">
      <c r="A399" s="1" t="str">
        <f>"00463"</f>
        <v>00463</v>
      </c>
      <c r="B399" s="1" t="str">
        <f>"حامد"</f>
        <v>حامد</v>
      </c>
      <c r="C399" s="1" t="str">
        <f>"حسيني فانيد"</f>
        <v>حسيني فانيد</v>
      </c>
      <c r="D399" s="1" t="str">
        <f t="shared" si="41"/>
        <v>قراردادي بهره بردار</v>
      </c>
      <c r="E399" s="1" t="str">
        <f>"پروژه تعميرات نيروگاه بوشهر"</f>
        <v>پروژه تعميرات نيروگاه بوشهر</v>
      </c>
      <c r="F399" s="1">
        <v>17738157</v>
      </c>
      <c r="G399" s="1">
        <v>53821779</v>
      </c>
      <c r="H399" s="1">
        <v>0</v>
      </c>
      <c r="I399" s="1">
        <v>14947850</v>
      </c>
      <c r="J399" s="1">
        <v>0</v>
      </c>
      <c r="K399" s="1">
        <v>4620000</v>
      </c>
      <c r="L399" s="1">
        <v>0</v>
      </c>
      <c r="M399" s="1">
        <v>1000000</v>
      </c>
      <c r="N399" s="1">
        <v>3307419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16717528</v>
      </c>
      <c r="W399" s="1">
        <v>4000000</v>
      </c>
      <c r="X399" s="1">
        <v>2574894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2598687</v>
      </c>
      <c r="AF399" s="1">
        <v>1835427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7209335</v>
      </c>
      <c r="AM399" s="1">
        <v>0</v>
      </c>
      <c r="AN399" s="1">
        <v>0</v>
      </c>
      <c r="AO399" s="1">
        <v>130371076</v>
      </c>
      <c r="AP399" s="1">
        <v>45756663</v>
      </c>
      <c r="AQ399" s="1">
        <v>84614413</v>
      </c>
      <c r="AR399" s="1">
        <v>25707130</v>
      </c>
      <c r="AS399" s="1">
        <v>3856069</v>
      </c>
      <c r="AT399" s="3">
        <f t="shared" si="42"/>
        <v>159934275</v>
      </c>
    </row>
    <row r="400" spans="1:46" x14ac:dyDescent="0.2">
      <c r="A400" s="1" t="str">
        <f>"00465"</f>
        <v>00465</v>
      </c>
      <c r="B400" s="1" t="str">
        <f>"سيد محمد هادي"</f>
        <v>سيد محمد هادي</v>
      </c>
      <c r="C400" s="1" t="str">
        <f>"خرازيان"</f>
        <v>خرازيان</v>
      </c>
      <c r="D400" s="1" t="str">
        <f t="shared" si="41"/>
        <v>قراردادي بهره بردار</v>
      </c>
      <c r="E400" s="1" t="str">
        <f t="shared" ref="E400:E417" si="43">"پروژه بهره برداري نيروگاه بوشهر"</f>
        <v>پروژه بهره برداري نيروگاه بوشهر</v>
      </c>
      <c r="F400" s="1">
        <v>18068181</v>
      </c>
      <c r="G400" s="1">
        <v>3995687</v>
      </c>
      <c r="H400" s="1">
        <v>0</v>
      </c>
      <c r="I400" s="1">
        <v>14214690</v>
      </c>
      <c r="J400" s="1">
        <v>0</v>
      </c>
      <c r="K400" s="1">
        <v>4620000</v>
      </c>
      <c r="L400" s="1">
        <v>0</v>
      </c>
      <c r="M400" s="1">
        <v>1000000</v>
      </c>
      <c r="N400" s="1">
        <v>3422928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11764821</v>
      </c>
      <c r="W400" s="1">
        <v>4000000</v>
      </c>
      <c r="X400" s="1">
        <v>2622800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2689443</v>
      </c>
      <c r="AF400" s="1">
        <v>1835427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12756156</v>
      </c>
      <c r="AM400" s="1">
        <v>0</v>
      </c>
      <c r="AN400" s="1">
        <v>0</v>
      </c>
      <c r="AO400" s="1">
        <v>80990133</v>
      </c>
      <c r="AP400" s="1">
        <v>14804960</v>
      </c>
      <c r="AQ400" s="1">
        <v>66185173</v>
      </c>
      <c r="AR400" s="1">
        <v>15830941</v>
      </c>
      <c r="AS400" s="1">
        <v>2374641</v>
      </c>
      <c r="AT400" s="3">
        <f t="shared" si="42"/>
        <v>99195715</v>
      </c>
    </row>
    <row r="401" spans="1:46" x14ac:dyDescent="0.2">
      <c r="A401" s="1" t="str">
        <f>"00466"</f>
        <v>00466</v>
      </c>
      <c r="B401" s="1" t="str">
        <f>"عباس"</f>
        <v>عباس</v>
      </c>
      <c r="C401" s="1" t="str">
        <f>"خوش صوت"</f>
        <v>خوش صوت</v>
      </c>
      <c r="D401" s="1" t="str">
        <f t="shared" si="41"/>
        <v>قراردادي بهره بردار</v>
      </c>
      <c r="E401" s="1" t="str">
        <f t="shared" si="43"/>
        <v>پروژه بهره برداري نيروگاه بوشهر</v>
      </c>
      <c r="F401" s="1">
        <v>16881606</v>
      </c>
      <c r="G401" s="1">
        <v>10573971</v>
      </c>
      <c r="H401" s="1">
        <v>0</v>
      </c>
      <c r="I401" s="1">
        <v>13837246</v>
      </c>
      <c r="J401" s="1">
        <v>0</v>
      </c>
      <c r="K401" s="1">
        <v>4620000</v>
      </c>
      <c r="L401" s="1">
        <v>0</v>
      </c>
      <c r="M401" s="1">
        <v>1000000</v>
      </c>
      <c r="N401" s="1">
        <v>3285376</v>
      </c>
      <c r="O401" s="1">
        <v>0</v>
      </c>
      <c r="P401" s="1">
        <v>0</v>
      </c>
      <c r="Q401" s="1">
        <v>0</v>
      </c>
      <c r="R401" s="1">
        <v>316086</v>
      </c>
      <c r="S401" s="1">
        <v>0</v>
      </c>
      <c r="T401" s="1">
        <v>0</v>
      </c>
      <c r="U401" s="1">
        <v>0</v>
      </c>
      <c r="V401" s="1">
        <v>10007289</v>
      </c>
      <c r="W401" s="1">
        <v>4000000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2581367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6924355</v>
      </c>
      <c r="AM401" s="1">
        <v>0</v>
      </c>
      <c r="AN401" s="1">
        <v>0</v>
      </c>
      <c r="AO401" s="1">
        <v>74027296</v>
      </c>
      <c r="AP401" s="1">
        <v>32406564</v>
      </c>
      <c r="AQ401" s="1">
        <v>41620732</v>
      </c>
      <c r="AR401" s="1">
        <v>14742242</v>
      </c>
      <c r="AS401" s="1">
        <v>2211336</v>
      </c>
      <c r="AT401" s="3">
        <f t="shared" si="42"/>
        <v>90980874</v>
      </c>
    </row>
    <row r="402" spans="1:46" x14ac:dyDescent="0.2">
      <c r="A402" s="1" t="str">
        <f>"00467"</f>
        <v>00467</v>
      </c>
      <c r="B402" s="1" t="str">
        <f>"سعيد"</f>
        <v>سعيد</v>
      </c>
      <c r="C402" s="1" t="str">
        <f>"داروئي"</f>
        <v>داروئي</v>
      </c>
      <c r="D402" s="1" t="str">
        <f t="shared" si="41"/>
        <v>قراردادي بهره بردار</v>
      </c>
      <c r="E402" s="1" t="str">
        <f t="shared" si="43"/>
        <v>پروژه بهره برداري نيروگاه بوشهر</v>
      </c>
      <c r="F402" s="1">
        <v>19688069</v>
      </c>
      <c r="G402" s="1">
        <v>11595725</v>
      </c>
      <c r="H402" s="1">
        <v>0</v>
      </c>
      <c r="I402" s="1">
        <v>17271831</v>
      </c>
      <c r="J402" s="1">
        <v>0</v>
      </c>
      <c r="K402" s="1">
        <v>4620000</v>
      </c>
      <c r="L402" s="1">
        <v>0</v>
      </c>
      <c r="M402" s="1">
        <v>1000000</v>
      </c>
      <c r="N402" s="1">
        <v>3989889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12291199</v>
      </c>
      <c r="W402" s="1">
        <v>4000000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3134912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9355297</v>
      </c>
      <c r="AM402" s="1">
        <v>0</v>
      </c>
      <c r="AN402" s="1">
        <v>0</v>
      </c>
      <c r="AO402" s="1">
        <v>86946922</v>
      </c>
      <c r="AP402" s="1">
        <v>38232017</v>
      </c>
      <c r="AQ402" s="1">
        <v>48714905</v>
      </c>
      <c r="AR402" s="1">
        <v>17389384</v>
      </c>
      <c r="AS402" s="1">
        <v>2608408</v>
      </c>
      <c r="AT402" s="3">
        <f t="shared" si="42"/>
        <v>106944714</v>
      </c>
    </row>
    <row r="403" spans="1:46" x14ac:dyDescent="0.2">
      <c r="A403" s="1" t="str">
        <f>"00469"</f>
        <v>00469</v>
      </c>
      <c r="B403" s="1" t="str">
        <f>"سعيد"</f>
        <v>سعيد</v>
      </c>
      <c r="C403" s="1" t="str">
        <f>"رستمي خليل اللهي"</f>
        <v>رستمي خليل اللهي</v>
      </c>
      <c r="D403" s="1" t="str">
        <f t="shared" si="41"/>
        <v>قراردادي بهره بردار</v>
      </c>
      <c r="E403" s="1" t="str">
        <f t="shared" si="43"/>
        <v>پروژه بهره برداري نيروگاه بوشهر</v>
      </c>
      <c r="F403" s="1">
        <v>16619602</v>
      </c>
      <c r="G403" s="1">
        <v>2904123</v>
      </c>
      <c r="H403" s="1">
        <v>0</v>
      </c>
      <c r="I403" s="1">
        <v>13407996</v>
      </c>
      <c r="J403" s="1">
        <v>0</v>
      </c>
      <c r="K403" s="1">
        <v>4620000</v>
      </c>
      <c r="L403" s="1">
        <v>0</v>
      </c>
      <c r="M403" s="1">
        <v>1000000</v>
      </c>
      <c r="N403" s="1">
        <v>3193675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10993940</v>
      </c>
      <c r="W403" s="1">
        <v>4000000</v>
      </c>
      <c r="X403" s="1">
        <v>2412523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2509316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12069151</v>
      </c>
      <c r="AM403" s="1">
        <v>0</v>
      </c>
      <c r="AN403" s="1">
        <v>0</v>
      </c>
      <c r="AO403" s="1">
        <v>73730326</v>
      </c>
      <c r="AP403" s="1">
        <v>38001188</v>
      </c>
      <c r="AQ403" s="1">
        <v>35729138</v>
      </c>
      <c r="AR403" s="1">
        <v>14746065</v>
      </c>
      <c r="AS403" s="1">
        <v>2211910</v>
      </c>
      <c r="AT403" s="3">
        <f t="shared" si="42"/>
        <v>90688301</v>
      </c>
    </row>
    <row r="404" spans="1:46" x14ac:dyDescent="0.2">
      <c r="A404" s="1" t="str">
        <f>"00470"</f>
        <v>00470</v>
      </c>
      <c r="B404" s="1" t="str">
        <f>"غلامحسين"</f>
        <v>غلامحسين</v>
      </c>
      <c r="C404" s="1" t="str">
        <f>"رضازاده"</f>
        <v>رضازاده</v>
      </c>
      <c r="D404" s="1" t="str">
        <f t="shared" si="41"/>
        <v>قراردادي بهره بردار</v>
      </c>
      <c r="E404" s="1" t="str">
        <f t="shared" si="43"/>
        <v>پروژه بهره برداري نيروگاه بوشهر</v>
      </c>
      <c r="F404" s="1">
        <v>17408133</v>
      </c>
      <c r="G404" s="1">
        <v>4495403</v>
      </c>
      <c r="H404" s="1">
        <v>0</v>
      </c>
      <c r="I404" s="1">
        <v>14731346</v>
      </c>
      <c r="J404" s="1">
        <v>0</v>
      </c>
      <c r="K404" s="1">
        <v>3465000</v>
      </c>
      <c r="L404" s="1">
        <v>0</v>
      </c>
      <c r="M404" s="1">
        <v>1000000</v>
      </c>
      <c r="N404" s="1">
        <v>3469661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11912557</v>
      </c>
      <c r="W404" s="1">
        <v>4000000</v>
      </c>
      <c r="X404" s="1">
        <v>2526987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2726162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13458427</v>
      </c>
      <c r="AM404" s="1">
        <v>0</v>
      </c>
      <c r="AN404" s="1">
        <v>0</v>
      </c>
      <c r="AO404" s="1">
        <v>79193676</v>
      </c>
      <c r="AP404" s="1">
        <v>34139113</v>
      </c>
      <c r="AQ404" s="1">
        <v>45054563</v>
      </c>
      <c r="AR404" s="1">
        <v>15838735</v>
      </c>
      <c r="AS404" s="1">
        <v>2375810</v>
      </c>
      <c r="AT404" s="3">
        <f t="shared" si="42"/>
        <v>97408221</v>
      </c>
    </row>
    <row r="405" spans="1:46" x14ac:dyDescent="0.2">
      <c r="A405" s="1" t="str">
        <f>"00471"</f>
        <v>00471</v>
      </c>
      <c r="B405" s="1" t="str">
        <f>"سالار"</f>
        <v>سالار</v>
      </c>
      <c r="C405" s="1" t="str">
        <f>"رضائي شورباخورلو"</f>
        <v>رضائي شورباخورلو</v>
      </c>
      <c r="D405" s="1" t="str">
        <f t="shared" si="41"/>
        <v>قراردادي بهره بردار</v>
      </c>
      <c r="E405" s="1" t="str">
        <f t="shared" si="43"/>
        <v>پروژه بهره برداري نيروگاه بوشهر</v>
      </c>
      <c r="F405" s="1">
        <v>16783355</v>
      </c>
      <c r="G405" s="1">
        <v>7359714</v>
      </c>
      <c r="H405" s="1">
        <v>0</v>
      </c>
      <c r="I405" s="1">
        <v>15253671</v>
      </c>
      <c r="J405" s="1">
        <v>0</v>
      </c>
      <c r="K405" s="1">
        <v>4620000</v>
      </c>
      <c r="L405" s="1">
        <v>0</v>
      </c>
      <c r="M405" s="1">
        <v>1000000</v>
      </c>
      <c r="N405" s="1">
        <v>3250988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18405469</v>
      </c>
      <c r="W405" s="1">
        <v>4000000</v>
      </c>
      <c r="X405" s="1">
        <v>2436293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2554347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13283942</v>
      </c>
      <c r="AM405" s="1">
        <v>0</v>
      </c>
      <c r="AN405" s="1">
        <v>0</v>
      </c>
      <c r="AO405" s="1">
        <v>88947779</v>
      </c>
      <c r="AP405" s="1">
        <v>35562672</v>
      </c>
      <c r="AQ405" s="1">
        <v>53385107</v>
      </c>
      <c r="AR405" s="1">
        <v>17789556</v>
      </c>
      <c r="AS405" s="1">
        <v>2668433</v>
      </c>
      <c r="AT405" s="3">
        <f t="shared" si="42"/>
        <v>109405768</v>
      </c>
    </row>
    <row r="406" spans="1:46" x14ac:dyDescent="0.2">
      <c r="A406" s="1" t="str">
        <f>"00472"</f>
        <v>00472</v>
      </c>
      <c r="B406" s="1" t="str">
        <f>"حسن"</f>
        <v>حسن</v>
      </c>
      <c r="C406" s="1" t="str">
        <f>"رهبان"</f>
        <v>رهبان</v>
      </c>
      <c r="D406" s="1" t="str">
        <f t="shared" si="41"/>
        <v>قراردادي بهره بردار</v>
      </c>
      <c r="E406" s="1" t="str">
        <f t="shared" si="43"/>
        <v>پروژه بهره برداري نيروگاه بوشهر</v>
      </c>
      <c r="F406" s="1">
        <v>15241563</v>
      </c>
      <c r="G406" s="1">
        <v>13262358</v>
      </c>
      <c r="H406" s="1">
        <v>0</v>
      </c>
      <c r="I406" s="1">
        <v>12295267</v>
      </c>
      <c r="J406" s="1">
        <v>0</v>
      </c>
      <c r="K406" s="1">
        <v>4620000</v>
      </c>
      <c r="L406" s="1">
        <v>0</v>
      </c>
      <c r="M406" s="1">
        <v>1000000</v>
      </c>
      <c r="N406" s="1">
        <v>2711361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19142705</v>
      </c>
      <c r="W406" s="1">
        <v>4000000</v>
      </c>
      <c r="X406" s="1">
        <v>2212485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2130355</v>
      </c>
      <c r="AF406" s="1">
        <v>1835427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11127601</v>
      </c>
      <c r="AM406" s="1">
        <v>0</v>
      </c>
      <c r="AN406" s="1">
        <v>0</v>
      </c>
      <c r="AO406" s="1">
        <v>89579122</v>
      </c>
      <c r="AP406" s="1">
        <v>32760836</v>
      </c>
      <c r="AQ406" s="1">
        <v>56818286</v>
      </c>
      <c r="AR406" s="1">
        <v>17548739</v>
      </c>
      <c r="AS406" s="1">
        <v>2632311</v>
      </c>
      <c r="AT406" s="3">
        <f t="shared" si="42"/>
        <v>109760172</v>
      </c>
    </row>
    <row r="407" spans="1:46" x14ac:dyDescent="0.2">
      <c r="A407" s="1" t="str">
        <f>"00473"</f>
        <v>00473</v>
      </c>
      <c r="B407" s="1" t="str">
        <f>"مجيد"</f>
        <v>مجيد</v>
      </c>
      <c r="C407" s="1" t="str">
        <f>"رياحين"</f>
        <v>رياحين</v>
      </c>
      <c r="D407" s="1" t="str">
        <f t="shared" si="41"/>
        <v>قراردادي بهره بردار</v>
      </c>
      <c r="E407" s="1" t="str">
        <f t="shared" si="43"/>
        <v>پروژه بهره برداري نيروگاه بوشهر</v>
      </c>
      <c r="F407" s="1">
        <v>17062993</v>
      </c>
      <c r="G407" s="1">
        <v>8748497</v>
      </c>
      <c r="H407" s="1">
        <v>0</v>
      </c>
      <c r="I407" s="1">
        <v>14623602</v>
      </c>
      <c r="J407" s="1">
        <v>0</v>
      </c>
      <c r="K407" s="1">
        <v>4620000</v>
      </c>
      <c r="L407" s="1">
        <v>0</v>
      </c>
      <c r="M407" s="1">
        <v>1000000</v>
      </c>
      <c r="N407" s="1">
        <v>3348861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16598456</v>
      </c>
      <c r="W407" s="1">
        <v>4000000</v>
      </c>
      <c r="X407" s="1">
        <v>2476886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2631248</v>
      </c>
      <c r="AF407" s="1">
        <v>1835427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14611898</v>
      </c>
      <c r="AM407" s="1">
        <v>0</v>
      </c>
      <c r="AN407" s="1">
        <v>0</v>
      </c>
      <c r="AO407" s="1">
        <v>91557868</v>
      </c>
      <c r="AP407" s="1">
        <v>39521240</v>
      </c>
      <c r="AQ407" s="1">
        <v>52036628</v>
      </c>
      <c r="AR407" s="1">
        <v>17944488</v>
      </c>
      <c r="AS407" s="1">
        <v>2691673</v>
      </c>
      <c r="AT407" s="3">
        <f t="shared" si="42"/>
        <v>112194029</v>
      </c>
    </row>
    <row r="408" spans="1:46" x14ac:dyDescent="0.2">
      <c r="A408" s="1" t="str">
        <f>"00474"</f>
        <v>00474</v>
      </c>
      <c r="B408" s="1" t="str">
        <f>"سيدمجتبي"</f>
        <v>سيدمجتبي</v>
      </c>
      <c r="C408" s="1" t="str">
        <f>"سادات حسيني گروه"</f>
        <v>سادات حسيني گروه</v>
      </c>
      <c r="D408" s="1" t="str">
        <f t="shared" si="41"/>
        <v>قراردادي بهره بردار</v>
      </c>
      <c r="E408" s="1" t="str">
        <f t="shared" si="43"/>
        <v>پروژه بهره برداري نيروگاه بوشهر</v>
      </c>
      <c r="F408" s="1">
        <v>16921914</v>
      </c>
      <c r="G408" s="1">
        <v>4285825</v>
      </c>
      <c r="H408" s="1">
        <v>0</v>
      </c>
      <c r="I408" s="1">
        <v>13913923</v>
      </c>
      <c r="J408" s="1">
        <v>0</v>
      </c>
      <c r="K408" s="1">
        <v>4620000</v>
      </c>
      <c r="L408" s="1">
        <v>0</v>
      </c>
      <c r="M408" s="1">
        <v>1000000</v>
      </c>
      <c r="N408" s="1">
        <v>3299484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11357188</v>
      </c>
      <c r="W408" s="1">
        <v>4000000</v>
      </c>
      <c r="X408" s="1">
        <v>2456407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2592451</v>
      </c>
      <c r="AF408" s="1">
        <v>1835427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12651304</v>
      </c>
      <c r="AM408" s="1">
        <v>0</v>
      </c>
      <c r="AN408" s="1">
        <v>0</v>
      </c>
      <c r="AO408" s="1">
        <v>78933923</v>
      </c>
      <c r="AP408" s="1">
        <v>16178363</v>
      </c>
      <c r="AQ408" s="1">
        <v>62755560</v>
      </c>
      <c r="AR408" s="1">
        <v>15419699</v>
      </c>
      <c r="AS408" s="1">
        <v>2312955</v>
      </c>
      <c r="AT408" s="3">
        <f t="shared" si="42"/>
        <v>96666577</v>
      </c>
    </row>
    <row r="409" spans="1:46" x14ac:dyDescent="0.2">
      <c r="A409" s="1" t="str">
        <f>"00475"</f>
        <v>00475</v>
      </c>
      <c r="B409" s="1" t="str">
        <f>"عليرضا"</f>
        <v>عليرضا</v>
      </c>
      <c r="C409" s="1" t="str">
        <f>"سترگ"</f>
        <v>سترگ</v>
      </c>
      <c r="D409" s="1" t="str">
        <f t="shared" si="41"/>
        <v>قراردادي بهره بردار</v>
      </c>
      <c r="E409" s="1" t="str">
        <f t="shared" si="43"/>
        <v>پروژه بهره برداري نيروگاه بوشهر</v>
      </c>
      <c r="F409" s="1">
        <v>21431402</v>
      </c>
      <c r="G409" s="1">
        <v>10385876</v>
      </c>
      <c r="H409" s="1">
        <v>0</v>
      </c>
      <c r="I409" s="1">
        <v>17107401</v>
      </c>
      <c r="J409" s="1">
        <v>0</v>
      </c>
      <c r="K409" s="1">
        <v>5500000</v>
      </c>
      <c r="L409" s="1">
        <v>0</v>
      </c>
      <c r="M409" s="1">
        <v>1000000</v>
      </c>
      <c r="N409" s="1">
        <v>3638955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24687421</v>
      </c>
      <c r="W409" s="1">
        <v>4000000</v>
      </c>
      <c r="X409" s="1">
        <v>3111010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2859179</v>
      </c>
      <c r="AF409" s="1">
        <v>1835427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12043808</v>
      </c>
      <c r="AM409" s="1">
        <v>0</v>
      </c>
      <c r="AN409" s="1">
        <v>0</v>
      </c>
      <c r="AO409" s="1">
        <v>107600479</v>
      </c>
      <c r="AP409" s="1">
        <v>19917893</v>
      </c>
      <c r="AQ409" s="1">
        <v>87682586</v>
      </c>
      <c r="AR409" s="1">
        <v>21153010</v>
      </c>
      <c r="AS409" s="1">
        <v>3172952</v>
      </c>
      <c r="AT409" s="3">
        <f t="shared" si="42"/>
        <v>131926441</v>
      </c>
    </row>
    <row r="410" spans="1:46" x14ac:dyDescent="0.2">
      <c r="A410" s="1" t="str">
        <f>"00476"</f>
        <v>00476</v>
      </c>
      <c r="B410" s="1" t="str">
        <f>"ابراهيم"</f>
        <v>ابراهيم</v>
      </c>
      <c r="C410" s="1" t="str">
        <f>"سملي"</f>
        <v>سملي</v>
      </c>
      <c r="D410" s="1" t="str">
        <f t="shared" si="41"/>
        <v>قراردادي بهره بردار</v>
      </c>
      <c r="E410" s="1" t="str">
        <f t="shared" si="43"/>
        <v>پروژه بهره برداري نيروگاه بوشهر</v>
      </c>
      <c r="F410" s="1">
        <v>17017646</v>
      </c>
      <c r="G410" s="1">
        <v>3000799</v>
      </c>
      <c r="H410" s="1">
        <v>0</v>
      </c>
      <c r="I410" s="1">
        <v>13726202</v>
      </c>
      <c r="J410" s="1">
        <v>0</v>
      </c>
      <c r="K410" s="1">
        <v>4620000</v>
      </c>
      <c r="L410" s="1">
        <v>0</v>
      </c>
      <c r="M410" s="1">
        <v>1000000</v>
      </c>
      <c r="N410" s="1">
        <v>3332990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11359920</v>
      </c>
      <c r="W410" s="1">
        <v>4000000</v>
      </c>
      <c r="X410" s="1">
        <v>2143428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2618778</v>
      </c>
      <c r="AF410" s="1">
        <v>1835427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12695340</v>
      </c>
      <c r="AM410" s="1">
        <v>0</v>
      </c>
      <c r="AN410" s="1">
        <v>0</v>
      </c>
      <c r="AO410" s="1">
        <v>77350530</v>
      </c>
      <c r="AP410" s="1">
        <v>12805305</v>
      </c>
      <c r="AQ410" s="1">
        <v>64545225</v>
      </c>
      <c r="AR410" s="1">
        <v>15103021</v>
      </c>
      <c r="AS410" s="1">
        <v>2265453</v>
      </c>
      <c r="AT410" s="3">
        <f t="shared" si="42"/>
        <v>94719004</v>
      </c>
    </row>
    <row r="411" spans="1:46" x14ac:dyDescent="0.2">
      <c r="A411" s="1" t="str">
        <f>"00477"</f>
        <v>00477</v>
      </c>
      <c r="B411" s="1" t="str">
        <f>"احسان"</f>
        <v>احسان</v>
      </c>
      <c r="C411" s="1" t="str">
        <f>"سيفي علمي"</f>
        <v>سيفي علمي</v>
      </c>
      <c r="D411" s="1" t="str">
        <f t="shared" si="41"/>
        <v>قراردادي بهره بردار</v>
      </c>
      <c r="E411" s="1" t="str">
        <f t="shared" si="43"/>
        <v>پروژه بهره برداري نيروگاه بوشهر</v>
      </c>
      <c r="F411" s="1">
        <v>16372714</v>
      </c>
      <c r="G411" s="1">
        <v>17429797</v>
      </c>
      <c r="H411" s="1">
        <v>0</v>
      </c>
      <c r="I411" s="1">
        <v>13000057</v>
      </c>
      <c r="J411" s="1">
        <v>0</v>
      </c>
      <c r="K411" s="1">
        <v>4620000</v>
      </c>
      <c r="L411" s="1">
        <v>0</v>
      </c>
      <c r="M411" s="1">
        <v>1000000</v>
      </c>
      <c r="N411" s="1">
        <v>3107263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16117115</v>
      </c>
      <c r="W411" s="1">
        <v>4000000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2441422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6404480</v>
      </c>
      <c r="AM411" s="1">
        <v>0</v>
      </c>
      <c r="AN411" s="1">
        <v>0</v>
      </c>
      <c r="AO411" s="1">
        <v>84492848</v>
      </c>
      <c r="AP411" s="1">
        <v>28969140</v>
      </c>
      <c r="AQ411" s="1">
        <v>55523708</v>
      </c>
      <c r="AR411" s="1">
        <v>16898570</v>
      </c>
      <c r="AS411" s="1">
        <v>2534785</v>
      </c>
      <c r="AT411" s="3">
        <f t="shared" si="42"/>
        <v>103926203</v>
      </c>
    </row>
    <row r="412" spans="1:46" x14ac:dyDescent="0.2">
      <c r="A412" s="1" t="str">
        <f>"00478"</f>
        <v>00478</v>
      </c>
      <c r="B412" s="1" t="str">
        <f>"حامد"</f>
        <v>حامد</v>
      </c>
      <c r="C412" s="1" t="str">
        <f>"شاد"</f>
        <v>شاد</v>
      </c>
      <c r="D412" s="1" t="str">
        <f t="shared" si="41"/>
        <v>قراردادي بهره بردار</v>
      </c>
      <c r="E412" s="1" t="str">
        <f t="shared" si="43"/>
        <v>پروژه بهره برداري نيروگاه بوشهر</v>
      </c>
      <c r="F412" s="1">
        <v>17062993</v>
      </c>
      <c r="G412" s="1">
        <v>9753811</v>
      </c>
      <c r="H412" s="1">
        <v>0</v>
      </c>
      <c r="I412" s="1">
        <v>14805101</v>
      </c>
      <c r="J412" s="1">
        <v>0</v>
      </c>
      <c r="K412" s="1">
        <v>4620000</v>
      </c>
      <c r="L412" s="1">
        <v>0</v>
      </c>
      <c r="M412" s="1">
        <v>1000000</v>
      </c>
      <c r="N412" s="1">
        <v>3348861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17632109</v>
      </c>
      <c r="W412" s="1">
        <v>4000000</v>
      </c>
      <c r="X412" s="1">
        <v>2476886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2631248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13632407</v>
      </c>
      <c r="AM412" s="1">
        <v>0</v>
      </c>
      <c r="AN412" s="1">
        <v>0</v>
      </c>
      <c r="AO412" s="1">
        <v>90963416</v>
      </c>
      <c r="AP412" s="1">
        <v>15383630</v>
      </c>
      <c r="AQ412" s="1">
        <v>75579786</v>
      </c>
      <c r="AR412" s="1">
        <v>18192683</v>
      </c>
      <c r="AS412" s="1">
        <v>2728902</v>
      </c>
      <c r="AT412" s="3">
        <f t="shared" si="42"/>
        <v>111885001</v>
      </c>
    </row>
    <row r="413" spans="1:46" x14ac:dyDescent="0.2">
      <c r="A413" s="1" t="str">
        <f>"00479"</f>
        <v>00479</v>
      </c>
      <c r="B413" s="1" t="str">
        <f>"صابر"</f>
        <v>صابر</v>
      </c>
      <c r="C413" s="1" t="str">
        <f>"شباني"</f>
        <v>شباني</v>
      </c>
      <c r="D413" s="1" t="str">
        <f t="shared" si="41"/>
        <v>قراردادي بهره بردار</v>
      </c>
      <c r="E413" s="1" t="str">
        <f t="shared" si="43"/>
        <v>پروژه بهره برداري نيروگاه بوشهر</v>
      </c>
      <c r="F413" s="1">
        <v>16659910</v>
      </c>
      <c r="G413" s="1">
        <v>3900280</v>
      </c>
      <c r="H413" s="1">
        <v>0</v>
      </c>
      <c r="I413" s="1">
        <v>13944702</v>
      </c>
      <c r="J413" s="1">
        <v>0</v>
      </c>
      <c r="K413" s="1">
        <v>0</v>
      </c>
      <c r="L413" s="1">
        <v>0</v>
      </c>
      <c r="M413" s="1">
        <v>1000000</v>
      </c>
      <c r="N413" s="1">
        <v>3207782</v>
      </c>
      <c r="O413" s="1">
        <v>0</v>
      </c>
      <c r="P413" s="1">
        <v>0</v>
      </c>
      <c r="Q413" s="1">
        <v>0</v>
      </c>
      <c r="R413" s="1">
        <v>173716</v>
      </c>
      <c r="S413" s="1">
        <v>0</v>
      </c>
      <c r="T413" s="1">
        <v>0</v>
      </c>
      <c r="U413" s="1">
        <v>0</v>
      </c>
      <c r="V413" s="1">
        <v>11483908</v>
      </c>
      <c r="W413" s="1">
        <v>4000000</v>
      </c>
      <c r="X413" s="1">
        <v>2418374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2520400</v>
      </c>
      <c r="AF413" s="1">
        <v>1835427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13597238</v>
      </c>
      <c r="AM413" s="1">
        <v>0</v>
      </c>
      <c r="AN413" s="1">
        <v>0</v>
      </c>
      <c r="AO413" s="1">
        <v>74741737</v>
      </c>
      <c r="AP413" s="1">
        <v>15583692</v>
      </c>
      <c r="AQ413" s="1">
        <v>59158045</v>
      </c>
      <c r="AR413" s="1">
        <v>14546519</v>
      </c>
      <c r="AS413" s="1">
        <v>2181978</v>
      </c>
      <c r="AT413" s="3">
        <f t="shared" si="42"/>
        <v>91470234</v>
      </c>
    </row>
    <row r="414" spans="1:46" x14ac:dyDescent="0.2">
      <c r="A414" s="1" t="str">
        <f>"00480"</f>
        <v>00480</v>
      </c>
      <c r="B414" s="1" t="str">
        <f>"عليرضا"</f>
        <v>عليرضا</v>
      </c>
      <c r="C414" s="1" t="str">
        <f>"شريفي راد"</f>
        <v>شريفي راد</v>
      </c>
      <c r="D414" s="1" t="str">
        <f t="shared" si="41"/>
        <v>قراردادي بهره بردار</v>
      </c>
      <c r="E414" s="1" t="str">
        <f t="shared" si="43"/>
        <v>پروژه بهره برداري نيروگاه بوشهر</v>
      </c>
      <c r="F414" s="1">
        <v>23587894</v>
      </c>
      <c r="G414" s="1">
        <v>13387576</v>
      </c>
      <c r="H414" s="1">
        <v>0</v>
      </c>
      <c r="I414" s="1">
        <v>18531967</v>
      </c>
      <c r="J414" s="1">
        <v>0</v>
      </c>
      <c r="K414" s="1">
        <v>5500000</v>
      </c>
      <c r="L414" s="1">
        <v>0</v>
      </c>
      <c r="M414" s="1">
        <v>1000000</v>
      </c>
      <c r="N414" s="1">
        <v>3957264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19570486</v>
      </c>
      <c r="W414" s="1">
        <v>4000000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3109279</v>
      </c>
      <c r="AF414" s="1">
        <v>3670854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7131540</v>
      </c>
      <c r="AM414" s="1">
        <v>0</v>
      </c>
      <c r="AN414" s="1">
        <v>0</v>
      </c>
      <c r="AO414" s="1">
        <v>103446860</v>
      </c>
      <c r="AP414" s="1">
        <v>17842101</v>
      </c>
      <c r="AQ414" s="1">
        <v>85604759</v>
      </c>
      <c r="AR414" s="1">
        <v>19955201</v>
      </c>
      <c r="AS414" s="1">
        <v>2993280</v>
      </c>
      <c r="AT414" s="3">
        <f t="shared" si="42"/>
        <v>126395341</v>
      </c>
    </row>
    <row r="415" spans="1:46" x14ac:dyDescent="0.2">
      <c r="A415" s="1" t="str">
        <f>"00481"</f>
        <v>00481</v>
      </c>
      <c r="B415" s="1" t="str">
        <f>"صادق"</f>
        <v>صادق</v>
      </c>
      <c r="C415" s="1" t="str">
        <f>"شهابي"</f>
        <v>شهابي</v>
      </c>
      <c r="D415" s="1" t="str">
        <f t="shared" si="41"/>
        <v>قراردادي بهره بردار</v>
      </c>
      <c r="E415" s="1" t="str">
        <f t="shared" si="43"/>
        <v>پروژه بهره برداري نيروگاه بوشهر</v>
      </c>
      <c r="F415" s="1">
        <v>17569366</v>
      </c>
      <c r="G415" s="1">
        <v>4323645</v>
      </c>
      <c r="H415" s="1">
        <v>0</v>
      </c>
      <c r="I415" s="1">
        <v>13642701</v>
      </c>
      <c r="J415" s="1">
        <v>0</v>
      </c>
      <c r="K415" s="1">
        <v>4620000</v>
      </c>
      <c r="L415" s="1">
        <v>0</v>
      </c>
      <c r="M415" s="1">
        <v>1000000</v>
      </c>
      <c r="N415" s="1">
        <v>3248342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11457408</v>
      </c>
      <c r="W415" s="1">
        <v>4000000</v>
      </c>
      <c r="X415" s="1">
        <v>2550392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2552269</v>
      </c>
      <c r="AF415" s="1">
        <v>1835427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12802137</v>
      </c>
      <c r="AM415" s="1">
        <v>0</v>
      </c>
      <c r="AN415" s="1">
        <v>0</v>
      </c>
      <c r="AO415" s="1">
        <v>79601687</v>
      </c>
      <c r="AP415" s="1">
        <v>32752156</v>
      </c>
      <c r="AQ415" s="1">
        <v>46849531</v>
      </c>
      <c r="AR415" s="1">
        <v>15553252</v>
      </c>
      <c r="AS415" s="1">
        <v>2332988</v>
      </c>
      <c r="AT415" s="3">
        <f t="shared" si="42"/>
        <v>97487927</v>
      </c>
    </row>
    <row r="416" spans="1:46" x14ac:dyDescent="0.2">
      <c r="A416" s="1" t="str">
        <f>"00482"</f>
        <v>00482</v>
      </c>
      <c r="B416" s="1" t="str">
        <f>"مهدي"</f>
        <v>مهدي</v>
      </c>
      <c r="C416" s="1" t="str">
        <f>"صداقت"</f>
        <v>صداقت</v>
      </c>
      <c r="D416" s="1" t="str">
        <f t="shared" ref="D416:D444" si="44">"قراردادي بهره بردار"</f>
        <v>قراردادي بهره بردار</v>
      </c>
      <c r="E416" s="1" t="str">
        <f t="shared" si="43"/>
        <v>پروژه بهره برداري نيروگاه بوشهر</v>
      </c>
      <c r="F416" s="1">
        <v>23058848</v>
      </c>
      <c r="G416" s="1">
        <v>12168247</v>
      </c>
      <c r="H416" s="1">
        <v>0</v>
      </c>
      <c r="I416" s="1">
        <v>17495511</v>
      </c>
      <c r="J416" s="1">
        <v>0</v>
      </c>
      <c r="K416" s="1">
        <v>5500000</v>
      </c>
      <c r="L416" s="1">
        <v>0</v>
      </c>
      <c r="M416" s="1">
        <v>1000000</v>
      </c>
      <c r="N416" s="1">
        <v>3772098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22360827</v>
      </c>
      <c r="W416" s="1">
        <v>4000000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2963791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5323463</v>
      </c>
      <c r="AM416" s="1">
        <v>0</v>
      </c>
      <c r="AN416" s="1">
        <v>0</v>
      </c>
      <c r="AO416" s="1">
        <v>97642785</v>
      </c>
      <c r="AP416" s="1">
        <v>35309372</v>
      </c>
      <c r="AQ416" s="1">
        <v>62333413</v>
      </c>
      <c r="AR416" s="1">
        <v>19528557</v>
      </c>
      <c r="AS416" s="1">
        <v>2929284</v>
      </c>
      <c r="AT416" s="3">
        <f t="shared" si="42"/>
        <v>120100626</v>
      </c>
    </row>
    <row r="417" spans="1:46" x14ac:dyDescent="0.2">
      <c r="A417" s="1" t="str">
        <f>"00483"</f>
        <v>00483</v>
      </c>
      <c r="B417" s="1" t="str">
        <f>"رضا"</f>
        <v>رضا</v>
      </c>
      <c r="C417" s="1" t="str">
        <f>"عابدي"</f>
        <v>عابدي</v>
      </c>
      <c r="D417" s="1" t="str">
        <f t="shared" si="44"/>
        <v>قراردادي بهره بردار</v>
      </c>
      <c r="E417" s="1" t="str">
        <f t="shared" si="43"/>
        <v>پروژه بهره برداري نيروگاه بوشهر</v>
      </c>
      <c r="F417" s="1">
        <v>21877312</v>
      </c>
      <c r="G417" s="1">
        <v>4387489</v>
      </c>
      <c r="H417" s="1">
        <v>0</v>
      </c>
      <c r="I417" s="1">
        <v>18586513</v>
      </c>
      <c r="J417" s="1">
        <v>0</v>
      </c>
      <c r="K417" s="1">
        <v>5500000</v>
      </c>
      <c r="L417" s="1">
        <v>0</v>
      </c>
      <c r="M417" s="1">
        <v>1000000</v>
      </c>
      <c r="N417" s="1">
        <v>3795023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16609415</v>
      </c>
      <c r="W417" s="1">
        <v>4000000</v>
      </c>
      <c r="X417" s="1">
        <v>3175739</v>
      </c>
      <c r="Y417" s="1">
        <v>0</v>
      </c>
      <c r="Z417" s="1">
        <v>0</v>
      </c>
      <c r="AA417" s="1">
        <v>0</v>
      </c>
      <c r="AB417" s="1">
        <v>0</v>
      </c>
      <c r="AC417" s="1">
        <v>4459102</v>
      </c>
      <c r="AD417" s="1">
        <v>0</v>
      </c>
      <c r="AE417" s="1">
        <v>2981804</v>
      </c>
      <c r="AF417" s="1">
        <v>1835427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20515094</v>
      </c>
      <c r="AM417" s="1">
        <v>0</v>
      </c>
      <c r="AN417" s="1">
        <v>0</v>
      </c>
      <c r="AO417" s="1">
        <v>108722918</v>
      </c>
      <c r="AP417" s="1">
        <v>47635456</v>
      </c>
      <c r="AQ417" s="1">
        <v>61087462</v>
      </c>
      <c r="AR417" s="1">
        <v>21377498</v>
      </c>
      <c r="AS417" s="1">
        <v>3206625</v>
      </c>
      <c r="AT417" s="3">
        <f t="shared" si="42"/>
        <v>133307041</v>
      </c>
    </row>
    <row r="418" spans="1:46" x14ac:dyDescent="0.2">
      <c r="A418" s="1" t="str">
        <f>"00484"</f>
        <v>00484</v>
      </c>
      <c r="B418" s="1" t="str">
        <f>"وحيد"</f>
        <v>وحيد</v>
      </c>
      <c r="C418" s="1" t="str">
        <f>"عدالت"</f>
        <v>عدالت</v>
      </c>
      <c r="D418" s="1" t="str">
        <f t="shared" si="44"/>
        <v>قراردادي بهره بردار</v>
      </c>
      <c r="E418" s="1" t="str">
        <f>"پروژه تعميرات نيروگاه بوشهر"</f>
        <v>پروژه تعميرات نيروگاه بوشهر</v>
      </c>
      <c r="F418" s="1">
        <v>17478672</v>
      </c>
      <c r="G418" s="1">
        <v>30811308</v>
      </c>
      <c r="H418" s="1">
        <v>0</v>
      </c>
      <c r="I418" s="1">
        <v>14697683</v>
      </c>
      <c r="J418" s="1">
        <v>0</v>
      </c>
      <c r="K418" s="1">
        <v>3465000</v>
      </c>
      <c r="L418" s="1">
        <v>0</v>
      </c>
      <c r="M418" s="1">
        <v>1000000</v>
      </c>
      <c r="N418" s="1">
        <v>3216599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16444688</v>
      </c>
      <c r="W418" s="1">
        <v>4000000</v>
      </c>
      <c r="X418" s="1">
        <v>2537227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2527329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7133656</v>
      </c>
      <c r="AM418" s="1">
        <v>0</v>
      </c>
      <c r="AN418" s="1">
        <v>0</v>
      </c>
      <c r="AO418" s="1">
        <v>103312162</v>
      </c>
      <c r="AP418" s="1">
        <v>38005890</v>
      </c>
      <c r="AQ418" s="1">
        <v>65306272</v>
      </c>
      <c r="AR418" s="1">
        <v>20662432</v>
      </c>
      <c r="AS418" s="1">
        <v>3099365</v>
      </c>
      <c r="AT418" s="3">
        <f t="shared" si="42"/>
        <v>127073959</v>
      </c>
    </row>
    <row r="419" spans="1:46" x14ac:dyDescent="0.2">
      <c r="A419" s="1" t="str">
        <f>"00485"</f>
        <v>00485</v>
      </c>
      <c r="B419" s="1" t="str">
        <f>"مرتضي"</f>
        <v>مرتضي</v>
      </c>
      <c r="C419" s="1" t="str">
        <f>"غلامي"</f>
        <v>غلامي</v>
      </c>
      <c r="D419" s="1" t="str">
        <f t="shared" si="44"/>
        <v>قراردادي بهره بردار</v>
      </c>
      <c r="E419" s="1" t="str">
        <f t="shared" ref="E419:E444" si="45">"پروژه بهره برداري نيروگاه بوشهر"</f>
        <v>پروژه بهره برداري نيروگاه بوشهر</v>
      </c>
      <c r="F419" s="1">
        <v>17969929</v>
      </c>
      <c r="G419" s="1">
        <v>4139304</v>
      </c>
      <c r="H419" s="1">
        <v>0</v>
      </c>
      <c r="I419" s="1">
        <v>14905376</v>
      </c>
      <c r="J419" s="1">
        <v>0</v>
      </c>
      <c r="K419" s="1">
        <v>3465000</v>
      </c>
      <c r="L419" s="1">
        <v>0</v>
      </c>
      <c r="M419" s="1">
        <v>1000000</v>
      </c>
      <c r="N419" s="1">
        <v>3388540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12187682</v>
      </c>
      <c r="W419" s="1">
        <v>4000000</v>
      </c>
      <c r="X419" s="1">
        <v>2608538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2662424</v>
      </c>
      <c r="AF419" s="1">
        <v>5506281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14063655</v>
      </c>
      <c r="AM419" s="1">
        <v>0</v>
      </c>
      <c r="AN419" s="1">
        <v>0</v>
      </c>
      <c r="AO419" s="1">
        <v>85896729</v>
      </c>
      <c r="AP419" s="1">
        <v>42777359</v>
      </c>
      <c r="AQ419" s="1">
        <v>43119370</v>
      </c>
      <c r="AR419" s="1">
        <v>16078090</v>
      </c>
      <c r="AS419" s="1">
        <v>2411713</v>
      </c>
      <c r="AT419" s="3">
        <f t="shared" si="42"/>
        <v>104386532</v>
      </c>
    </row>
    <row r="420" spans="1:46" x14ac:dyDescent="0.2">
      <c r="A420" s="1" t="str">
        <f>"00486"</f>
        <v>00486</v>
      </c>
      <c r="B420" s="1" t="str">
        <f>"نويد"</f>
        <v>نويد</v>
      </c>
      <c r="C420" s="1" t="str">
        <f>"فلاح"</f>
        <v>فلاح</v>
      </c>
      <c r="D420" s="1" t="str">
        <f t="shared" si="44"/>
        <v>قراردادي بهره بردار</v>
      </c>
      <c r="E420" s="1" t="str">
        <f t="shared" si="45"/>
        <v>پروژه بهره برداري نيروگاه بوشهر</v>
      </c>
      <c r="F420" s="1">
        <v>17871678</v>
      </c>
      <c r="G420" s="1">
        <v>8996724</v>
      </c>
      <c r="H420" s="1">
        <v>0</v>
      </c>
      <c r="I420" s="1">
        <v>15044887</v>
      </c>
      <c r="J420" s="1">
        <v>0</v>
      </c>
      <c r="K420" s="1">
        <v>3465000</v>
      </c>
      <c r="L420" s="1">
        <v>0</v>
      </c>
      <c r="M420" s="1">
        <v>1000000</v>
      </c>
      <c r="N420" s="1">
        <v>3354151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17069414</v>
      </c>
      <c r="W420" s="1">
        <v>4000000</v>
      </c>
      <c r="X420" s="1">
        <v>2594276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2635405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14855813</v>
      </c>
      <c r="AM420" s="1">
        <v>0</v>
      </c>
      <c r="AN420" s="1">
        <v>0</v>
      </c>
      <c r="AO420" s="1">
        <v>90887348</v>
      </c>
      <c r="AP420" s="1">
        <v>40086821</v>
      </c>
      <c r="AQ420" s="1">
        <v>50800527</v>
      </c>
      <c r="AR420" s="1">
        <v>18177470</v>
      </c>
      <c r="AS420" s="1">
        <v>2726620</v>
      </c>
      <c r="AT420" s="3">
        <f t="shared" si="42"/>
        <v>111791438</v>
      </c>
    </row>
    <row r="421" spans="1:46" x14ac:dyDescent="0.2">
      <c r="A421" s="1" t="str">
        <f>"00487"</f>
        <v>00487</v>
      </c>
      <c r="B421" s="1" t="str">
        <f>"علي"</f>
        <v>علي</v>
      </c>
      <c r="C421" s="1" t="str">
        <f>"فولادوند"</f>
        <v>فولادوند</v>
      </c>
      <c r="D421" s="1" t="str">
        <f t="shared" si="44"/>
        <v>قراردادي بهره بردار</v>
      </c>
      <c r="E421" s="1" t="str">
        <f t="shared" si="45"/>
        <v>پروژه بهره برداري نيروگاه بوشهر</v>
      </c>
      <c r="F421" s="1">
        <v>18947405</v>
      </c>
      <c r="G421" s="1">
        <v>9278125</v>
      </c>
      <c r="H421" s="1">
        <v>0</v>
      </c>
      <c r="I421" s="1">
        <v>17605088</v>
      </c>
      <c r="J421" s="1">
        <v>0</v>
      </c>
      <c r="K421" s="1">
        <v>4620000</v>
      </c>
      <c r="L421" s="1">
        <v>0</v>
      </c>
      <c r="M421" s="1">
        <v>1000000</v>
      </c>
      <c r="N421" s="1">
        <v>3730656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18638805</v>
      </c>
      <c r="W421" s="1">
        <v>4000000</v>
      </c>
      <c r="X421" s="1">
        <v>2750430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2931230</v>
      </c>
      <c r="AF421" s="1">
        <v>1835427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15490517</v>
      </c>
      <c r="AM421" s="1">
        <v>0</v>
      </c>
      <c r="AN421" s="1">
        <v>0</v>
      </c>
      <c r="AO421" s="1">
        <v>100827683</v>
      </c>
      <c r="AP421" s="1">
        <v>32644200</v>
      </c>
      <c r="AQ421" s="1">
        <v>68183483</v>
      </c>
      <c r="AR421" s="1">
        <v>19798451</v>
      </c>
      <c r="AS421" s="1">
        <v>2969768</v>
      </c>
      <c r="AT421" s="3">
        <f t="shared" si="42"/>
        <v>123595902</v>
      </c>
    </row>
    <row r="422" spans="1:46" x14ac:dyDescent="0.2">
      <c r="A422" s="1" t="str">
        <f>"00488"</f>
        <v>00488</v>
      </c>
      <c r="B422" s="1" t="str">
        <f>"حميدرضا"</f>
        <v>حميدرضا</v>
      </c>
      <c r="C422" s="1" t="str">
        <f>"جفره اي"</f>
        <v>جفره اي</v>
      </c>
      <c r="D422" s="1" t="str">
        <f t="shared" si="44"/>
        <v>قراردادي بهره بردار</v>
      </c>
      <c r="E422" s="1" t="str">
        <f t="shared" si="45"/>
        <v>پروژه بهره برداري نيروگاه بوشهر</v>
      </c>
      <c r="F422" s="1">
        <v>16511274</v>
      </c>
      <c r="G422" s="1">
        <v>10254682</v>
      </c>
      <c r="H422" s="1">
        <v>0</v>
      </c>
      <c r="I422" s="1">
        <v>13765664</v>
      </c>
      <c r="J422" s="1">
        <v>0</v>
      </c>
      <c r="K422" s="1">
        <v>4620000</v>
      </c>
      <c r="L422" s="1">
        <v>0</v>
      </c>
      <c r="M422" s="1">
        <v>1000000</v>
      </c>
      <c r="N422" s="1">
        <v>3155760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16852310</v>
      </c>
      <c r="W422" s="1">
        <v>4000000</v>
      </c>
      <c r="X422" s="1">
        <v>2396798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2479526</v>
      </c>
      <c r="AF422" s="1">
        <v>1835427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13291600</v>
      </c>
      <c r="AM422" s="1">
        <v>0</v>
      </c>
      <c r="AN422" s="1">
        <v>0</v>
      </c>
      <c r="AO422" s="1">
        <v>90163041</v>
      </c>
      <c r="AP422" s="1">
        <v>13168144</v>
      </c>
      <c r="AQ422" s="1">
        <v>76994897</v>
      </c>
      <c r="AR422" s="1">
        <v>17665523</v>
      </c>
      <c r="AS422" s="1">
        <v>2649828</v>
      </c>
      <c r="AT422" s="3">
        <f t="shared" si="42"/>
        <v>110478392</v>
      </c>
    </row>
    <row r="423" spans="1:46" x14ac:dyDescent="0.2">
      <c r="A423" s="1" t="str">
        <f>"00489"</f>
        <v>00489</v>
      </c>
      <c r="B423" s="1" t="str">
        <f>"ايوب"</f>
        <v>ايوب</v>
      </c>
      <c r="C423" s="1" t="str">
        <f>"قاسمي"</f>
        <v>قاسمي</v>
      </c>
      <c r="D423" s="1" t="str">
        <f t="shared" si="44"/>
        <v>قراردادي بهره بردار</v>
      </c>
      <c r="E423" s="1" t="str">
        <f t="shared" si="45"/>
        <v>پروژه بهره برداري نيروگاه بوشهر</v>
      </c>
      <c r="F423" s="1">
        <v>16669988</v>
      </c>
      <c r="G423" s="1">
        <v>7770406</v>
      </c>
      <c r="H423" s="1">
        <v>0</v>
      </c>
      <c r="I423" s="1">
        <v>13658722</v>
      </c>
      <c r="J423" s="1">
        <v>0</v>
      </c>
      <c r="K423" s="1">
        <v>4620000</v>
      </c>
      <c r="L423" s="1">
        <v>0</v>
      </c>
      <c r="M423" s="1">
        <v>1000000</v>
      </c>
      <c r="N423" s="1">
        <v>3211310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11439514</v>
      </c>
      <c r="W423" s="1">
        <v>4000000</v>
      </c>
      <c r="X423" s="1">
        <v>2419837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2523172</v>
      </c>
      <c r="AF423" s="1">
        <v>1835427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13673824</v>
      </c>
      <c r="AM423" s="1">
        <v>0</v>
      </c>
      <c r="AN423" s="1">
        <v>0</v>
      </c>
      <c r="AO423" s="1">
        <v>82822200</v>
      </c>
      <c r="AP423" s="1">
        <v>38781458</v>
      </c>
      <c r="AQ423" s="1">
        <v>44040742</v>
      </c>
      <c r="AR423" s="1">
        <v>16197355</v>
      </c>
      <c r="AS423" s="1">
        <v>2429603</v>
      </c>
      <c r="AT423" s="3">
        <f t="shared" si="42"/>
        <v>101449158</v>
      </c>
    </row>
    <row r="424" spans="1:46" x14ac:dyDescent="0.2">
      <c r="A424" s="1" t="str">
        <f>"00490"</f>
        <v>00490</v>
      </c>
      <c r="B424" s="1" t="str">
        <f>"محمدرضا"</f>
        <v>محمدرضا</v>
      </c>
      <c r="C424" s="1" t="str">
        <f>"قاضي زاده اسکويي"</f>
        <v>قاضي زاده اسکويي</v>
      </c>
      <c r="D424" s="1" t="str">
        <f t="shared" si="44"/>
        <v>قراردادي بهره بردار</v>
      </c>
      <c r="E424" s="1" t="str">
        <f t="shared" si="45"/>
        <v>پروژه بهره برداري نيروگاه بوشهر</v>
      </c>
      <c r="F424" s="1">
        <v>19194293</v>
      </c>
      <c r="G424" s="1">
        <v>3884565</v>
      </c>
      <c r="H424" s="1">
        <v>0</v>
      </c>
      <c r="I424" s="1">
        <v>17888595</v>
      </c>
      <c r="J424" s="1">
        <v>0</v>
      </c>
      <c r="K424" s="1">
        <v>4620000</v>
      </c>
      <c r="L424" s="1">
        <v>0</v>
      </c>
      <c r="M424" s="1">
        <v>1000000</v>
      </c>
      <c r="N424" s="1">
        <v>3817067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18951829</v>
      </c>
      <c r="W424" s="1">
        <v>4000000</v>
      </c>
      <c r="X424" s="1">
        <v>2786268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2999124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15791720</v>
      </c>
      <c r="AM424" s="1">
        <v>0</v>
      </c>
      <c r="AN424" s="1">
        <v>0</v>
      </c>
      <c r="AO424" s="1">
        <v>94933461</v>
      </c>
      <c r="AP424" s="1">
        <v>27209646</v>
      </c>
      <c r="AQ424" s="1">
        <v>67723815</v>
      </c>
      <c r="AR424" s="1">
        <v>18986692</v>
      </c>
      <c r="AS424" s="1">
        <v>2848004</v>
      </c>
      <c r="AT424" s="3">
        <f t="shared" si="42"/>
        <v>116768157</v>
      </c>
    </row>
    <row r="425" spans="1:46" x14ac:dyDescent="0.2">
      <c r="A425" s="1" t="str">
        <f>"00491"</f>
        <v>00491</v>
      </c>
      <c r="B425" s="1" t="str">
        <f>"حميد"</f>
        <v>حميد</v>
      </c>
      <c r="C425" s="1" t="str">
        <f>"قانع"</f>
        <v>قانع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18297434</v>
      </c>
      <c r="G425" s="1">
        <v>18975048</v>
      </c>
      <c r="H425" s="1">
        <v>0</v>
      </c>
      <c r="I425" s="1">
        <v>15075429</v>
      </c>
      <c r="J425" s="1">
        <v>0</v>
      </c>
      <c r="K425" s="1">
        <v>4620000</v>
      </c>
      <c r="L425" s="1">
        <v>0</v>
      </c>
      <c r="M425" s="1">
        <v>1000000</v>
      </c>
      <c r="N425" s="1">
        <v>3503166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21067941</v>
      </c>
      <c r="W425" s="1">
        <v>4000000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2752488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8253168</v>
      </c>
      <c r="AM425" s="1">
        <v>0</v>
      </c>
      <c r="AN425" s="1">
        <v>0</v>
      </c>
      <c r="AO425" s="1">
        <v>97544674</v>
      </c>
      <c r="AP425" s="1">
        <v>39886550</v>
      </c>
      <c r="AQ425" s="1">
        <v>57658124</v>
      </c>
      <c r="AR425" s="1">
        <v>19508935</v>
      </c>
      <c r="AS425" s="1">
        <v>2926340</v>
      </c>
      <c r="AT425" s="3">
        <f t="shared" si="42"/>
        <v>119979949</v>
      </c>
    </row>
    <row r="426" spans="1:46" x14ac:dyDescent="0.2">
      <c r="A426" s="1" t="str">
        <f>"00492"</f>
        <v>00492</v>
      </c>
      <c r="B426" s="1" t="str">
        <f>"حامد"</f>
        <v>حامد</v>
      </c>
      <c r="C426" s="1" t="str">
        <f>"كريم زاده"</f>
        <v>كريم زاده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22444147</v>
      </c>
      <c r="G426" s="1">
        <v>5859043</v>
      </c>
      <c r="H426" s="1">
        <v>0</v>
      </c>
      <c r="I426" s="1">
        <v>19991185</v>
      </c>
      <c r="J426" s="1">
        <v>0</v>
      </c>
      <c r="K426" s="1">
        <v>4125000</v>
      </c>
      <c r="L426" s="1">
        <v>0</v>
      </c>
      <c r="M426" s="1">
        <v>1000000</v>
      </c>
      <c r="N426" s="1">
        <v>3993416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17251249</v>
      </c>
      <c r="W426" s="1">
        <v>4000000</v>
      </c>
      <c r="X426" s="1">
        <v>3258021</v>
      </c>
      <c r="Y426" s="1">
        <v>0</v>
      </c>
      <c r="Z426" s="1">
        <v>0</v>
      </c>
      <c r="AA426" s="1">
        <v>0</v>
      </c>
      <c r="AB426" s="1">
        <v>0</v>
      </c>
      <c r="AC426" s="1">
        <v>4459102</v>
      </c>
      <c r="AD426" s="1">
        <v>0</v>
      </c>
      <c r="AE426" s="1">
        <v>3137684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20979899</v>
      </c>
      <c r="AM426" s="1">
        <v>0</v>
      </c>
      <c r="AN426" s="1">
        <v>0</v>
      </c>
      <c r="AO426" s="1">
        <v>110498746</v>
      </c>
      <c r="AP426" s="1">
        <v>36391095</v>
      </c>
      <c r="AQ426" s="1">
        <v>74107651</v>
      </c>
      <c r="AR426" s="1">
        <v>22099749</v>
      </c>
      <c r="AS426" s="1">
        <v>3314962</v>
      </c>
      <c r="AT426" s="3">
        <f t="shared" si="42"/>
        <v>135913457</v>
      </c>
    </row>
    <row r="427" spans="1:46" x14ac:dyDescent="0.2">
      <c r="A427" s="1" t="str">
        <f>"00493"</f>
        <v>00493</v>
      </c>
      <c r="B427" s="1" t="str">
        <f>"هادي"</f>
        <v>هادي</v>
      </c>
      <c r="C427" s="1" t="str">
        <f>"كسرايي"</f>
        <v>كسرايي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17065512</v>
      </c>
      <c r="G427" s="1">
        <v>9180245</v>
      </c>
      <c r="H427" s="1">
        <v>0</v>
      </c>
      <c r="I427" s="1">
        <v>14010222</v>
      </c>
      <c r="J427" s="1">
        <v>0</v>
      </c>
      <c r="K427" s="1">
        <v>4620000</v>
      </c>
      <c r="L427" s="1">
        <v>0</v>
      </c>
      <c r="M427" s="1">
        <v>1000000</v>
      </c>
      <c r="N427" s="1">
        <v>3349743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19875958</v>
      </c>
      <c r="W427" s="1">
        <v>4000000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2631941</v>
      </c>
      <c r="AF427" s="1">
        <v>1835427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8115213</v>
      </c>
      <c r="AM427" s="1">
        <v>0</v>
      </c>
      <c r="AN427" s="1">
        <v>0</v>
      </c>
      <c r="AO427" s="1">
        <v>85684261</v>
      </c>
      <c r="AP427" s="1">
        <v>31030911</v>
      </c>
      <c r="AQ427" s="1">
        <v>54653350</v>
      </c>
      <c r="AR427" s="1">
        <v>16769767</v>
      </c>
      <c r="AS427" s="1">
        <v>2515465</v>
      </c>
      <c r="AT427" s="3">
        <f t="shared" si="42"/>
        <v>104969493</v>
      </c>
    </row>
    <row r="428" spans="1:46" x14ac:dyDescent="0.2">
      <c r="A428" s="1" t="str">
        <f>"00494"</f>
        <v>00494</v>
      </c>
      <c r="B428" s="1" t="str">
        <f>"علي"</f>
        <v>علي</v>
      </c>
      <c r="C428" s="1" t="str">
        <f>"كريمي"</f>
        <v>كريمي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27349159</v>
      </c>
      <c r="G428" s="1">
        <v>3360925</v>
      </c>
      <c r="H428" s="1">
        <v>0</v>
      </c>
      <c r="I428" s="1">
        <v>23584696</v>
      </c>
      <c r="J428" s="1">
        <v>0</v>
      </c>
      <c r="K428" s="1">
        <v>5500000</v>
      </c>
      <c r="L428" s="1">
        <v>0</v>
      </c>
      <c r="M428" s="1">
        <v>1000000</v>
      </c>
      <c r="N428" s="1">
        <v>4199744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17812510</v>
      </c>
      <c r="W428" s="1">
        <v>4000000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4459102</v>
      </c>
      <c r="AD428" s="1">
        <v>0</v>
      </c>
      <c r="AE428" s="1">
        <v>3299798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14553199</v>
      </c>
      <c r="AM428" s="1">
        <v>0</v>
      </c>
      <c r="AN428" s="1">
        <v>0</v>
      </c>
      <c r="AO428" s="1">
        <v>109119133</v>
      </c>
      <c r="AP428" s="1">
        <v>26059340</v>
      </c>
      <c r="AQ428" s="1">
        <v>83059793</v>
      </c>
      <c r="AR428" s="1">
        <v>21823827</v>
      </c>
      <c r="AS428" s="1">
        <v>3273574</v>
      </c>
      <c r="AT428" s="3">
        <f t="shared" si="42"/>
        <v>134216534</v>
      </c>
    </row>
    <row r="429" spans="1:46" x14ac:dyDescent="0.2">
      <c r="A429" s="1" t="str">
        <f>"00495"</f>
        <v>00495</v>
      </c>
      <c r="B429" s="1" t="str">
        <f>"اميد"</f>
        <v>اميد</v>
      </c>
      <c r="C429" s="1" t="str">
        <f>"لغويان زاده"</f>
        <v>لغويان زاده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20950222</v>
      </c>
      <c r="G429" s="1">
        <v>10382884</v>
      </c>
      <c r="H429" s="1">
        <v>0</v>
      </c>
      <c r="I429" s="1">
        <v>15915185</v>
      </c>
      <c r="J429" s="1">
        <v>0</v>
      </c>
      <c r="K429" s="1">
        <v>5500000</v>
      </c>
      <c r="L429" s="1">
        <v>0</v>
      </c>
      <c r="M429" s="1">
        <v>1000000</v>
      </c>
      <c r="N429" s="1">
        <v>3258924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4777282</v>
      </c>
      <c r="W429" s="1">
        <v>4000000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2560582</v>
      </c>
      <c r="AF429" s="1">
        <v>3670854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5087911</v>
      </c>
      <c r="AM429" s="1">
        <v>0</v>
      </c>
      <c r="AN429" s="1">
        <v>0</v>
      </c>
      <c r="AO429" s="1">
        <v>77103844</v>
      </c>
      <c r="AP429" s="1">
        <v>15794189</v>
      </c>
      <c r="AQ429" s="1">
        <v>61309655</v>
      </c>
      <c r="AR429" s="1">
        <v>14686598</v>
      </c>
      <c r="AS429" s="1">
        <v>2202990</v>
      </c>
      <c r="AT429" s="3">
        <f t="shared" si="42"/>
        <v>93993432</v>
      </c>
    </row>
    <row r="430" spans="1:46" x14ac:dyDescent="0.2">
      <c r="A430" s="1" t="str">
        <f>"00496"</f>
        <v>00496</v>
      </c>
      <c r="B430" s="1" t="str">
        <f>"محمد"</f>
        <v>محمد</v>
      </c>
      <c r="C430" s="1" t="str">
        <f>"مجري ساز پور"</f>
        <v>مجري ساز پور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18078258</v>
      </c>
      <c r="G430" s="1">
        <v>8633873</v>
      </c>
      <c r="H430" s="1">
        <v>0</v>
      </c>
      <c r="I430" s="1">
        <v>15439677</v>
      </c>
      <c r="J430" s="1">
        <v>0</v>
      </c>
      <c r="K430" s="1">
        <v>4620000</v>
      </c>
      <c r="L430" s="1">
        <v>0</v>
      </c>
      <c r="M430" s="1">
        <v>1000000</v>
      </c>
      <c r="N430" s="1">
        <v>3426455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17344567</v>
      </c>
      <c r="W430" s="1">
        <v>4000000</v>
      </c>
      <c r="X430" s="1">
        <v>2624263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2692215</v>
      </c>
      <c r="AF430" s="1">
        <v>1835427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14991954</v>
      </c>
      <c r="AM430" s="1">
        <v>0</v>
      </c>
      <c r="AN430" s="1">
        <v>0</v>
      </c>
      <c r="AO430" s="1">
        <v>94686689</v>
      </c>
      <c r="AP430" s="1">
        <v>15192853</v>
      </c>
      <c r="AQ430" s="1">
        <v>79493836</v>
      </c>
      <c r="AR430" s="1">
        <v>18570252</v>
      </c>
      <c r="AS430" s="1">
        <v>2785538</v>
      </c>
      <c r="AT430" s="3">
        <f t="shared" si="42"/>
        <v>116042479</v>
      </c>
    </row>
    <row r="431" spans="1:46" x14ac:dyDescent="0.2">
      <c r="A431" s="1" t="str">
        <f>"00497"</f>
        <v>00497</v>
      </c>
      <c r="B431" s="1" t="str">
        <f>"احمد"</f>
        <v>احمد</v>
      </c>
      <c r="C431" s="1" t="str">
        <f>"محمدي"</f>
        <v>محمدي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22869903</v>
      </c>
      <c r="G431" s="1">
        <v>12856582</v>
      </c>
      <c r="H431" s="1">
        <v>0</v>
      </c>
      <c r="I431" s="1">
        <v>18871046</v>
      </c>
      <c r="J431" s="1">
        <v>0</v>
      </c>
      <c r="K431" s="1">
        <v>0</v>
      </c>
      <c r="L431" s="1">
        <v>0</v>
      </c>
      <c r="M431" s="1">
        <v>1000000</v>
      </c>
      <c r="N431" s="1">
        <v>4142430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19577353</v>
      </c>
      <c r="W431" s="1">
        <v>4000000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3254766</v>
      </c>
      <c r="AF431" s="1">
        <v>1835427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7199560</v>
      </c>
      <c r="AM431" s="1">
        <v>0</v>
      </c>
      <c r="AN431" s="1">
        <v>0</v>
      </c>
      <c r="AO431" s="1">
        <v>95607067</v>
      </c>
      <c r="AP431" s="1">
        <v>41937081</v>
      </c>
      <c r="AQ431" s="1">
        <v>53669986</v>
      </c>
      <c r="AR431" s="1">
        <v>18754328</v>
      </c>
      <c r="AS431" s="1">
        <v>2813149</v>
      </c>
      <c r="AT431" s="3">
        <f t="shared" si="42"/>
        <v>117174544</v>
      </c>
    </row>
    <row r="432" spans="1:46" x14ac:dyDescent="0.2">
      <c r="A432" s="1" t="str">
        <f>"00498"</f>
        <v>00498</v>
      </c>
      <c r="B432" s="1" t="str">
        <f>"عبدالرحيم"</f>
        <v>عبدالرحيم</v>
      </c>
      <c r="C432" s="1" t="str">
        <f>"محمديان"</f>
        <v>محمديان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17433325</v>
      </c>
      <c r="G432" s="1">
        <v>4495682</v>
      </c>
      <c r="H432" s="1">
        <v>0</v>
      </c>
      <c r="I432" s="1">
        <v>15220338</v>
      </c>
      <c r="J432" s="1">
        <v>0</v>
      </c>
      <c r="K432" s="1">
        <v>4620000</v>
      </c>
      <c r="L432" s="1">
        <v>0</v>
      </c>
      <c r="M432" s="1">
        <v>1000000</v>
      </c>
      <c r="N432" s="1">
        <v>3478478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17059246</v>
      </c>
      <c r="W432" s="1">
        <v>4000000</v>
      </c>
      <c r="X432" s="1">
        <v>2530644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2733089</v>
      </c>
      <c r="AF432" s="1">
        <v>1835427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14864681</v>
      </c>
      <c r="AM432" s="1">
        <v>0</v>
      </c>
      <c r="AN432" s="1">
        <v>0</v>
      </c>
      <c r="AO432" s="1">
        <v>89270910</v>
      </c>
      <c r="AP432" s="1">
        <v>36796851</v>
      </c>
      <c r="AQ432" s="1">
        <v>52474059</v>
      </c>
      <c r="AR432" s="1">
        <v>17487097</v>
      </c>
      <c r="AS432" s="1">
        <v>2623064</v>
      </c>
      <c r="AT432" s="3">
        <f t="shared" si="42"/>
        <v>109381071</v>
      </c>
    </row>
    <row r="433" spans="1:46" x14ac:dyDescent="0.2">
      <c r="A433" s="1" t="str">
        <f>"00499"</f>
        <v>00499</v>
      </c>
      <c r="B433" s="1" t="str">
        <f>"مهدي"</f>
        <v>مهدي</v>
      </c>
      <c r="C433" s="1" t="str">
        <f>"مرشدي"</f>
        <v>مرشدي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17602116</v>
      </c>
      <c r="G433" s="1">
        <v>6834045</v>
      </c>
      <c r="H433" s="1">
        <v>0</v>
      </c>
      <c r="I433" s="1">
        <v>15168485</v>
      </c>
      <c r="J433" s="1">
        <v>0</v>
      </c>
      <c r="K433" s="1">
        <v>4620000</v>
      </c>
      <c r="L433" s="1">
        <v>0</v>
      </c>
      <c r="M433" s="1">
        <v>1000000</v>
      </c>
      <c r="N433" s="1">
        <v>3259805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12073215</v>
      </c>
      <c r="W433" s="1">
        <v>4000000</v>
      </c>
      <c r="X433" s="1">
        <v>2555146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2561276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13900558</v>
      </c>
      <c r="AM433" s="1">
        <v>0</v>
      </c>
      <c r="AN433" s="1">
        <v>0</v>
      </c>
      <c r="AO433" s="1">
        <v>83574646</v>
      </c>
      <c r="AP433" s="1">
        <v>18430444</v>
      </c>
      <c r="AQ433" s="1">
        <v>65144202</v>
      </c>
      <c r="AR433" s="1">
        <v>16714929</v>
      </c>
      <c r="AS433" s="1">
        <v>2507239</v>
      </c>
      <c r="AT433" s="3">
        <f t="shared" si="42"/>
        <v>102796814</v>
      </c>
    </row>
    <row r="434" spans="1:46" x14ac:dyDescent="0.2">
      <c r="A434" s="1" t="str">
        <f>"00500"</f>
        <v>00500</v>
      </c>
      <c r="B434" s="1" t="str">
        <f>"محمد"</f>
        <v>محمد</v>
      </c>
      <c r="C434" s="1" t="str">
        <f>"معيني"</f>
        <v>معيني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21648058</v>
      </c>
      <c r="G434" s="1">
        <v>18157253</v>
      </c>
      <c r="H434" s="1">
        <v>0</v>
      </c>
      <c r="I434" s="1">
        <v>16458657</v>
      </c>
      <c r="J434" s="1">
        <v>0</v>
      </c>
      <c r="K434" s="1">
        <v>5500000</v>
      </c>
      <c r="L434" s="1">
        <v>0</v>
      </c>
      <c r="M434" s="1">
        <v>1000000</v>
      </c>
      <c r="N434" s="1">
        <v>3714785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22016878</v>
      </c>
      <c r="W434" s="1">
        <v>4000000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2918760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6761207</v>
      </c>
      <c r="AM434" s="1">
        <v>0</v>
      </c>
      <c r="AN434" s="1">
        <v>0</v>
      </c>
      <c r="AO434" s="1">
        <v>102175598</v>
      </c>
      <c r="AP434" s="1">
        <v>41411210</v>
      </c>
      <c r="AQ434" s="1">
        <v>60764388</v>
      </c>
      <c r="AR434" s="1">
        <v>20435120</v>
      </c>
      <c r="AS434" s="1">
        <v>3065268</v>
      </c>
      <c r="AT434" s="3">
        <f t="shared" si="42"/>
        <v>125675986</v>
      </c>
    </row>
    <row r="435" spans="1:46" x14ac:dyDescent="0.2">
      <c r="A435" s="1" t="str">
        <f>"00501"</f>
        <v>00501</v>
      </c>
      <c r="B435" s="1" t="str">
        <f>"احمد"</f>
        <v>احمد</v>
      </c>
      <c r="C435" s="1" t="str">
        <f>"ملکي"</f>
        <v>ملکي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22640650</v>
      </c>
      <c r="G435" s="1">
        <v>7793097</v>
      </c>
      <c r="H435" s="1">
        <v>0</v>
      </c>
      <c r="I435" s="1">
        <v>18531860</v>
      </c>
      <c r="J435" s="1">
        <v>0</v>
      </c>
      <c r="K435" s="1">
        <v>4125000</v>
      </c>
      <c r="L435" s="1">
        <v>0</v>
      </c>
      <c r="M435" s="1">
        <v>1000000</v>
      </c>
      <c r="N435" s="1">
        <v>4062191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12907035</v>
      </c>
      <c r="W435" s="1">
        <v>4000000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3191722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7691120</v>
      </c>
      <c r="AM435" s="1">
        <v>0</v>
      </c>
      <c r="AN435" s="1">
        <v>0</v>
      </c>
      <c r="AO435" s="1">
        <v>85942675</v>
      </c>
      <c r="AP435" s="1">
        <v>23608655</v>
      </c>
      <c r="AQ435" s="1">
        <v>62334020</v>
      </c>
      <c r="AR435" s="1">
        <v>17188535</v>
      </c>
      <c r="AS435" s="1">
        <v>2578280</v>
      </c>
      <c r="AT435" s="3">
        <f t="shared" si="42"/>
        <v>105709490</v>
      </c>
    </row>
    <row r="436" spans="1:46" x14ac:dyDescent="0.2">
      <c r="A436" s="1" t="str">
        <f>"00502"</f>
        <v>00502</v>
      </c>
      <c r="B436" s="1" t="str">
        <f>"رامين"</f>
        <v>رامين</v>
      </c>
      <c r="C436" s="1" t="str">
        <f>"منصوري"</f>
        <v>منصوري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17234303</v>
      </c>
      <c r="G436" s="1">
        <v>13372184</v>
      </c>
      <c r="H436" s="1">
        <v>0</v>
      </c>
      <c r="I436" s="1">
        <v>14145109</v>
      </c>
      <c r="J436" s="1">
        <v>0</v>
      </c>
      <c r="K436" s="1">
        <v>4620000</v>
      </c>
      <c r="L436" s="1">
        <v>0</v>
      </c>
      <c r="M436" s="1">
        <v>1000000</v>
      </c>
      <c r="N436" s="1">
        <v>3408820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18683389</v>
      </c>
      <c r="W436" s="1">
        <v>4000000</v>
      </c>
      <c r="X436" s="1">
        <v>2501754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2678359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7017669</v>
      </c>
      <c r="AM436" s="1">
        <v>0</v>
      </c>
      <c r="AN436" s="1">
        <v>0</v>
      </c>
      <c r="AO436" s="1">
        <v>88661587</v>
      </c>
      <c r="AP436" s="1">
        <v>39384689</v>
      </c>
      <c r="AQ436" s="1">
        <v>49276898</v>
      </c>
      <c r="AR436" s="1">
        <v>17732317</v>
      </c>
      <c r="AS436" s="1">
        <v>2659848</v>
      </c>
      <c r="AT436" s="3">
        <f t="shared" si="42"/>
        <v>109053752</v>
      </c>
    </row>
    <row r="437" spans="1:46" x14ac:dyDescent="0.2">
      <c r="A437" s="1" t="str">
        <f>"00503"</f>
        <v>00503</v>
      </c>
      <c r="B437" s="1" t="str">
        <f>"سيد ابوالحسن"</f>
        <v>سيد ابوالحسن</v>
      </c>
      <c r="C437" s="1" t="str">
        <f>"موسوي برازجاني"</f>
        <v>موسوي برازجاني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17753272</v>
      </c>
      <c r="G437" s="1">
        <v>7725105</v>
      </c>
      <c r="H437" s="1">
        <v>0</v>
      </c>
      <c r="I437" s="1">
        <v>14461336</v>
      </c>
      <c r="J437" s="1">
        <v>0</v>
      </c>
      <c r="K437" s="1">
        <v>4620000</v>
      </c>
      <c r="L437" s="1">
        <v>0</v>
      </c>
      <c r="M437" s="1">
        <v>1000000</v>
      </c>
      <c r="N437" s="1">
        <v>3312710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12041812</v>
      </c>
      <c r="W437" s="1">
        <v>4000000</v>
      </c>
      <c r="X437" s="1">
        <v>2577088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2602844</v>
      </c>
      <c r="AF437" s="1">
        <v>5506281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14225544</v>
      </c>
      <c r="AM437" s="1">
        <v>0</v>
      </c>
      <c r="AN437" s="1">
        <v>0</v>
      </c>
      <c r="AO437" s="1">
        <v>89825992</v>
      </c>
      <c r="AP437" s="1">
        <v>13117722</v>
      </c>
      <c r="AQ437" s="1">
        <v>76708270</v>
      </c>
      <c r="AR437" s="1">
        <v>16863942</v>
      </c>
      <c r="AS437" s="1">
        <v>2529591</v>
      </c>
      <c r="AT437" s="3">
        <f t="shared" si="42"/>
        <v>109219525</v>
      </c>
    </row>
    <row r="438" spans="1:46" x14ac:dyDescent="0.2">
      <c r="A438" s="1" t="str">
        <f>"00504"</f>
        <v>00504</v>
      </c>
      <c r="B438" s="1" t="str">
        <f>"مجتبي"</f>
        <v>مجتبي</v>
      </c>
      <c r="C438" s="1" t="str">
        <f>"ميري"</f>
        <v>ميري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16904279</v>
      </c>
      <c r="G438" s="1">
        <v>14758205</v>
      </c>
      <c r="H438" s="1">
        <v>0</v>
      </c>
      <c r="I438" s="1">
        <v>14921065</v>
      </c>
      <c r="J438" s="1">
        <v>0</v>
      </c>
      <c r="K438" s="1">
        <v>4620000</v>
      </c>
      <c r="L438" s="1">
        <v>0</v>
      </c>
      <c r="M438" s="1">
        <v>1000000</v>
      </c>
      <c r="N438" s="1">
        <v>3293312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11851026</v>
      </c>
      <c r="W438" s="1">
        <v>4000000</v>
      </c>
      <c r="X438" s="1">
        <v>2453847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2587602</v>
      </c>
      <c r="AF438" s="1">
        <v>1835427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13819942</v>
      </c>
      <c r="AM438" s="1">
        <v>0</v>
      </c>
      <c r="AN438" s="1">
        <v>0</v>
      </c>
      <c r="AO438" s="1">
        <v>92044705</v>
      </c>
      <c r="AP438" s="1">
        <v>36720834</v>
      </c>
      <c r="AQ438" s="1">
        <v>55323871</v>
      </c>
      <c r="AR438" s="1">
        <v>18041856</v>
      </c>
      <c r="AS438" s="1">
        <v>2706278</v>
      </c>
      <c r="AT438" s="3">
        <f t="shared" si="42"/>
        <v>112792839</v>
      </c>
    </row>
    <row r="439" spans="1:46" x14ac:dyDescent="0.2">
      <c r="A439" s="1" t="str">
        <f>"00505"</f>
        <v>00505</v>
      </c>
      <c r="B439" s="1" t="str">
        <f>"جمال"</f>
        <v>جمال</v>
      </c>
      <c r="C439" s="1" t="str">
        <f>"نصيري"</f>
        <v>نصيري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18599746</v>
      </c>
      <c r="G439" s="1">
        <v>8437645</v>
      </c>
      <c r="H439" s="1">
        <v>0</v>
      </c>
      <c r="I439" s="1">
        <v>15097863</v>
      </c>
      <c r="J439" s="1">
        <v>0</v>
      </c>
      <c r="K439" s="1">
        <v>4620000</v>
      </c>
      <c r="L439" s="1">
        <v>0</v>
      </c>
      <c r="M439" s="1">
        <v>1000000</v>
      </c>
      <c r="N439" s="1">
        <v>3608976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12421817</v>
      </c>
      <c r="W439" s="1">
        <v>4000000</v>
      </c>
      <c r="X439" s="1">
        <v>2699963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2835624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13865691</v>
      </c>
      <c r="AM439" s="1">
        <v>0</v>
      </c>
      <c r="AN439" s="1">
        <v>0</v>
      </c>
      <c r="AO439" s="1">
        <v>87187325</v>
      </c>
      <c r="AP439" s="1">
        <v>19821227</v>
      </c>
      <c r="AQ439" s="1">
        <v>67366098</v>
      </c>
      <c r="AR439" s="1">
        <v>17437465</v>
      </c>
      <c r="AS439" s="1">
        <v>2615620</v>
      </c>
      <c r="AT439" s="3">
        <f t="shared" si="42"/>
        <v>107240410</v>
      </c>
    </row>
    <row r="440" spans="1:46" x14ac:dyDescent="0.2">
      <c r="A440" s="1" t="str">
        <f>"00506"</f>
        <v>00506</v>
      </c>
      <c r="B440" s="1" t="str">
        <f>"سيد اسحق"</f>
        <v>سيد اسحق</v>
      </c>
      <c r="C440" s="1" t="str">
        <f>"نعمتي"</f>
        <v>نعمتي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16800989</v>
      </c>
      <c r="G440" s="1">
        <v>8460645</v>
      </c>
      <c r="H440" s="1">
        <v>0</v>
      </c>
      <c r="I440" s="1">
        <v>14058563</v>
      </c>
      <c r="J440" s="1">
        <v>0</v>
      </c>
      <c r="K440" s="1">
        <v>4620000</v>
      </c>
      <c r="L440" s="1">
        <v>0</v>
      </c>
      <c r="M440" s="1">
        <v>1000000</v>
      </c>
      <c r="N440" s="1">
        <v>3257160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21294119</v>
      </c>
      <c r="W440" s="1">
        <v>4000000</v>
      </c>
      <c r="X440" s="1">
        <v>2438853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2559197</v>
      </c>
      <c r="AF440" s="1">
        <v>1835427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12559049</v>
      </c>
      <c r="AM440" s="1">
        <v>0</v>
      </c>
      <c r="AN440" s="1">
        <v>0</v>
      </c>
      <c r="AO440" s="1">
        <v>92884002</v>
      </c>
      <c r="AP440" s="1">
        <v>36742510</v>
      </c>
      <c r="AQ440" s="1">
        <v>56141492</v>
      </c>
      <c r="AR440" s="1">
        <v>18209715</v>
      </c>
      <c r="AS440" s="1">
        <v>2731457</v>
      </c>
      <c r="AT440" s="3">
        <f t="shared" si="42"/>
        <v>113825174</v>
      </c>
    </row>
    <row r="441" spans="1:46" x14ac:dyDescent="0.2">
      <c r="A441" s="1" t="str">
        <f>"00508"</f>
        <v>00508</v>
      </c>
      <c r="B441" s="1" t="str">
        <f>"عبدالکريم"</f>
        <v>عبدالکريم</v>
      </c>
      <c r="C441" s="1" t="str">
        <f>"نيکنام"</f>
        <v>نيکنام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16506235</v>
      </c>
      <c r="G441" s="1">
        <v>15031563</v>
      </c>
      <c r="H441" s="1">
        <v>0</v>
      </c>
      <c r="I441" s="1">
        <v>13976959</v>
      </c>
      <c r="J441" s="1">
        <v>0</v>
      </c>
      <c r="K441" s="1">
        <v>3465000</v>
      </c>
      <c r="L441" s="1">
        <v>0</v>
      </c>
      <c r="M441" s="1">
        <v>1000000</v>
      </c>
      <c r="N441" s="1">
        <v>3153996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11380791</v>
      </c>
      <c r="W441" s="1">
        <v>4000000</v>
      </c>
      <c r="X441" s="1">
        <v>2396066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2478140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13366372</v>
      </c>
      <c r="AM441" s="1">
        <v>0</v>
      </c>
      <c r="AN441" s="1">
        <v>0</v>
      </c>
      <c r="AO441" s="1">
        <v>86755122</v>
      </c>
      <c r="AP441" s="1">
        <v>32987113</v>
      </c>
      <c r="AQ441" s="1">
        <v>53768009</v>
      </c>
      <c r="AR441" s="1">
        <v>17351024</v>
      </c>
      <c r="AS441" s="1">
        <v>2602654</v>
      </c>
      <c r="AT441" s="3">
        <f t="shared" si="42"/>
        <v>106708800</v>
      </c>
    </row>
    <row r="442" spans="1:46" x14ac:dyDescent="0.2">
      <c r="A442" s="1" t="str">
        <f>"00509"</f>
        <v>00509</v>
      </c>
      <c r="B442" s="1" t="str">
        <f>"سيد موسي"</f>
        <v>سيد موسي</v>
      </c>
      <c r="C442" s="1" t="str">
        <f>"هاشمي"</f>
        <v>هاشمي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18713113</v>
      </c>
      <c r="G442" s="1">
        <v>8453697</v>
      </c>
      <c r="H442" s="1">
        <v>0</v>
      </c>
      <c r="I442" s="1">
        <v>17307091</v>
      </c>
      <c r="J442" s="1">
        <v>0</v>
      </c>
      <c r="K442" s="1">
        <v>4620000</v>
      </c>
      <c r="L442" s="1">
        <v>0</v>
      </c>
      <c r="M442" s="1">
        <v>1000000</v>
      </c>
      <c r="N442" s="1">
        <v>3648654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13177533</v>
      </c>
      <c r="W442" s="1">
        <v>4000000</v>
      </c>
      <c r="X442" s="1">
        <v>2716420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2866799</v>
      </c>
      <c r="AF442" s="1">
        <v>3670854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14757965</v>
      </c>
      <c r="AM442" s="1">
        <v>0</v>
      </c>
      <c r="AN442" s="1">
        <v>0</v>
      </c>
      <c r="AO442" s="1">
        <v>94932126</v>
      </c>
      <c r="AP442" s="1">
        <v>18982160</v>
      </c>
      <c r="AQ442" s="1">
        <v>75949966</v>
      </c>
      <c r="AR442" s="1">
        <v>18252254</v>
      </c>
      <c r="AS442" s="1">
        <v>2737838</v>
      </c>
      <c r="AT442" s="3">
        <f t="shared" si="42"/>
        <v>115922218</v>
      </c>
    </row>
    <row r="443" spans="1:46" x14ac:dyDescent="0.2">
      <c r="A443" s="1" t="str">
        <f>"00512"</f>
        <v>00512</v>
      </c>
      <c r="B443" s="1" t="str">
        <f>"مريم"</f>
        <v>مريم</v>
      </c>
      <c r="C443" s="1" t="str">
        <f>"سليماني"</f>
        <v>سليماني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21023280</v>
      </c>
      <c r="G443" s="1">
        <v>4225609</v>
      </c>
      <c r="H443" s="1">
        <v>0</v>
      </c>
      <c r="I443" s="1">
        <v>17702538</v>
      </c>
      <c r="J443" s="1">
        <v>0</v>
      </c>
      <c r="K443" s="1">
        <v>4125000</v>
      </c>
      <c r="L443" s="1">
        <v>0</v>
      </c>
      <c r="M443" s="1">
        <v>1000000</v>
      </c>
      <c r="N443" s="1">
        <v>3284494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4949001</v>
      </c>
      <c r="W443" s="1">
        <v>4000000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2580674</v>
      </c>
      <c r="AF443" s="1">
        <v>1835427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4899029</v>
      </c>
      <c r="AM443" s="1">
        <v>0</v>
      </c>
      <c r="AN443" s="1">
        <v>0</v>
      </c>
      <c r="AO443" s="1">
        <v>69625052</v>
      </c>
      <c r="AP443" s="1">
        <v>7973252</v>
      </c>
      <c r="AQ443" s="1">
        <v>61651800</v>
      </c>
      <c r="AR443" s="1">
        <v>13557925</v>
      </c>
      <c r="AS443" s="1">
        <v>2033689</v>
      </c>
      <c r="AT443" s="3">
        <f t="shared" si="42"/>
        <v>85216666</v>
      </c>
    </row>
    <row r="444" spans="1:46" x14ac:dyDescent="0.2">
      <c r="A444" s="1" t="str">
        <f>"00513"</f>
        <v>00513</v>
      </c>
      <c r="B444" s="1" t="str">
        <f>"مريم"</f>
        <v>مريم</v>
      </c>
      <c r="C444" s="1" t="str">
        <f>"دهقاني"</f>
        <v>دهقاني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21557365</v>
      </c>
      <c r="G444" s="1">
        <v>0</v>
      </c>
      <c r="H444" s="1">
        <v>0</v>
      </c>
      <c r="I444" s="1">
        <v>18360843</v>
      </c>
      <c r="J444" s="1">
        <v>0</v>
      </c>
      <c r="K444" s="1">
        <v>4125000</v>
      </c>
      <c r="L444" s="1">
        <v>0</v>
      </c>
      <c r="M444" s="1">
        <v>1000000</v>
      </c>
      <c r="N444" s="1">
        <v>3246579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5080383</v>
      </c>
      <c r="W444" s="1">
        <v>4000000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2550884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5088163</v>
      </c>
      <c r="AM444" s="1">
        <v>0</v>
      </c>
      <c r="AN444" s="1">
        <v>0</v>
      </c>
      <c r="AO444" s="1">
        <v>65009217</v>
      </c>
      <c r="AP444" s="1">
        <v>22717031</v>
      </c>
      <c r="AQ444" s="1">
        <v>42292186</v>
      </c>
      <c r="AR444" s="1">
        <v>13001843</v>
      </c>
      <c r="AS444" s="1">
        <v>1950277</v>
      </c>
      <c r="AT444" s="3">
        <f t="shared" si="42"/>
        <v>79961337</v>
      </c>
    </row>
    <row r="445" spans="1:46" x14ac:dyDescent="0.2">
      <c r="A445" s="1" t="str">
        <f>"00514"</f>
        <v>00514</v>
      </c>
      <c r="B445" s="1" t="str">
        <f>"بديع الزمان"</f>
        <v>بديع الزمان</v>
      </c>
      <c r="C445" s="1" t="str">
        <f>"رفيعي"</f>
        <v>رفيعي</v>
      </c>
      <c r="D445" s="1" t="str">
        <f>"قراردادي کارگري"</f>
        <v>قراردادي کارگري</v>
      </c>
      <c r="E445" s="1" t="str">
        <f t="shared" ref="E445:E450" si="46">"پروژه تعميرات نيروگاه بوشهر"</f>
        <v>پروژه تعميرات نيروگاه بوشهر</v>
      </c>
      <c r="F445" s="1">
        <v>0</v>
      </c>
      <c r="G445" s="1">
        <v>15297119</v>
      </c>
      <c r="H445" s="1">
        <v>0</v>
      </c>
      <c r="I445" s="1">
        <v>12761346</v>
      </c>
      <c r="J445" s="1">
        <v>0</v>
      </c>
      <c r="K445" s="1">
        <v>0</v>
      </c>
      <c r="L445" s="1">
        <v>11521166</v>
      </c>
      <c r="M445" s="1">
        <v>2000000</v>
      </c>
      <c r="N445" s="1">
        <v>7647248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2640000</v>
      </c>
      <c r="U445" s="1">
        <v>0</v>
      </c>
      <c r="V445" s="1">
        <v>16555282</v>
      </c>
      <c r="W445" s="1">
        <v>4000000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935787</v>
      </c>
      <c r="AD445" s="1">
        <v>0</v>
      </c>
      <c r="AE445" s="1">
        <v>0</v>
      </c>
      <c r="AF445" s="1">
        <v>1835427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89531966</v>
      </c>
      <c r="AP445" s="1">
        <v>16455423</v>
      </c>
      <c r="AQ445" s="1">
        <v>73076543</v>
      </c>
      <c r="AR445" s="1">
        <v>17539308</v>
      </c>
      <c r="AS445" s="1">
        <v>2630896</v>
      </c>
      <c r="AT445" s="3">
        <f t="shared" si="42"/>
        <v>109702170</v>
      </c>
    </row>
    <row r="446" spans="1:46" x14ac:dyDescent="0.2">
      <c r="A446" s="1" t="str">
        <f>"00515"</f>
        <v>00515</v>
      </c>
      <c r="B446" s="1" t="str">
        <f>"كورش"</f>
        <v>كورش</v>
      </c>
      <c r="C446" s="1" t="str">
        <f>"اميني"</f>
        <v>اميني</v>
      </c>
      <c r="D446" s="1" t="str">
        <f>"قراردادي کارگري"</f>
        <v>قراردادي کارگري</v>
      </c>
      <c r="E446" s="1" t="str">
        <f t="shared" si="46"/>
        <v>پروژه تعميرات نيروگاه بوشهر</v>
      </c>
      <c r="F446" s="1">
        <v>0</v>
      </c>
      <c r="G446" s="1">
        <v>25442886</v>
      </c>
      <c r="H446" s="1">
        <v>0</v>
      </c>
      <c r="I446" s="1">
        <v>13110162</v>
      </c>
      <c r="J446" s="1">
        <v>0</v>
      </c>
      <c r="K446" s="1">
        <v>0</v>
      </c>
      <c r="L446" s="1">
        <v>11331151</v>
      </c>
      <c r="M446" s="1">
        <v>2000000</v>
      </c>
      <c r="N446" s="1">
        <v>8036880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2640000</v>
      </c>
      <c r="U446" s="1">
        <v>0</v>
      </c>
      <c r="V446" s="1">
        <v>16980601</v>
      </c>
      <c r="W446" s="1">
        <v>4000000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1028787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99639620</v>
      </c>
      <c r="AP446" s="1">
        <v>15988675</v>
      </c>
      <c r="AQ446" s="1">
        <v>83650945</v>
      </c>
      <c r="AR446" s="1">
        <v>19927924</v>
      </c>
      <c r="AS446" s="1">
        <v>2989189</v>
      </c>
      <c r="AT446" s="3">
        <f t="shared" si="42"/>
        <v>122556733</v>
      </c>
    </row>
    <row r="447" spans="1:46" x14ac:dyDescent="0.2">
      <c r="A447" s="1" t="str">
        <f>"00516"</f>
        <v>00516</v>
      </c>
      <c r="B447" s="1" t="str">
        <f>"رضا"</f>
        <v>رضا</v>
      </c>
      <c r="C447" s="1" t="str">
        <f>"اشك منش"</f>
        <v>اشك منش</v>
      </c>
      <c r="D447" s="1" t="str">
        <f t="shared" ref="D447:D456" si="47">"قراردادي بهره بردار"</f>
        <v>قراردادي بهره بردار</v>
      </c>
      <c r="E447" s="1" t="str">
        <f t="shared" si="46"/>
        <v>پروژه تعميرات نيروگاه بوشهر</v>
      </c>
      <c r="F447" s="1">
        <v>28573523</v>
      </c>
      <c r="G447" s="1">
        <v>6328920</v>
      </c>
      <c r="H447" s="1">
        <v>0</v>
      </c>
      <c r="I447" s="1">
        <v>36403175</v>
      </c>
      <c r="J447" s="1">
        <v>0</v>
      </c>
      <c r="K447" s="1">
        <v>5500000</v>
      </c>
      <c r="L447" s="1">
        <v>0</v>
      </c>
      <c r="M447" s="1">
        <v>1000000</v>
      </c>
      <c r="N447" s="1">
        <v>4131849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8153621</v>
      </c>
      <c r="W447" s="1">
        <v>4000000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4459102</v>
      </c>
      <c r="AD447" s="1">
        <v>0</v>
      </c>
      <c r="AE447" s="1">
        <v>3246453</v>
      </c>
      <c r="AF447" s="1">
        <v>1835427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4722113</v>
      </c>
      <c r="AM447" s="1">
        <v>0</v>
      </c>
      <c r="AN447" s="1">
        <v>0</v>
      </c>
      <c r="AO447" s="1">
        <v>108354183</v>
      </c>
      <c r="AP447" s="1">
        <v>37284661</v>
      </c>
      <c r="AQ447" s="1">
        <v>71069522</v>
      </c>
      <c r="AR447" s="1">
        <v>21303751</v>
      </c>
      <c r="AS447" s="1">
        <v>3195563</v>
      </c>
      <c r="AT447" s="3">
        <f t="shared" si="42"/>
        <v>132853497</v>
      </c>
    </row>
    <row r="448" spans="1:46" x14ac:dyDescent="0.2">
      <c r="A448" s="1" t="str">
        <f>"00517"</f>
        <v>00517</v>
      </c>
      <c r="B448" s="1" t="str">
        <f>"سجاد"</f>
        <v>سجاد</v>
      </c>
      <c r="C448" s="1" t="str">
        <f>"جعفري زاده"</f>
        <v>جعفري زاده</v>
      </c>
      <c r="D448" s="1" t="str">
        <f t="shared" si="47"/>
        <v>قراردادي بهره بردار</v>
      </c>
      <c r="E448" s="1" t="str">
        <f t="shared" si="46"/>
        <v>پروژه تعميرات نيروگاه بوشهر</v>
      </c>
      <c r="F448" s="1">
        <v>26600937</v>
      </c>
      <c r="G448" s="1">
        <v>15573902</v>
      </c>
      <c r="H448" s="1">
        <v>0</v>
      </c>
      <c r="I448" s="1">
        <v>21083184</v>
      </c>
      <c r="J448" s="1">
        <v>0</v>
      </c>
      <c r="K448" s="1">
        <v>5500000</v>
      </c>
      <c r="L448" s="1">
        <v>0</v>
      </c>
      <c r="M448" s="1">
        <v>1000000</v>
      </c>
      <c r="N448" s="1">
        <v>3937866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14231012</v>
      </c>
      <c r="W448" s="1">
        <v>4000000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3094038</v>
      </c>
      <c r="AF448" s="1">
        <v>1835427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7157942</v>
      </c>
      <c r="AM448" s="1">
        <v>0</v>
      </c>
      <c r="AN448" s="1">
        <v>0</v>
      </c>
      <c r="AO448" s="1">
        <v>104014308</v>
      </c>
      <c r="AP448" s="1">
        <v>40302530</v>
      </c>
      <c r="AQ448" s="1">
        <v>63711778</v>
      </c>
      <c r="AR448" s="1">
        <v>20435776</v>
      </c>
      <c r="AS448" s="1">
        <v>3065366</v>
      </c>
      <c r="AT448" s="3">
        <f t="shared" si="42"/>
        <v>127515450</v>
      </c>
    </row>
    <row r="449" spans="1:46" x14ac:dyDescent="0.2">
      <c r="A449" s="1" t="str">
        <f>"00519"</f>
        <v>00519</v>
      </c>
      <c r="B449" s="1" t="str">
        <f>"رامين"</f>
        <v>رامين</v>
      </c>
      <c r="C449" s="1" t="str">
        <f>"وزان"</f>
        <v>وزان</v>
      </c>
      <c r="D449" s="1" t="str">
        <f t="shared" si="47"/>
        <v>قراردادي بهره بردار</v>
      </c>
      <c r="E449" s="1" t="str">
        <f t="shared" si="46"/>
        <v>پروژه تعميرات نيروگاه بوشهر</v>
      </c>
      <c r="F449" s="1">
        <v>27757280</v>
      </c>
      <c r="G449" s="1">
        <v>15944740</v>
      </c>
      <c r="H449" s="1">
        <v>0</v>
      </c>
      <c r="I449" s="1">
        <v>25020023</v>
      </c>
      <c r="J449" s="1">
        <v>0</v>
      </c>
      <c r="K449" s="1">
        <v>5500000</v>
      </c>
      <c r="L449" s="1">
        <v>0</v>
      </c>
      <c r="M449" s="1">
        <v>1000000</v>
      </c>
      <c r="N449" s="1">
        <v>4342586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21911247</v>
      </c>
      <c r="W449" s="1">
        <v>4000000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3412032</v>
      </c>
      <c r="AF449" s="1">
        <v>1835427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7940729</v>
      </c>
      <c r="AM449" s="1">
        <v>0</v>
      </c>
      <c r="AN449" s="1">
        <v>0</v>
      </c>
      <c r="AO449" s="1">
        <v>118664064</v>
      </c>
      <c r="AP449" s="1">
        <v>41157626</v>
      </c>
      <c r="AQ449" s="1">
        <v>77506438</v>
      </c>
      <c r="AR449" s="1">
        <v>23365727</v>
      </c>
      <c r="AS449" s="1">
        <v>3504859</v>
      </c>
      <c r="AT449" s="3">
        <f t="shared" si="42"/>
        <v>145534650</v>
      </c>
    </row>
    <row r="450" spans="1:46" x14ac:dyDescent="0.2">
      <c r="A450" s="1" t="str">
        <f>"00520"</f>
        <v>00520</v>
      </c>
      <c r="B450" s="1" t="str">
        <f>"امير"</f>
        <v>امير</v>
      </c>
      <c r="C450" s="1" t="str">
        <f>"مجدميان"</f>
        <v>مجدميان</v>
      </c>
      <c r="D450" s="1" t="str">
        <f t="shared" si="47"/>
        <v>قراردادي بهره بردار</v>
      </c>
      <c r="E450" s="1" t="str">
        <f t="shared" si="46"/>
        <v>پروژه تعميرات نيروگاه بوشهر</v>
      </c>
      <c r="F450" s="1">
        <v>22083892</v>
      </c>
      <c r="G450" s="1">
        <v>15501178</v>
      </c>
      <c r="H450" s="1">
        <v>0</v>
      </c>
      <c r="I450" s="1">
        <v>17647723</v>
      </c>
      <c r="J450" s="1">
        <v>0</v>
      </c>
      <c r="K450" s="1">
        <v>4620000</v>
      </c>
      <c r="L450" s="1">
        <v>0</v>
      </c>
      <c r="M450" s="1">
        <v>1000000</v>
      </c>
      <c r="N450" s="1">
        <v>4418416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17751420</v>
      </c>
      <c r="W450" s="1">
        <v>4000000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3471613</v>
      </c>
      <c r="AF450" s="1">
        <v>3670854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7851547</v>
      </c>
      <c r="AM450" s="1">
        <v>0</v>
      </c>
      <c r="AN450" s="1">
        <v>0</v>
      </c>
      <c r="AO450" s="1">
        <v>102016643</v>
      </c>
      <c r="AP450" s="1">
        <v>20454785</v>
      </c>
      <c r="AQ450" s="1">
        <v>81561858</v>
      </c>
      <c r="AR450" s="1">
        <v>19669158</v>
      </c>
      <c r="AS450" s="1">
        <v>2950374</v>
      </c>
      <c r="AT450" s="3">
        <f t="shared" si="42"/>
        <v>124636175</v>
      </c>
    </row>
    <row r="451" spans="1:46" x14ac:dyDescent="0.2">
      <c r="A451" s="1" t="str">
        <f>"00521"</f>
        <v>00521</v>
      </c>
      <c r="B451" s="1" t="str">
        <f>"حسين"</f>
        <v>حسين</v>
      </c>
      <c r="C451" s="1" t="str">
        <f>"آرمند"</f>
        <v>آرمند</v>
      </c>
      <c r="D451" s="1" t="str">
        <f t="shared" si="47"/>
        <v>قراردادي بهره بردار</v>
      </c>
      <c r="E451" s="1" t="str">
        <f t="shared" ref="E451:E456" si="48">"پروژه بهره برداري نيروگاه بوشهر"</f>
        <v>پروژه بهره برداري نيروگاه بوشهر</v>
      </c>
      <c r="F451" s="1">
        <v>18551880</v>
      </c>
      <c r="G451" s="1">
        <v>9148852</v>
      </c>
      <c r="H451" s="1">
        <v>0</v>
      </c>
      <c r="I451" s="1">
        <v>15889027</v>
      </c>
      <c r="J451" s="1">
        <v>0</v>
      </c>
      <c r="K451" s="1">
        <v>4620000</v>
      </c>
      <c r="L451" s="1">
        <v>0</v>
      </c>
      <c r="M451" s="1">
        <v>1000000</v>
      </c>
      <c r="N451" s="1">
        <v>3592222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15715431</v>
      </c>
      <c r="W451" s="1">
        <v>4000000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2822460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8255133</v>
      </c>
      <c r="AM451" s="1">
        <v>0</v>
      </c>
      <c r="AN451" s="1">
        <v>0</v>
      </c>
      <c r="AO451" s="1">
        <v>83595005</v>
      </c>
      <c r="AP451" s="1">
        <v>25566734</v>
      </c>
      <c r="AQ451" s="1">
        <v>58028271</v>
      </c>
      <c r="AR451" s="1">
        <v>16719001</v>
      </c>
      <c r="AS451" s="1">
        <v>2507850</v>
      </c>
      <c r="AT451" s="3">
        <f t="shared" ref="AT451:AT514" si="49">AO451+AR451+AS451</f>
        <v>102821856</v>
      </c>
    </row>
    <row r="452" spans="1:46" x14ac:dyDescent="0.2">
      <c r="A452" s="1" t="str">
        <f>"00522"</f>
        <v>00522</v>
      </c>
      <c r="B452" s="1" t="str">
        <f>"حميد"</f>
        <v>حميد</v>
      </c>
      <c r="C452" s="1" t="str">
        <f>"آقا بابايي"</f>
        <v>آقا بابايي</v>
      </c>
      <c r="D452" s="1" t="str">
        <f t="shared" si="47"/>
        <v>قراردادي بهره بردار</v>
      </c>
      <c r="E452" s="1" t="str">
        <f t="shared" si="48"/>
        <v>پروژه بهره برداري نيروگاه بوشهر</v>
      </c>
      <c r="F452" s="1">
        <v>44187937</v>
      </c>
      <c r="G452" s="1">
        <v>3815497</v>
      </c>
      <c r="H452" s="1">
        <v>0</v>
      </c>
      <c r="I452" s="1">
        <v>56366752</v>
      </c>
      <c r="J452" s="1">
        <v>0</v>
      </c>
      <c r="K452" s="1">
        <v>5500000</v>
      </c>
      <c r="L452" s="1">
        <v>0</v>
      </c>
      <c r="M452" s="1">
        <v>1000000</v>
      </c>
      <c r="N452" s="1">
        <v>6620129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12288874</v>
      </c>
      <c r="W452" s="1">
        <v>4000000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3892267</v>
      </c>
      <c r="AD452" s="1">
        <v>0</v>
      </c>
      <c r="AE452" s="1">
        <v>5201530</v>
      </c>
      <c r="AF452" s="1">
        <v>3670854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6620129</v>
      </c>
      <c r="AM452" s="1">
        <v>0</v>
      </c>
      <c r="AN452" s="1">
        <v>0</v>
      </c>
      <c r="AO452" s="1">
        <v>153163969</v>
      </c>
      <c r="AP452" s="1">
        <v>33948580</v>
      </c>
      <c r="AQ452" s="1">
        <v>119215389</v>
      </c>
      <c r="AR452" s="1">
        <v>26552511</v>
      </c>
      <c r="AS452" s="1">
        <v>3982877</v>
      </c>
      <c r="AT452" s="3">
        <f t="shared" si="49"/>
        <v>183699357</v>
      </c>
    </row>
    <row r="453" spans="1:46" x14ac:dyDescent="0.2">
      <c r="A453" s="1" t="str">
        <f>"00523"</f>
        <v>00523</v>
      </c>
      <c r="B453" s="1" t="str">
        <f>"محسن"</f>
        <v>محسن</v>
      </c>
      <c r="C453" s="1" t="str">
        <f>"ابراهيمي"</f>
        <v>ابراهيمي</v>
      </c>
      <c r="D453" s="1" t="str">
        <f t="shared" si="47"/>
        <v>قراردادي بهره بردار</v>
      </c>
      <c r="E453" s="1" t="str">
        <f t="shared" si="48"/>
        <v>پروژه بهره برداري نيروگاه بوشهر</v>
      </c>
      <c r="F453" s="1">
        <v>21605231</v>
      </c>
      <c r="G453" s="1">
        <v>10965321</v>
      </c>
      <c r="H453" s="1">
        <v>0</v>
      </c>
      <c r="I453" s="1">
        <v>16413394</v>
      </c>
      <c r="J453" s="1">
        <v>0</v>
      </c>
      <c r="K453" s="1">
        <v>4125000</v>
      </c>
      <c r="L453" s="1">
        <v>0</v>
      </c>
      <c r="M453" s="1">
        <v>1000000</v>
      </c>
      <c r="N453" s="1">
        <v>3699795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22699335</v>
      </c>
      <c r="W453" s="1">
        <v>4000000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2906982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6672530</v>
      </c>
      <c r="AM453" s="1">
        <v>0</v>
      </c>
      <c r="AN453" s="1">
        <v>0</v>
      </c>
      <c r="AO453" s="1">
        <v>94087588</v>
      </c>
      <c r="AP453" s="1">
        <v>21764730</v>
      </c>
      <c r="AQ453" s="1">
        <v>72322858</v>
      </c>
      <c r="AR453" s="1">
        <v>18817518</v>
      </c>
      <c r="AS453" s="1">
        <v>2822628</v>
      </c>
      <c r="AT453" s="3">
        <f t="shared" si="49"/>
        <v>115727734</v>
      </c>
    </row>
    <row r="454" spans="1:46" x14ac:dyDescent="0.2">
      <c r="A454" s="1" t="str">
        <f>"00524"</f>
        <v>00524</v>
      </c>
      <c r="B454" s="1" t="str">
        <f>"مهدي"</f>
        <v>مهدي</v>
      </c>
      <c r="C454" s="1" t="str">
        <f>"اسکندري"</f>
        <v>اسکندري</v>
      </c>
      <c r="D454" s="1" t="str">
        <f t="shared" si="47"/>
        <v>قراردادي بهره بردار</v>
      </c>
      <c r="E454" s="1" t="str">
        <f t="shared" si="48"/>
        <v>پروژه بهره برداري نيروگاه بوشهر</v>
      </c>
      <c r="F454" s="1">
        <v>21905024</v>
      </c>
      <c r="G454" s="1">
        <v>2500709</v>
      </c>
      <c r="H454" s="1">
        <v>0</v>
      </c>
      <c r="I454" s="1">
        <v>18333610</v>
      </c>
      <c r="J454" s="1">
        <v>0</v>
      </c>
      <c r="K454" s="1">
        <v>5500000</v>
      </c>
      <c r="L454" s="1">
        <v>0</v>
      </c>
      <c r="M454" s="1">
        <v>1000000</v>
      </c>
      <c r="N454" s="1">
        <v>3804723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16566831</v>
      </c>
      <c r="W454" s="1">
        <v>4000000</v>
      </c>
      <c r="X454" s="1">
        <v>3125886</v>
      </c>
      <c r="Y454" s="1">
        <v>0</v>
      </c>
      <c r="Z454" s="1">
        <v>0</v>
      </c>
      <c r="AA454" s="1">
        <v>0</v>
      </c>
      <c r="AB454" s="1">
        <v>0</v>
      </c>
      <c r="AC454" s="1">
        <v>4459102</v>
      </c>
      <c r="AD454" s="1">
        <v>0</v>
      </c>
      <c r="AE454" s="1">
        <v>2989425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20537817</v>
      </c>
      <c r="AM454" s="1">
        <v>0</v>
      </c>
      <c r="AN454" s="1">
        <v>0</v>
      </c>
      <c r="AO454" s="1">
        <v>104723127</v>
      </c>
      <c r="AP454" s="1">
        <v>19889999</v>
      </c>
      <c r="AQ454" s="1">
        <v>84833128</v>
      </c>
      <c r="AR454" s="1">
        <v>20944625</v>
      </c>
      <c r="AS454" s="1">
        <v>3141694</v>
      </c>
      <c r="AT454" s="3">
        <f t="shared" si="49"/>
        <v>128809446</v>
      </c>
    </row>
    <row r="455" spans="1:46" x14ac:dyDescent="0.2">
      <c r="A455" s="1" t="str">
        <f>"00525"</f>
        <v>00525</v>
      </c>
      <c r="B455" s="1" t="str">
        <f>"روح اله"</f>
        <v>روح اله</v>
      </c>
      <c r="C455" s="1" t="str">
        <f>"اسيري"</f>
        <v>اسيري</v>
      </c>
      <c r="D455" s="1" t="str">
        <f t="shared" si="47"/>
        <v>قراردادي بهره بردار</v>
      </c>
      <c r="E455" s="1" t="str">
        <f t="shared" si="48"/>
        <v>پروژه بهره برداري نيروگاه بوشهر</v>
      </c>
      <c r="F455" s="1">
        <v>17954814</v>
      </c>
      <c r="G455" s="1">
        <v>14766146</v>
      </c>
      <c r="H455" s="1">
        <v>0</v>
      </c>
      <c r="I455" s="1">
        <v>16759470</v>
      </c>
      <c r="J455" s="1">
        <v>0</v>
      </c>
      <c r="K455" s="1">
        <v>4620000</v>
      </c>
      <c r="L455" s="1">
        <v>0</v>
      </c>
      <c r="M455" s="1">
        <v>1000000</v>
      </c>
      <c r="N455" s="1">
        <v>3383249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11508656</v>
      </c>
      <c r="W455" s="1">
        <v>4000000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2658268</v>
      </c>
      <c r="AF455" s="1">
        <v>1835427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9281835</v>
      </c>
      <c r="AM455" s="1">
        <v>0</v>
      </c>
      <c r="AN455" s="1">
        <v>0</v>
      </c>
      <c r="AO455" s="1">
        <v>87767865</v>
      </c>
      <c r="AP455" s="1">
        <v>15628982</v>
      </c>
      <c r="AQ455" s="1">
        <v>72138883</v>
      </c>
      <c r="AR455" s="1">
        <v>17186488</v>
      </c>
      <c r="AS455" s="1">
        <v>2577973</v>
      </c>
      <c r="AT455" s="3">
        <f t="shared" si="49"/>
        <v>107532326</v>
      </c>
    </row>
    <row r="456" spans="1:46" x14ac:dyDescent="0.2">
      <c r="A456" s="1" t="str">
        <f>"00526"</f>
        <v>00526</v>
      </c>
      <c r="B456" s="1" t="str">
        <f>"سارا"</f>
        <v>سارا</v>
      </c>
      <c r="C456" s="1" t="str">
        <f>"اميدي"</f>
        <v>اميدي</v>
      </c>
      <c r="D456" s="1" t="str">
        <f t="shared" si="47"/>
        <v>قراردادي بهره بردار</v>
      </c>
      <c r="E456" s="1" t="str">
        <f t="shared" si="48"/>
        <v>پروژه بهره برداري نيروگاه بوشهر</v>
      </c>
      <c r="F456" s="1">
        <v>16229116</v>
      </c>
      <c r="G456" s="1">
        <v>0</v>
      </c>
      <c r="H456" s="1">
        <v>0</v>
      </c>
      <c r="I456" s="1">
        <v>12264525</v>
      </c>
      <c r="J456" s="1">
        <v>0</v>
      </c>
      <c r="K456" s="1">
        <v>3465000</v>
      </c>
      <c r="L456" s="1">
        <v>0</v>
      </c>
      <c r="M456" s="1">
        <v>1000000</v>
      </c>
      <c r="N456" s="1">
        <v>3057004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3914006</v>
      </c>
      <c r="W456" s="1">
        <v>4000000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2401932</v>
      </c>
      <c r="AF456" s="1">
        <v>1835427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5187485</v>
      </c>
      <c r="AM456" s="1">
        <v>0</v>
      </c>
      <c r="AN456" s="1">
        <v>0</v>
      </c>
      <c r="AO456" s="1">
        <v>53354495</v>
      </c>
      <c r="AP456" s="1">
        <v>23129616</v>
      </c>
      <c r="AQ456" s="1">
        <v>30224879</v>
      </c>
      <c r="AR456" s="1">
        <v>10303814</v>
      </c>
      <c r="AS456" s="1">
        <v>1545572</v>
      </c>
      <c r="AT456" s="3">
        <f t="shared" si="49"/>
        <v>65203881</v>
      </c>
    </row>
    <row r="457" spans="1:46" x14ac:dyDescent="0.2">
      <c r="A457" s="1" t="str">
        <f>"00527"</f>
        <v>00527</v>
      </c>
      <c r="B457" s="1" t="str">
        <f>"اسحاق"</f>
        <v>اسحاق</v>
      </c>
      <c r="C457" s="1" t="str">
        <f>"غلامي"</f>
        <v>غلامي</v>
      </c>
      <c r="D457" s="1" t="str">
        <f>"قراردادي کارگري"</f>
        <v>قراردادي کارگري</v>
      </c>
      <c r="E457" s="1" t="str">
        <f>"پروژه تعميرات نيروگاه بوشهر"</f>
        <v>پروژه تعميرات نيروگاه بوشهر</v>
      </c>
      <c r="F457" s="1">
        <v>0</v>
      </c>
      <c r="G457" s="1">
        <v>11551570</v>
      </c>
      <c r="H457" s="1">
        <v>0</v>
      </c>
      <c r="I457" s="1">
        <v>6129388</v>
      </c>
      <c r="J457" s="1">
        <v>0</v>
      </c>
      <c r="K457" s="1">
        <v>0</v>
      </c>
      <c r="L457" s="1">
        <v>11521166</v>
      </c>
      <c r="M457" s="1">
        <v>2000000</v>
      </c>
      <c r="N457" s="1">
        <v>3982708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2640000</v>
      </c>
      <c r="U457" s="1">
        <v>0</v>
      </c>
      <c r="V457" s="1">
        <v>3540041</v>
      </c>
      <c r="W457" s="1">
        <v>4000000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1835427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54767445</v>
      </c>
      <c r="AP457" s="1">
        <v>8037874</v>
      </c>
      <c r="AQ457" s="1">
        <v>46729571</v>
      </c>
      <c r="AR457" s="1">
        <v>10586404</v>
      </c>
      <c r="AS457" s="1">
        <v>1587961</v>
      </c>
      <c r="AT457" s="3">
        <f t="shared" si="49"/>
        <v>66941810</v>
      </c>
    </row>
    <row r="458" spans="1:46" x14ac:dyDescent="0.2">
      <c r="A458" s="1" t="str">
        <f>"00528"</f>
        <v>00528</v>
      </c>
      <c r="B458" s="1" t="str">
        <f>"ميلاد"</f>
        <v>ميلاد</v>
      </c>
      <c r="C458" s="1" t="str">
        <f>"بيژندي"</f>
        <v>بيژندي</v>
      </c>
      <c r="D458" s="1" t="str">
        <f t="shared" ref="D458:D488" si="50">"قراردادي بهره بردار"</f>
        <v>قراردادي بهره بردار</v>
      </c>
      <c r="E458" s="1" t="str">
        <f t="shared" ref="E458:E487" si="51">"پروژه بهره برداري نيروگاه بوشهر"</f>
        <v>پروژه بهره برداري نيروگاه بوشهر</v>
      </c>
      <c r="F458" s="1">
        <v>16445773</v>
      </c>
      <c r="G458" s="1">
        <v>13684010</v>
      </c>
      <c r="H458" s="1">
        <v>0</v>
      </c>
      <c r="I458" s="1">
        <v>12780257</v>
      </c>
      <c r="J458" s="1">
        <v>0</v>
      </c>
      <c r="K458" s="1">
        <v>0</v>
      </c>
      <c r="L458" s="1">
        <v>0</v>
      </c>
      <c r="M458" s="1">
        <v>1000000</v>
      </c>
      <c r="N458" s="1">
        <v>3132834</v>
      </c>
      <c r="O458" s="1">
        <v>0</v>
      </c>
      <c r="P458" s="1">
        <v>0</v>
      </c>
      <c r="Q458" s="1">
        <v>0</v>
      </c>
      <c r="R458" s="1">
        <v>445777</v>
      </c>
      <c r="S458" s="1">
        <v>0</v>
      </c>
      <c r="T458" s="1">
        <v>0</v>
      </c>
      <c r="U458" s="1">
        <v>0</v>
      </c>
      <c r="V458" s="1">
        <v>16491191</v>
      </c>
      <c r="W458" s="1">
        <v>4000000</v>
      </c>
      <c r="X458" s="1">
        <v>2387290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2461513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13329088</v>
      </c>
      <c r="AM458" s="1">
        <v>0</v>
      </c>
      <c r="AN458" s="1">
        <v>0</v>
      </c>
      <c r="AO458" s="1">
        <v>86157733</v>
      </c>
      <c r="AP458" s="1">
        <v>27635612</v>
      </c>
      <c r="AQ458" s="1">
        <v>58522121</v>
      </c>
      <c r="AR458" s="1">
        <v>17142391</v>
      </c>
      <c r="AS458" s="1">
        <v>2571359</v>
      </c>
      <c r="AT458" s="3">
        <f t="shared" si="49"/>
        <v>105871483</v>
      </c>
    </row>
    <row r="459" spans="1:46" x14ac:dyDescent="0.2">
      <c r="A459" s="1" t="str">
        <f>"00531"</f>
        <v>00531</v>
      </c>
      <c r="B459" s="1" t="str">
        <f>"مسعود"</f>
        <v>مسعود</v>
      </c>
      <c r="C459" s="1" t="str">
        <f>"حسين آبادي"</f>
        <v>حسين آبادي</v>
      </c>
      <c r="D459" s="1" t="str">
        <f t="shared" si="50"/>
        <v>قراردادي بهره بردار</v>
      </c>
      <c r="E459" s="1" t="str">
        <f t="shared" si="51"/>
        <v>پروژه بهره برداري نيروگاه بوشهر</v>
      </c>
      <c r="F459" s="1">
        <v>18423397</v>
      </c>
      <c r="G459" s="1">
        <v>4734023</v>
      </c>
      <c r="H459" s="1">
        <v>0</v>
      </c>
      <c r="I459" s="1">
        <v>16969422</v>
      </c>
      <c r="J459" s="1">
        <v>0</v>
      </c>
      <c r="K459" s="1">
        <v>4620000</v>
      </c>
      <c r="L459" s="1">
        <v>0</v>
      </c>
      <c r="M459" s="1">
        <v>1000000</v>
      </c>
      <c r="N459" s="1">
        <v>3547254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17963651</v>
      </c>
      <c r="W459" s="1">
        <v>4000000</v>
      </c>
      <c r="X459" s="1">
        <v>2674364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2787127</v>
      </c>
      <c r="AF459" s="1">
        <v>1835427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14851228</v>
      </c>
      <c r="AM459" s="1">
        <v>0</v>
      </c>
      <c r="AN459" s="1">
        <v>0</v>
      </c>
      <c r="AO459" s="1">
        <v>93405893</v>
      </c>
      <c r="AP459" s="1">
        <v>34312534</v>
      </c>
      <c r="AQ459" s="1">
        <v>59093359</v>
      </c>
      <c r="AR459" s="1">
        <v>18314093</v>
      </c>
      <c r="AS459" s="1">
        <v>2747114</v>
      </c>
      <c r="AT459" s="3">
        <f t="shared" si="49"/>
        <v>114467100</v>
      </c>
    </row>
    <row r="460" spans="1:46" x14ac:dyDescent="0.2">
      <c r="A460" s="1" t="str">
        <f>"00533"</f>
        <v>00533</v>
      </c>
      <c r="B460" s="1" t="str">
        <f>"نيما"</f>
        <v>نيما</v>
      </c>
      <c r="C460" s="1" t="str">
        <f>"درست کار"</f>
        <v>درست کار</v>
      </c>
      <c r="D460" s="1" t="str">
        <f t="shared" si="50"/>
        <v>قراردادي بهره بردار</v>
      </c>
      <c r="E460" s="1" t="str">
        <f t="shared" si="51"/>
        <v>پروژه بهره برداري نيروگاه بوشهر</v>
      </c>
      <c r="F460" s="1">
        <v>22824556</v>
      </c>
      <c r="G460" s="1">
        <v>6450366</v>
      </c>
      <c r="H460" s="1">
        <v>0</v>
      </c>
      <c r="I460" s="1">
        <v>20974531</v>
      </c>
      <c r="J460" s="1">
        <v>0</v>
      </c>
      <c r="K460" s="1">
        <v>5500000</v>
      </c>
      <c r="L460" s="1">
        <v>0</v>
      </c>
      <c r="M460" s="1">
        <v>1000000</v>
      </c>
      <c r="N460" s="1">
        <v>4126559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24035097</v>
      </c>
      <c r="W460" s="1">
        <v>4000000</v>
      </c>
      <c r="X460" s="1">
        <v>3313242</v>
      </c>
      <c r="Y460" s="1">
        <v>0</v>
      </c>
      <c r="Z460" s="1">
        <v>0</v>
      </c>
      <c r="AA460" s="1">
        <v>0</v>
      </c>
      <c r="AB460" s="1">
        <v>0</v>
      </c>
      <c r="AC460" s="1">
        <v>4459102</v>
      </c>
      <c r="AD460" s="1">
        <v>0</v>
      </c>
      <c r="AE460" s="1">
        <v>3242296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21905528</v>
      </c>
      <c r="AM460" s="1">
        <v>0</v>
      </c>
      <c r="AN460" s="1">
        <v>0</v>
      </c>
      <c r="AO460" s="1">
        <v>121831277</v>
      </c>
      <c r="AP460" s="1">
        <v>46991829</v>
      </c>
      <c r="AQ460" s="1">
        <v>74839448</v>
      </c>
      <c r="AR460" s="1">
        <v>24366255</v>
      </c>
      <c r="AS460" s="1">
        <v>3654938</v>
      </c>
      <c r="AT460" s="3">
        <f t="shared" si="49"/>
        <v>149852470</v>
      </c>
    </row>
    <row r="461" spans="1:46" x14ac:dyDescent="0.2">
      <c r="A461" s="1" t="str">
        <f>"00534"</f>
        <v>00534</v>
      </c>
      <c r="B461" s="1" t="str">
        <f>"اكرم"</f>
        <v>اكرم</v>
      </c>
      <c r="C461" s="1" t="str">
        <f>"درويشي"</f>
        <v>درويشي</v>
      </c>
      <c r="D461" s="1" t="str">
        <f t="shared" si="50"/>
        <v>قراردادي بهره بردار</v>
      </c>
      <c r="E461" s="1" t="str">
        <f t="shared" si="51"/>
        <v>پروژه بهره برداري نيروگاه بوشهر</v>
      </c>
      <c r="F461" s="1">
        <v>16355079</v>
      </c>
      <c r="G461" s="1">
        <v>0</v>
      </c>
      <c r="H461" s="1">
        <v>0</v>
      </c>
      <c r="I461" s="1">
        <v>11912895</v>
      </c>
      <c r="J461" s="1">
        <v>0</v>
      </c>
      <c r="K461" s="1">
        <v>3465000</v>
      </c>
      <c r="L461" s="1">
        <v>0</v>
      </c>
      <c r="M461" s="1">
        <v>1000000</v>
      </c>
      <c r="N461" s="1">
        <v>3131953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3913357</v>
      </c>
      <c r="W461" s="1">
        <v>4000000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2460819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5272825</v>
      </c>
      <c r="AM461" s="1">
        <v>0</v>
      </c>
      <c r="AN461" s="1">
        <v>0</v>
      </c>
      <c r="AO461" s="1">
        <v>51511928</v>
      </c>
      <c r="AP461" s="1">
        <v>31138654</v>
      </c>
      <c r="AQ461" s="1">
        <v>20373274</v>
      </c>
      <c r="AR461" s="1">
        <v>10302386</v>
      </c>
      <c r="AS461" s="1">
        <v>1545358</v>
      </c>
      <c r="AT461" s="3">
        <f t="shared" si="49"/>
        <v>63359672</v>
      </c>
    </row>
    <row r="462" spans="1:46" x14ac:dyDescent="0.2">
      <c r="A462" s="1" t="str">
        <f>"00535"</f>
        <v>00535</v>
      </c>
      <c r="B462" s="1" t="str">
        <f>"اسماء"</f>
        <v>اسماء</v>
      </c>
      <c r="C462" s="1" t="str">
        <f>"دولتي"</f>
        <v>دولتي</v>
      </c>
      <c r="D462" s="1" t="str">
        <f t="shared" si="50"/>
        <v>قراردادي بهره بردار</v>
      </c>
      <c r="E462" s="1" t="str">
        <f t="shared" si="51"/>
        <v>پروژه بهره برداري نيروگاه بوشهر</v>
      </c>
      <c r="F462" s="1">
        <v>15891534</v>
      </c>
      <c r="G462" s="1">
        <v>864438</v>
      </c>
      <c r="H462" s="1">
        <v>0</v>
      </c>
      <c r="I462" s="1">
        <v>11130024</v>
      </c>
      <c r="J462" s="1">
        <v>0</v>
      </c>
      <c r="K462" s="1">
        <v>3465000</v>
      </c>
      <c r="L462" s="1">
        <v>0</v>
      </c>
      <c r="M462" s="1">
        <v>1000000</v>
      </c>
      <c r="N462" s="1">
        <v>2661101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3712218</v>
      </c>
      <c r="W462" s="1">
        <v>4000000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2090865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5348655</v>
      </c>
      <c r="AM462" s="1">
        <v>0</v>
      </c>
      <c r="AN462" s="1">
        <v>0</v>
      </c>
      <c r="AO462" s="1">
        <v>50163835</v>
      </c>
      <c r="AP462" s="1">
        <v>16170308</v>
      </c>
      <c r="AQ462" s="1">
        <v>33993527</v>
      </c>
      <c r="AR462" s="1">
        <v>10032767</v>
      </c>
      <c r="AS462" s="1">
        <v>1504915</v>
      </c>
      <c r="AT462" s="3">
        <f t="shared" si="49"/>
        <v>61701517</v>
      </c>
    </row>
    <row r="463" spans="1:46" x14ac:dyDescent="0.2">
      <c r="A463" s="1" t="str">
        <f>"00536"</f>
        <v>00536</v>
      </c>
      <c r="B463" s="1" t="str">
        <f>"سجاد"</f>
        <v>سجاد</v>
      </c>
      <c r="C463" s="1" t="str">
        <f>"دهقاني فتح ابادي"</f>
        <v>دهقاني فتح ابادي</v>
      </c>
      <c r="D463" s="1" t="str">
        <f t="shared" si="50"/>
        <v>قراردادي بهره بردار</v>
      </c>
      <c r="E463" s="1" t="str">
        <f t="shared" si="51"/>
        <v>پروژه بهره برداري نيروگاه بوشهر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3">
        <f t="shared" si="49"/>
        <v>0</v>
      </c>
    </row>
    <row r="464" spans="1:46" x14ac:dyDescent="0.2">
      <c r="A464" s="1" t="str">
        <f>"00537"</f>
        <v>00537</v>
      </c>
      <c r="B464" s="1" t="str">
        <f>"حمزه"</f>
        <v>حمزه</v>
      </c>
      <c r="C464" s="1" t="str">
        <f>"ذبيحي"</f>
        <v>ذبيحي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22877461</v>
      </c>
      <c r="G464" s="1">
        <v>6430984</v>
      </c>
      <c r="H464" s="1">
        <v>0</v>
      </c>
      <c r="I464" s="1">
        <v>20611148</v>
      </c>
      <c r="J464" s="1">
        <v>0</v>
      </c>
      <c r="K464" s="1">
        <v>4125000</v>
      </c>
      <c r="L464" s="1">
        <v>0</v>
      </c>
      <c r="M464" s="1">
        <v>1000000</v>
      </c>
      <c r="N464" s="1">
        <v>4145075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23962875</v>
      </c>
      <c r="W464" s="1">
        <v>4000000</v>
      </c>
      <c r="X464" s="1">
        <v>3320922</v>
      </c>
      <c r="Y464" s="1">
        <v>0</v>
      </c>
      <c r="Z464" s="1">
        <v>0</v>
      </c>
      <c r="AA464" s="1">
        <v>0</v>
      </c>
      <c r="AB464" s="1">
        <v>0</v>
      </c>
      <c r="AC464" s="1">
        <v>4459102</v>
      </c>
      <c r="AD464" s="1">
        <v>0</v>
      </c>
      <c r="AE464" s="1">
        <v>3256845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21949967</v>
      </c>
      <c r="AM464" s="1">
        <v>0</v>
      </c>
      <c r="AN464" s="1">
        <v>0</v>
      </c>
      <c r="AO464" s="1">
        <v>120139379</v>
      </c>
      <c r="AP464" s="1">
        <v>36935689</v>
      </c>
      <c r="AQ464" s="1">
        <v>83203690</v>
      </c>
      <c r="AR464" s="1">
        <v>24027876</v>
      </c>
      <c r="AS464" s="1">
        <v>3604181</v>
      </c>
      <c r="AT464" s="3">
        <f t="shared" si="49"/>
        <v>147771436</v>
      </c>
    </row>
    <row r="465" spans="1:46" x14ac:dyDescent="0.2">
      <c r="A465" s="1" t="str">
        <f>"00539"</f>
        <v>00539</v>
      </c>
      <c r="B465" s="1" t="str">
        <f>"صابر"</f>
        <v>صابر</v>
      </c>
      <c r="C465" s="1" t="str">
        <f>"رفيعي"</f>
        <v>رفيعي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21920139</v>
      </c>
      <c r="G465" s="1">
        <v>5661184</v>
      </c>
      <c r="H465" s="1">
        <v>0</v>
      </c>
      <c r="I465" s="1">
        <v>18739457</v>
      </c>
      <c r="J465" s="1">
        <v>0</v>
      </c>
      <c r="K465" s="1">
        <v>5500000</v>
      </c>
      <c r="L465" s="1">
        <v>0</v>
      </c>
      <c r="M465" s="1">
        <v>1000000</v>
      </c>
      <c r="N465" s="1">
        <v>3810013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16668676</v>
      </c>
      <c r="W465" s="1">
        <v>4000000</v>
      </c>
      <c r="X465" s="1">
        <v>3181956</v>
      </c>
      <c r="Y465" s="1">
        <v>0</v>
      </c>
      <c r="Z465" s="1">
        <v>0</v>
      </c>
      <c r="AA465" s="1">
        <v>0</v>
      </c>
      <c r="AB465" s="1">
        <v>0</v>
      </c>
      <c r="AC465" s="1">
        <v>4459102</v>
      </c>
      <c r="AD465" s="1">
        <v>0</v>
      </c>
      <c r="AE465" s="1">
        <v>2993581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20550212</v>
      </c>
      <c r="AM465" s="1">
        <v>0</v>
      </c>
      <c r="AN465" s="1">
        <v>0</v>
      </c>
      <c r="AO465" s="1">
        <v>108484320</v>
      </c>
      <c r="AP465" s="1">
        <v>35867634</v>
      </c>
      <c r="AQ465" s="1">
        <v>72616686</v>
      </c>
      <c r="AR465" s="1">
        <v>21696864</v>
      </c>
      <c r="AS465" s="1">
        <v>3254530</v>
      </c>
      <c r="AT465" s="3">
        <f t="shared" si="49"/>
        <v>133435714</v>
      </c>
    </row>
    <row r="466" spans="1:46" x14ac:dyDescent="0.2">
      <c r="A466" s="1" t="str">
        <f>"00540"</f>
        <v>00540</v>
      </c>
      <c r="B466" s="1" t="str">
        <f>"قنبر"</f>
        <v>قنبر</v>
      </c>
      <c r="C466" s="1" t="str">
        <f>"رئيسي"</f>
        <v>رئيسي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16632199</v>
      </c>
      <c r="G466" s="1">
        <v>3907436</v>
      </c>
      <c r="H466" s="1">
        <v>0</v>
      </c>
      <c r="I466" s="1">
        <v>13901310</v>
      </c>
      <c r="J466" s="1">
        <v>0</v>
      </c>
      <c r="K466" s="1">
        <v>4620000</v>
      </c>
      <c r="L466" s="1">
        <v>0</v>
      </c>
      <c r="M466" s="1">
        <v>1000000</v>
      </c>
      <c r="N466" s="1">
        <v>3198083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11403100</v>
      </c>
      <c r="W466" s="1">
        <v>4000000</v>
      </c>
      <c r="X466" s="1">
        <v>2414351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2512779</v>
      </c>
      <c r="AF466" s="1">
        <v>3670854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13879144</v>
      </c>
      <c r="AM466" s="1">
        <v>0</v>
      </c>
      <c r="AN466" s="1">
        <v>0</v>
      </c>
      <c r="AO466" s="1">
        <v>81139256</v>
      </c>
      <c r="AP466" s="1">
        <v>29173193</v>
      </c>
      <c r="AQ466" s="1">
        <v>51966063</v>
      </c>
      <c r="AR466" s="1">
        <v>15493680</v>
      </c>
      <c r="AS466" s="1">
        <v>2324052</v>
      </c>
      <c r="AT466" s="3">
        <f t="shared" si="49"/>
        <v>98956988</v>
      </c>
    </row>
    <row r="467" spans="1:46" x14ac:dyDescent="0.2">
      <c r="A467" s="1" t="str">
        <f>"00541"</f>
        <v>00541</v>
      </c>
      <c r="B467" s="1" t="str">
        <f>"وحيد"</f>
        <v>وحيد</v>
      </c>
      <c r="C467" s="1" t="str">
        <f>"زارعي"</f>
        <v>زارعي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21905024</v>
      </c>
      <c r="G467" s="1">
        <v>12969920</v>
      </c>
      <c r="H467" s="1">
        <v>0</v>
      </c>
      <c r="I467" s="1">
        <v>16593271</v>
      </c>
      <c r="J467" s="1">
        <v>0</v>
      </c>
      <c r="K467" s="1">
        <v>5500000</v>
      </c>
      <c r="L467" s="1">
        <v>0</v>
      </c>
      <c r="M467" s="1">
        <v>1000000</v>
      </c>
      <c r="N467" s="1">
        <v>3804723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18903307</v>
      </c>
      <c r="W467" s="1">
        <v>4000000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2989425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6497441</v>
      </c>
      <c r="AM467" s="1">
        <v>0</v>
      </c>
      <c r="AN467" s="1">
        <v>0</v>
      </c>
      <c r="AO467" s="1">
        <v>94163111</v>
      </c>
      <c r="AP467" s="1">
        <v>30037049</v>
      </c>
      <c r="AQ467" s="1">
        <v>64126062</v>
      </c>
      <c r="AR467" s="1">
        <v>18832622</v>
      </c>
      <c r="AS467" s="1">
        <v>2824893</v>
      </c>
      <c r="AT467" s="3">
        <f t="shared" si="49"/>
        <v>115820626</v>
      </c>
    </row>
    <row r="468" spans="1:46" x14ac:dyDescent="0.2">
      <c r="A468" s="1" t="str">
        <f>"00542"</f>
        <v>00542</v>
      </c>
      <c r="B468" s="1" t="str">
        <f>"سجاد"</f>
        <v>سجاد</v>
      </c>
      <c r="C468" s="1" t="str">
        <f>"سالميان"</f>
        <v>سالميان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21632943</v>
      </c>
      <c r="G468" s="1">
        <v>6766730</v>
      </c>
      <c r="H468" s="1">
        <v>0</v>
      </c>
      <c r="I468" s="1">
        <v>16924759</v>
      </c>
      <c r="J468" s="1">
        <v>0</v>
      </c>
      <c r="K468" s="1">
        <v>5500000</v>
      </c>
      <c r="L468" s="1">
        <v>0</v>
      </c>
      <c r="M468" s="1">
        <v>1000000</v>
      </c>
      <c r="N468" s="1">
        <v>3709494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9356768</v>
      </c>
      <c r="W468" s="1">
        <v>4000000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2914602</v>
      </c>
      <c r="AF468" s="1">
        <v>1835427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5395325</v>
      </c>
      <c r="AM468" s="1">
        <v>0</v>
      </c>
      <c r="AN468" s="1">
        <v>0</v>
      </c>
      <c r="AO468" s="1">
        <v>79036048</v>
      </c>
      <c r="AP468" s="1">
        <v>13947545</v>
      </c>
      <c r="AQ468" s="1">
        <v>65088503</v>
      </c>
      <c r="AR468" s="1">
        <v>15440124</v>
      </c>
      <c r="AS468" s="1">
        <v>2316019</v>
      </c>
      <c r="AT468" s="3">
        <f t="shared" si="49"/>
        <v>96792191</v>
      </c>
    </row>
    <row r="469" spans="1:46" x14ac:dyDescent="0.2">
      <c r="A469" s="1" t="str">
        <f>"00545"</f>
        <v>00545</v>
      </c>
      <c r="B469" s="1" t="str">
        <f>"ميثم"</f>
        <v>ميثم</v>
      </c>
      <c r="C469" s="1" t="str">
        <f>"شاپورجاني"</f>
        <v>شاپورجاني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17793580</v>
      </c>
      <c r="G469" s="1">
        <v>11466603</v>
      </c>
      <c r="H469" s="1">
        <v>0</v>
      </c>
      <c r="I469" s="1">
        <v>14166660</v>
      </c>
      <c r="J469" s="1">
        <v>0</v>
      </c>
      <c r="K469" s="1">
        <v>4620000</v>
      </c>
      <c r="L469" s="1">
        <v>0</v>
      </c>
      <c r="M469" s="1">
        <v>1000000</v>
      </c>
      <c r="N469" s="1">
        <v>3326818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11686858</v>
      </c>
      <c r="W469" s="1">
        <v>4000000</v>
      </c>
      <c r="X469" s="1">
        <v>2582939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2613928</v>
      </c>
      <c r="AF469" s="1">
        <v>1835427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12911443</v>
      </c>
      <c r="AM469" s="1">
        <v>0</v>
      </c>
      <c r="AN469" s="1">
        <v>0</v>
      </c>
      <c r="AO469" s="1">
        <v>88004256</v>
      </c>
      <c r="AP469" s="1">
        <v>33992562</v>
      </c>
      <c r="AQ469" s="1">
        <v>54011694</v>
      </c>
      <c r="AR469" s="1">
        <v>17233766</v>
      </c>
      <c r="AS469" s="1">
        <v>2585065</v>
      </c>
      <c r="AT469" s="3">
        <f t="shared" si="49"/>
        <v>107823087</v>
      </c>
    </row>
    <row r="470" spans="1:46" x14ac:dyDescent="0.2">
      <c r="A470" s="1" t="str">
        <f>"00546"</f>
        <v>00546</v>
      </c>
      <c r="B470" s="1" t="str">
        <f>"عليرضا"</f>
        <v>عليرضا</v>
      </c>
      <c r="C470" s="1" t="str">
        <f>"شفيعي"</f>
        <v>شفيعي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17274612</v>
      </c>
      <c r="G470" s="1">
        <v>13187796</v>
      </c>
      <c r="H470" s="1">
        <v>0</v>
      </c>
      <c r="I470" s="1">
        <v>13871423</v>
      </c>
      <c r="J470" s="1">
        <v>0</v>
      </c>
      <c r="K470" s="1">
        <v>4620000</v>
      </c>
      <c r="L470" s="1">
        <v>0</v>
      </c>
      <c r="M470" s="1">
        <v>1000000</v>
      </c>
      <c r="N470" s="1">
        <v>3145178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7885650</v>
      </c>
      <c r="W470" s="1">
        <v>4000000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2471212</v>
      </c>
      <c r="AF470" s="1">
        <v>3670854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5862712</v>
      </c>
      <c r="AM470" s="1">
        <v>0</v>
      </c>
      <c r="AN470" s="1">
        <v>0</v>
      </c>
      <c r="AO470" s="1">
        <v>76989437</v>
      </c>
      <c r="AP470" s="1">
        <v>31751470</v>
      </c>
      <c r="AQ470" s="1">
        <v>45237967</v>
      </c>
      <c r="AR470" s="1">
        <v>14663717</v>
      </c>
      <c r="AS470" s="1">
        <v>2199557</v>
      </c>
      <c r="AT470" s="3">
        <f t="shared" si="49"/>
        <v>93852711</v>
      </c>
    </row>
    <row r="471" spans="1:46" x14ac:dyDescent="0.2">
      <c r="A471" s="1" t="str">
        <f>"00547"</f>
        <v>00547</v>
      </c>
      <c r="B471" s="1" t="str">
        <f>"حبيب اله"</f>
        <v>حبيب اله</v>
      </c>
      <c r="C471" s="1" t="str">
        <f>"صالحي"</f>
        <v>صالحي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16115749</v>
      </c>
      <c r="G471" s="1">
        <v>11960438</v>
      </c>
      <c r="H471" s="1">
        <v>0</v>
      </c>
      <c r="I471" s="1">
        <v>13992269</v>
      </c>
      <c r="J471" s="1">
        <v>0</v>
      </c>
      <c r="K471" s="1">
        <v>4620000</v>
      </c>
      <c r="L471" s="1">
        <v>0</v>
      </c>
      <c r="M471" s="1">
        <v>1000000</v>
      </c>
      <c r="N471" s="1">
        <v>3017326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20716237</v>
      </c>
      <c r="W471" s="1">
        <v>4000000</v>
      </c>
      <c r="X471" s="1">
        <v>2339383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2370756</v>
      </c>
      <c r="AF471" s="1">
        <v>1835427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11586258</v>
      </c>
      <c r="AM471" s="1">
        <v>0</v>
      </c>
      <c r="AN471" s="1">
        <v>0</v>
      </c>
      <c r="AO471" s="1">
        <v>93553843</v>
      </c>
      <c r="AP471" s="1">
        <v>41087266</v>
      </c>
      <c r="AQ471" s="1">
        <v>52466577</v>
      </c>
      <c r="AR471" s="1">
        <v>18343683</v>
      </c>
      <c r="AS471" s="1">
        <v>2751552</v>
      </c>
      <c r="AT471" s="3">
        <f t="shared" si="49"/>
        <v>114649078</v>
      </c>
    </row>
    <row r="472" spans="1:46" x14ac:dyDescent="0.2">
      <c r="A472" s="1" t="str">
        <f>"00548"</f>
        <v>00548</v>
      </c>
      <c r="B472" s="1" t="str">
        <f>"خالد"</f>
        <v>خالد</v>
      </c>
      <c r="C472" s="1" t="str">
        <f>"طاهرپور"</f>
        <v>طاهرپور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22454224</v>
      </c>
      <c r="G472" s="1">
        <v>0</v>
      </c>
      <c r="H472" s="1">
        <v>0</v>
      </c>
      <c r="I472" s="1">
        <v>19257225</v>
      </c>
      <c r="J472" s="1">
        <v>0</v>
      </c>
      <c r="K472" s="1">
        <v>5500000</v>
      </c>
      <c r="L472" s="1">
        <v>0</v>
      </c>
      <c r="M472" s="1">
        <v>1000000</v>
      </c>
      <c r="N472" s="1">
        <v>3996943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15538763</v>
      </c>
      <c r="W472" s="1">
        <v>4000000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4459102</v>
      </c>
      <c r="AD472" s="1">
        <v>0</v>
      </c>
      <c r="AE472" s="1">
        <v>3140455</v>
      </c>
      <c r="AF472" s="1">
        <v>1835427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14251895</v>
      </c>
      <c r="AM472" s="1">
        <v>0</v>
      </c>
      <c r="AN472" s="1">
        <v>0</v>
      </c>
      <c r="AO472" s="1">
        <v>95434034</v>
      </c>
      <c r="AP472" s="1">
        <v>27683943</v>
      </c>
      <c r="AQ472" s="1">
        <v>67750091</v>
      </c>
      <c r="AR472" s="1">
        <v>18719721</v>
      </c>
      <c r="AS472" s="1">
        <v>2807958</v>
      </c>
      <c r="AT472" s="3">
        <f t="shared" si="49"/>
        <v>116961713</v>
      </c>
    </row>
    <row r="473" spans="1:46" x14ac:dyDescent="0.2">
      <c r="A473" s="1" t="str">
        <f>"00549"</f>
        <v>00549</v>
      </c>
      <c r="B473" s="1" t="str">
        <f>"مسعود"</f>
        <v>مسعود</v>
      </c>
      <c r="C473" s="1" t="str">
        <f>"ظاهري حقيقي"</f>
        <v>ظاهري حقيقي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15957035</v>
      </c>
      <c r="G473" s="1">
        <v>16275227</v>
      </c>
      <c r="H473" s="1">
        <v>0</v>
      </c>
      <c r="I473" s="1">
        <v>12995209</v>
      </c>
      <c r="J473" s="1">
        <v>0</v>
      </c>
      <c r="K473" s="1">
        <v>3465000</v>
      </c>
      <c r="L473" s="1">
        <v>0</v>
      </c>
      <c r="M473" s="1">
        <v>1000000</v>
      </c>
      <c r="N473" s="1">
        <v>2961776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20135519</v>
      </c>
      <c r="W473" s="1">
        <v>4000000</v>
      </c>
      <c r="X473" s="1">
        <v>2316344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2327110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11521412</v>
      </c>
      <c r="AM473" s="1">
        <v>0</v>
      </c>
      <c r="AN473" s="1">
        <v>0</v>
      </c>
      <c r="AO473" s="1">
        <v>92954632</v>
      </c>
      <c r="AP473" s="1">
        <v>32438013</v>
      </c>
      <c r="AQ473" s="1">
        <v>60516619</v>
      </c>
      <c r="AR473" s="1">
        <v>18590926</v>
      </c>
      <c r="AS473" s="1">
        <v>2788639</v>
      </c>
      <c r="AT473" s="3">
        <f t="shared" si="49"/>
        <v>114334197</v>
      </c>
    </row>
    <row r="474" spans="1:46" x14ac:dyDescent="0.2">
      <c r="A474" s="1" t="str">
        <f>"00550"</f>
        <v>00550</v>
      </c>
      <c r="B474" s="1" t="str">
        <f>"جواد"</f>
        <v>جواد</v>
      </c>
      <c r="C474" s="1" t="str">
        <f>"عفيف"</f>
        <v>عفيف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17221707</v>
      </c>
      <c r="G474" s="1">
        <v>0</v>
      </c>
      <c r="H474" s="1">
        <v>0</v>
      </c>
      <c r="I474" s="1">
        <v>13469839</v>
      </c>
      <c r="J474" s="1">
        <v>0</v>
      </c>
      <c r="K474" s="1">
        <v>3465000</v>
      </c>
      <c r="L474" s="1">
        <v>0</v>
      </c>
      <c r="M474" s="1">
        <v>1000000</v>
      </c>
      <c r="N474" s="1">
        <v>3126662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7661505</v>
      </c>
      <c r="W474" s="1">
        <v>4000000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2456663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5138675</v>
      </c>
      <c r="AM474" s="1">
        <v>0</v>
      </c>
      <c r="AN474" s="1">
        <v>0</v>
      </c>
      <c r="AO474" s="1">
        <v>57540051</v>
      </c>
      <c r="AP474" s="1">
        <v>12681455</v>
      </c>
      <c r="AQ474" s="1">
        <v>44858596</v>
      </c>
      <c r="AR474" s="1">
        <v>11508010</v>
      </c>
      <c r="AS474" s="1">
        <v>1726202</v>
      </c>
      <c r="AT474" s="3">
        <f t="shared" si="49"/>
        <v>70774263</v>
      </c>
    </row>
    <row r="475" spans="1:46" x14ac:dyDescent="0.2">
      <c r="A475" s="1" t="str">
        <f>"00551"</f>
        <v>00551</v>
      </c>
      <c r="B475" s="1" t="str">
        <f>"سعيد"</f>
        <v>سعيد</v>
      </c>
      <c r="C475" s="1" t="str">
        <f>"فاتحي فر"</f>
        <v>فاتحي فر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17977487</v>
      </c>
      <c r="G475" s="1">
        <v>14066518</v>
      </c>
      <c r="H475" s="1">
        <v>0</v>
      </c>
      <c r="I475" s="1">
        <v>14885868</v>
      </c>
      <c r="J475" s="1">
        <v>0</v>
      </c>
      <c r="K475" s="1">
        <v>4620000</v>
      </c>
      <c r="L475" s="1">
        <v>0</v>
      </c>
      <c r="M475" s="1">
        <v>1000000</v>
      </c>
      <c r="N475" s="1">
        <v>3391185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18163037</v>
      </c>
      <c r="W475" s="1">
        <v>4000000</v>
      </c>
      <c r="X475" s="1">
        <v>2609635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2664503</v>
      </c>
      <c r="AF475" s="1">
        <v>1835427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14111723</v>
      </c>
      <c r="AM475" s="1">
        <v>0</v>
      </c>
      <c r="AN475" s="1">
        <v>0</v>
      </c>
      <c r="AO475" s="1">
        <v>99325383</v>
      </c>
      <c r="AP475" s="1">
        <v>42541585</v>
      </c>
      <c r="AQ475" s="1">
        <v>56783798</v>
      </c>
      <c r="AR475" s="1">
        <v>19497991</v>
      </c>
      <c r="AS475" s="1">
        <v>2924699</v>
      </c>
      <c r="AT475" s="3">
        <f t="shared" si="49"/>
        <v>121748073</v>
      </c>
    </row>
    <row r="476" spans="1:46" x14ac:dyDescent="0.2">
      <c r="A476" s="1" t="str">
        <f>"00552"</f>
        <v>00552</v>
      </c>
      <c r="B476" s="1" t="str">
        <f>"محمد"</f>
        <v>محمد</v>
      </c>
      <c r="C476" s="1" t="str">
        <f>"قاسمي"</f>
        <v>قاسمي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17007569</v>
      </c>
      <c r="G476" s="1">
        <v>3534393</v>
      </c>
      <c r="H476" s="1">
        <v>0</v>
      </c>
      <c r="I476" s="1">
        <v>14022414</v>
      </c>
      <c r="J476" s="1">
        <v>0</v>
      </c>
      <c r="K476" s="1">
        <v>4620000</v>
      </c>
      <c r="L476" s="1">
        <v>0</v>
      </c>
      <c r="M476" s="1">
        <v>1000000</v>
      </c>
      <c r="N476" s="1">
        <v>3329463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11603752</v>
      </c>
      <c r="W476" s="1">
        <v>4000000</v>
      </c>
      <c r="X476" s="1">
        <v>2468841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2616006</v>
      </c>
      <c r="AF476" s="1">
        <v>3670854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14030048</v>
      </c>
      <c r="AM476" s="1">
        <v>0</v>
      </c>
      <c r="AN476" s="1">
        <v>0</v>
      </c>
      <c r="AO476" s="1">
        <v>81903340</v>
      </c>
      <c r="AP476" s="1">
        <v>34093738</v>
      </c>
      <c r="AQ476" s="1">
        <v>47809602</v>
      </c>
      <c r="AR476" s="1">
        <v>15646497</v>
      </c>
      <c r="AS476" s="1">
        <v>2346975</v>
      </c>
      <c r="AT476" s="3">
        <f t="shared" si="49"/>
        <v>99896812</v>
      </c>
    </row>
    <row r="477" spans="1:46" x14ac:dyDescent="0.2">
      <c r="A477" s="1" t="str">
        <f>"00553"</f>
        <v>00553</v>
      </c>
      <c r="B477" s="1" t="str">
        <f>"پويا"</f>
        <v>پويا</v>
      </c>
      <c r="C477" s="1" t="str">
        <f>"قباديان"</f>
        <v>قباديان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22685996</v>
      </c>
      <c r="G477" s="1">
        <v>26812508</v>
      </c>
      <c r="H477" s="1">
        <v>0</v>
      </c>
      <c r="I477" s="1">
        <v>19587928</v>
      </c>
      <c r="J477" s="1">
        <v>0</v>
      </c>
      <c r="K477" s="1">
        <v>5500000</v>
      </c>
      <c r="L477" s="1">
        <v>0</v>
      </c>
      <c r="M477" s="1">
        <v>1000000</v>
      </c>
      <c r="N477" s="1">
        <v>4078063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17482488</v>
      </c>
      <c r="W477" s="1">
        <v>4000000</v>
      </c>
      <c r="X477" s="1">
        <v>1961891</v>
      </c>
      <c r="Y477" s="1">
        <v>0</v>
      </c>
      <c r="Z477" s="1">
        <v>0</v>
      </c>
      <c r="AA477" s="1">
        <v>0</v>
      </c>
      <c r="AB477" s="1">
        <v>0</v>
      </c>
      <c r="AC477" s="1">
        <v>4459102</v>
      </c>
      <c r="AD477" s="1">
        <v>0</v>
      </c>
      <c r="AE477" s="1">
        <v>3204192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21178215</v>
      </c>
      <c r="AM477" s="1">
        <v>0</v>
      </c>
      <c r="AN477" s="1">
        <v>0</v>
      </c>
      <c r="AO477" s="1">
        <v>131950383</v>
      </c>
      <c r="AP477" s="1">
        <v>46759676</v>
      </c>
      <c r="AQ477" s="1">
        <v>85190707</v>
      </c>
      <c r="AR477" s="1">
        <v>26390077</v>
      </c>
      <c r="AS477" s="1">
        <v>3958511</v>
      </c>
      <c r="AT477" s="3">
        <f t="shared" si="49"/>
        <v>162298971</v>
      </c>
    </row>
    <row r="478" spans="1:46" x14ac:dyDescent="0.2">
      <c r="A478" s="1" t="str">
        <f>"00554"</f>
        <v>00554</v>
      </c>
      <c r="B478" s="1" t="str">
        <f>"امين"</f>
        <v>امين</v>
      </c>
      <c r="C478" s="1" t="str">
        <f>"قجري"</f>
        <v>قجري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16843817</v>
      </c>
      <c r="G478" s="1">
        <v>14514629</v>
      </c>
      <c r="H478" s="1">
        <v>0</v>
      </c>
      <c r="I478" s="1">
        <v>14942841</v>
      </c>
      <c r="J478" s="1">
        <v>0</v>
      </c>
      <c r="K478" s="1">
        <v>4620000</v>
      </c>
      <c r="L478" s="1">
        <v>0</v>
      </c>
      <c r="M478" s="1">
        <v>1000000</v>
      </c>
      <c r="N478" s="1">
        <v>3272149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17492207</v>
      </c>
      <c r="W478" s="1">
        <v>4000000</v>
      </c>
      <c r="X478" s="1">
        <v>2445070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2570975</v>
      </c>
      <c r="AF478" s="1">
        <v>1835427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13442353</v>
      </c>
      <c r="AM478" s="1">
        <v>0</v>
      </c>
      <c r="AN478" s="1">
        <v>0</v>
      </c>
      <c r="AO478" s="1">
        <v>96979468</v>
      </c>
      <c r="AP478" s="1">
        <v>41486457</v>
      </c>
      <c r="AQ478" s="1">
        <v>55493011</v>
      </c>
      <c r="AR478" s="1">
        <v>19028808</v>
      </c>
      <c r="AS478" s="1">
        <v>2854321</v>
      </c>
      <c r="AT478" s="3">
        <f t="shared" si="49"/>
        <v>118862597</v>
      </c>
    </row>
    <row r="479" spans="1:46" x14ac:dyDescent="0.2">
      <c r="A479" s="1" t="str">
        <f>"00555"</f>
        <v>00555</v>
      </c>
      <c r="B479" s="1" t="str">
        <f>"علي رضا"</f>
        <v>علي رضا</v>
      </c>
      <c r="C479" s="1" t="str">
        <f>"قناتي"</f>
        <v>قناتي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16876567</v>
      </c>
      <c r="G479" s="1">
        <v>8503978</v>
      </c>
      <c r="H479" s="1">
        <v>0</v>
      </c>
      <c r="I479" s="1">
        <v>14143824</v>
      </c>
      <c r="J479" s="1">
        <v>0</v>
      </c>
      <c r="K479" s="1">
        <v>4620000</v>
      </c>
      <c r="L479" s="1">
        <v>0</v>
      </c>
      <c r="M479" s="1">
        <v>1000000</v>
      </c>
      <c r="N479" s="1">
        <v>3283612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21403179</v>
      </c>
      <c r="W479" s="1">
        <v>4000000</v>
      </c>
      <c r="X479" s="1">
        <v>2449824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2579981</v>
      </c>
      <c r="AF479" s="1">
        <v>1835427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12603136</v>
      </c>
      <c r="AM479" s="1">
        <v>0</v>
      </c>
      <c r="AN479" s="1">
        <v>0</v>
      </c>
      <c r="AO479" s="1">
        <v>93299528</v>
      </c>
      <c r="AP479" s="1">
        <v>40048747</v>
      </c>
      <c r="AQ479" s="1">
        <v>53250781</v>
      </c>
      <c r="AR479" s="1">
        <v>18292820</v>
      </c>
      <c r="AS479" s="1">
        <v>2743923</v>
      </c>
      <c r="AT479" s="3">
        <f t="shared" si="49"/>
        <v>114336271</v>
      </c>
    </row>
    <row r="480" spans="1:46" x14ac:dyDescent="0.2">
      <c r="A480" s="1" t="str">
        <f>"00556"</f>
        <v>00556</v>
      </c>
      <c r="B480" s="1" t="str">
        <f>"سعيد"</f>
        <v>سعيد</v>
      </c>
      <c r="C480" s="1" t="str">
        <f>"ماندني"</f>
        <v>ماندني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18078258</v>
      </c>
      <c r="G480" s="1">
        <v>4598895</v>
      </c>
      <c r="H480" s="1">
        <v>0</v>
      </c>
      <c r="I480" s="1">
        <v>15814878</v>
      </c>
      <c r="J480" s="1">
        <v>0</v>
      </c>
      <c r="K480" s="1">
        <v>4620000</v>
      </c>
      <c r="L480" s="1">
        <v>0</v>
      </c>
      <c r="M480" s="1">
        <v>1000000</v>
      </c>
      <c r="N480" s="1">
        <v>3426455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17450895</v>
      </c>
      <c r="W480" s="1">
        <v>4000000</v>
      </c>
      <c r="X480" s="1">
        <v>2624263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2692215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14951646</v>
      </c>
      <c r="AM480" s="1">
        <v>0</v>
      </c>
      <c r="AN480" s="1">
        <v>0</v>
      </c>
      <c r="AO480" s="1">
        <v>89257505</v>
      </c>
      <c r="AP480" s="1">
        <v>37441946</v>
      </c>
      <c r="AQ480" s="1">
        <v>51815559</v>
      </c>
      <c r="AR480" s="1">
        <v>17851501</v>
      </c>
      <c r="AS480" s="1">
        <v>2677725</v>
      </c>
      <c r="AT480" s="3">
        <f t="shared" si="49"/>
        <v>109786731</v>
      </c>
    </row>
    <row r="481" spans="1:46" x14ac:dyDescent="0.2">
      <c r="A481" s="1" t="str">
        <f>"00557"</f>
        <v>00557</v>
      </c>
      <c r="B481" s="1" t="str">
        <f>"محمد جواد"</f>
        <v>محمد جواد</v>
      </c>
      <c r="C481" s="1" t="str">
        <f>"مرادي"</f>
        <v>مرادي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22446666</v>
      </c>
      <c r="G481" s="1">
        <v>6272268</v>
      </c>
      <c r="H481" s="1">
        <v>0</v>
      </c>
      <c r="I481" s="1">
        <v>19765310</v>
      </c>
      <c r="J481" s="1">
        <v>0</v>
      </c>
      <c r="K481" s="1">
        <v>0</v>
      </c>
      <c r="L481" s="1">
        <v>0</v>
      </c>
      <c r="M481" s="1">
        <v>1000000</v>
      </c>
      <c r="N481" s="1">
        <v>3994297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23371474</v>
      </c>
      <c r="W481" s="1">
        <v>4000000</v>
      </c>
      <c r="X481" s="1">
        <v>3258387</v>
      </c>
      <c r="Y481" s="1">
        <v>0</v>
      </c>
      <c r="Z481" s="1">
        <v>0</v>
      </c>
      <c r="AA481" s="1">
        <v>0</v>
      </c>
      <c r="AB481" s="1">
        <v>0</v>
      </c>
      <c r="AC481" s="1">
        <v>4459102</v>
      </c>
      <c r="AD481" s="1">
        <v>0</v>
      </c>
      <c r="AE481" s="1">
        <v>3138377</v>
      </c>
      <c r="AF481" s="1">
        <v>1835427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21588100</v>
      </c>
      <c r="AM481" s="1">
        <v>0</v>
      </c>
      <c r="AN481" s="1">
        <v>0</v>
      </c>
      <c r="AO481" s="1">
        <v>115129408</v>
      </c>
      <c r="AP481" s="1">
        <v>35946629</v>
      </c>
      <c r="AQ481" s="1">
        <v>79182779</v>
      </c>
      <c r="AR481" s="1">
        <v>22658796</v>
      </c>
      <c r="AS481" s="1">
        <v>3398819</v>
      </c>
      <c r="AT481" s="3">
        <f t="shared" si="49"/>
        <v>141187023</v>
      </c>
    </row>
    <row r="482" spans="1:46" x14ac:dyDescent="0.2">
      <c r="A482" s="1" t="str">
        <f>"00559"</f>
        <v>00559</v>
      </c>
      <c r="B482" s="1" t="str">
        <f>"رضا"</f>
        <v>رضا</v>
      </c>
      <c r="C482" s="1" t="str">
        <f>"مشکور"</f>
        <v>مشکور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16274463</v>
      </c>
      <c r="G482" s="1">
        <v>7152665</v>
      </c>
      <c r="H482" s="1">
        <v>0</v>
      </c>
      <c r="I482" s="1">
        <v>13413919</v>
      </c>
      <c r="J482" s="1">
        <v>0</v>
      </c>
      <c r="K482" s="1">
        <v>4620000</v>
      </c>
      <c r="L482" s="1">
        <v>0</v>
      </c>
      <c r="M482" s="1">
        <v>1000000</v>
      </c>
      <c r="N482" s="1">
        <v>3072876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20648115</v>
      </c>
      <c r="W482" s="1">
        <v>4000000</v>
      </c>
      <c r="X482" s="1">
        <v>2362422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2414402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11751875</v>
      </c>
      <c r="AM482" s="1">
        <v>0</v>
      </c>
      <c r="AN482" s="1">
        <v>0</v>
      </c>
      <c r="AO482" s="1">
        <v>86710737</v>
      </c>
      <c r="AP482" s="1">
        <v>35580819</v>
      </c>
      <c r="AQ482" s="1">
        <v>51129918</v>
      </c>
      <c r="AR482" s="1">
        <v>17342147</v>
      </c>
      <c r="AS482" s="1">
        <v>2601322</v>
      </c>
      <c r="AT482" s="3">
        <f t="shared" si="49"/>
        <v>106654206</v>
      </c>
    </row>
    <row r="483" spans="1:46" x14ac:dyDescent="0.2">
      <c r="A483" s="1" t="str">
        <f>"00560"</f>
        <v>00560</v>
      </c>
      <c r="B483" s="1" t="str">
        <f>"وحيد"</f>
        <v>وحيد</v>
      </c>
      <c r="C483" s="1" t="str">
        <f>"منصوري"</f>
        <v>منصوري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15750455</v>
      </c>
      <c r="G483" s="1">
        <v>0</v>
      </c>
      <c r="H483" s="1">
        <v>0</v>
      </c>
      <c r="I483" s="1">
        <v>12281550</v>
      </c>
      <c r="J483" s="1">
        <v>0</v>
      </c>
      <c r="K483" s="1">
        <v>3465000</v>
      </c>
      <c r="L483" s="1">
        <v>0</v>
      </c>
      <c r="M483" s="1">
        <v>1000000</v>
      </c>
      <c r="N483" s="1">
        <v>2889473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14953846</v>
      </c>
      <c r="W483" s="1">
        <v>4000000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2270301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8346683</v>
      </c>
      <c r="AM483" s="1">
        <v>0</v>
      </c>
      <c r="AN483" s="1">
        <v>0</v>
      </c>
      <c r="AO483" s="1">
        <v>64957308</v>
      </c>
      <c r="AP483" s="1">
        <v>29904416</v>
      </c>
      <c r="AQ483" s="1">
        <v>35052892</v>
      </c>
      <c r="AR483" s="1">
        <v>12991462</v>
      </c>
      <c r="AS483" s="1">
        <v>1948719</v>
      </c>
      <c r="AT483" s="3">
        <f t="shared" si="49"/>
        <v>79897489</v>
      </c>
    </row>
    <row r="484" spans="1:46" x14ac:dyDescent="0.2">
      <c r="A484" s="1" t="str">
        <f>"00561"</f>
        <v>00561</v>
      </c>
      <c r="B484" s="1" t="str">
        <f>"حسن"</f>
        <v>حسن</v>
      </c>
      <c r="C484" s="1" t="str">
        <f>"منصوري"</f>
        <v>منصوري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17360267</v>
      </c>
      <c r="G484" s="1">
        <v>12905151</v>
      </c>
      <c r="H484" s="1">
        <v>0</v>
      </c>
      <c r="I484" s="1">
        <v>14689498</v>
      </c>
      <c r="J484" s="1">
        <v>0</v>
      </c>
      <c r="K484" s="1">
        <v>4620000</v>
      </c>
      <c r="L484" s="1">
        <v>0</v>
      </c>
      <c r="M484" s="1">
        <v>1000000</v>
      </c>
      <c r="N484" s="1">
        <v>3452907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22086566</v>
      </c>
      <c r="W484" s="1">
        <v>4000000</v>
      </c>
      <c r="X484" s="1">
        <v>2520039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2712998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12851535</v>
      </c>
      <c r="AM484" s="1">
        <v>0</v>
      </c>
      <c r="AN484" s="1">
        <v>0</v>
      </c>
      <c r="AO484" s="1">
        <v>98198961</v>
      </c>
      <c r="AP484" s="1">
        <v>30307062</v>
      </c>
      <c r="AQ484" s="1">
        <v>67891899</v>
      </c>
      <c r="AR484" s="1">
        <v>19639792</v>
      </c>
      <c r="AS484" s="1">
        <v>2945969</v>
      </c>
      <c r="AT484" s="3">
        <f t="shared" si="49"/>
        <v>120784722</v>
      </c>
    </row>
    <row r="485" spans="1:46" x14ac:dyDescent="0.2">
      <c r="A485" s="1" t="str">
        <f>"00562"</f>
        <v>00562</v>
      </c>
      <c r="B485" s="1" t="str">
        <f>"محمد امين"</f>
        <v>محمد امين</v>
      </c>
      <c r="C485" s="1" t="str">
        <f>"ميرزائي"</f>
        <v>ميرزائي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22260240</v>
      </c>
      <c r="G485" s="1">
        <v>475254</v>
      </c>
      <c r="H485" s="1">
        <v>0</v>
      </c>
      <c r="I485" s="1">
        <v>18303498</v>
      </c>
      <c r="J485" s="1">
        <v>0</v>
      </c>
      <c r="K485" s="1">
        <v>5500000</v>
      </c>
      <c r="L485" s="1">
        <v>0</v>
      </c>
      <c r="M485" s="1">
        <v>1000000</v>
      </c>
      <c r="N485" s="1">
        <v>3929049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10514601</v>
      </c>
      <c r="W485" s="1">
        <v>4000000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3892267</v>
      </c>
      <c r="AD485" s="1">
        <v>0</v>
      </c>
      <c r="AE485" s="1">
        <v>3087109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5363519</v>
      </c>
      <c r="AM485" s="1">
        <v>0</v>
      </c>
      <c r="AN485" s="1">
        <v>0</v>
      </c>
      <c r="AO485" s="1">
        <v>78325537</v>
      </c>
      <c r="AP485" s="1">
        <v>33844333</v>
      </c>
      <c r="AQ485" s="1">
        <v>44481204</v>
      </c>
      <c r="AR485" s="1">
        <v>15665107</v>
      </c>
      <c r="AS485" s="1">
        <v>2349766</v>
      </c>
      <c r="AT485" s="3">
        <f t="shared" si="49"/>
        <v>96340410</v>
      </c>
    </row>
    <row r="486" spans="1:46" x14ac:dyDescent="0.2">
      <c r="A486" s="1" t="str">
        <f>"00563"</f>
        <v>00563</v>
      </c>
      <c r="B486" s="1" t="str">
        <f>"احمدرضا"</f>
        <v>احمدرضا</v>
      </c>
      <c r="C486" s="1" t="str">
        <f>"وطن خواه"</f>
        <v>وطن خواه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16808547</v>
      </c>
      <c r="G486" s="1">
        <v>4303189</v>
      </c>
      <c r="H486" s="1">
        <v>0</v>
      </c>
      <c r="I486" s="1">
        <v>14282943</v>
      </c>
      <c r="J486" s="1">
        <v>0</v>
      </c>
      <c r="K486" s="1">
        <v>4620000</v>
      </c>
      <c r="L486" s="1">
        <v>0</v>
      </c>
      <c r="M486" s="1">
        <v>1000000</v>
      </c>
      <c r="N486" s="1">
        <v>3259805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17286529</v>
      </c>
      <c r="W486" s="1">
        <v>4000000</v>
      </c>
      <c r="X486" s="1">
        <v>2439950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2561276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13559046</v>
      </c>
      <c r="AM486" s="1">
        <v>0</v>
      </c>
      <c r="AN486" s="1">
        <v>0</v>
      </c>
      <c r="AO486" s="1">
        <v>84121285</v>
      </c>
      <c r="AP486" s="1">
        <v>28908575</v>
      </c>
      <c r="AQ486" s="1">
        <v>55212710</v>
      </c>
      <c r="AR486" s="1">
        <v>16824257</v>
      </c>
      <c r="AS486" s="1">
        <v>2523639</v>
      </c>
      <c r="AT486" s="3">
        <f t="shared" si="49"/>
        <v>103469181</v>
      </c>
    </row>
    <row r="487" spans="1:46" x14ac:dyDescent="0.2">
      <c r="A487" s="1" t="str">
        <f>"00564"</f>
        <v>00564</v>
      </c>
      <c r="B487" s="1" t="str">
        <f>"سعيد"</f>
        <v>سعيد</v>
      </c>
      <c r="C487" s="1" t="str">
        <f>"هاشمي"</f>
        <v>هاشمي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16591890</v>
      </c>
      <c r="G487" s="1">
        <v>3805567</v>
      </c>
      <c r="H487" s="1">
        <v>0</v>
      </c>
      <c r="I487" s="1">
        <v>13087838</v>
      </c>
      <c r="J487" s="1">
        <v>0</v>
      </c>
      <c r="K487" s="1">
        <v>4620000</v>
      </c>
      <c r="L487" s="1">
        <v>0</v>
      </c>
      <c r="M487" s="1">
        <v>1000000</v>
      </c>
      <c r="N487" s="1">
        <v>3183975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20598384</v>
      </c>
      <c r="W487" s="1">
        <v>4000000</v>
      </c>
      <c r="X487" s="1">
        <v>2408500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2501695</v>
      </c>
      <c r="AF487" s="1">
        <v>3670854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11449110</v>
      </c>
      <c r="AM487" s="1">
        <v>0</v>
      </c>
      <c r="AN487" s="1">
        <v>0</v>
      </c>
      <c r="AO487" s="1">
        <v>86917813</v>
      </c>
      <c r="AP487" s="1">
        <v>36255202</v>
      </c>
      <c r="AQ487" s="1">
        <v>50662611</v>
      </c>
      <c r="AR487" s="1">
        <v>16649392</v>
      </c>
      <c r="AS487" s="1">
        <v>2497409</v>
      </c>
      <c r="AT487" s="3">
        <f t="shared" si="49"/>
        <v>106064614</v>
      </c>
    </row>
    <row r="488" spans="1:46" x14ac:dyDescent="0.2">
      <c r="A488" s="1" t="str">
        <f>"00565"</f>
        <v>00565</v>
      </c>
      <c r="B488" s="1" t="str">
        <f>"عباس"</f>
        <v>عباس</v>
      </c>
      <c r="C488" s="1" t="str">
        <f>"يزداني"</f>
        <v>يزداني</v>
      </c>
      <c r="D488" s="1" t="str">
        <f t="shared" si="50"/>
        <v>قراردادي بهره بردار</v>
      </c>
      <c r="E488" s="1" t="str">
        <f t="shared" ref="E488:E515" si="52">"پروژه تعميرات نيروگاه بوشهر"</f>
        <v>پروژه تعميرات نيروگاه بوشهر</v>
      </c>
      <c r="F488" s="1">
        <v>17259496</v>
      </c>
      <c r="G488" s="1">
        <v>5256440</v>
      </c>
      <c r="H488" s="1">
        <v>0</v>
      </c>
      <c r="I488" s="1">
        <v>15866943</v>
      </c>
      <c r="J488" s="1">
        <v>0</v>
      </c>
      <c r="K488" s="1">
        <v>0</v>
      </c>
      <c r="L488" s="1">
        <v>0</v>
      </c>
      <c r="M488" s="1">
        <v>1000000</v>
      </c>
      <c r="N488" s="1">
        <v>3139888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22850873</v>
      </c>
      <c r="W488" s="1">
        <v>4000000</v>
      </c>
      <c r="X488" s="1">
        <v>2505411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2467054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12907009</v>
      </c>
      <c r="AM488" s="1">
        <v>0</v>
      </c>
      <c r="AN488" s="1">
        <v>0</v>
      </c>
      <c r="AO488" s="1">
        <v>87253114</v>
      </c>
      <c r="AP488" s="1">
        <v>46188573</v>
      </c>
      <c r="AQ488" s="1">
        <v>41064541</v>
      </c>
      <c r="AR488" s="1">
        <v>17450623</v>
      </c>
      <c r="AS488" s="1">
        <v>2617593</v>
      </c>
      <c r="AT488" s="3">
        <f t="shared" si="49"/>
        <v>107321330</v>
      </c>
    </row>
    <row r="489" spans="1:46" x14ac:dyDescent="0.2">
      <c r="A489" s="1" t="str">
        <f>"00566"</f>
        <v>00566</v>
      </c>
      <c r="B489" s="1" t="str">
        <f>"عابد"</f>
        <v>عابد</v>
      </c>
      <c r="C489" s="1" t="str">
        <f>"خنده جام"</f>
        <v>خنده جام</v>
      </c>
      <c r="D489" s="1" t="str">
        <f t="shared" ref="D489:D514" si="53">"قراردادي کارگري"</f>
        <v>قراردادي کارگري</v>
      </c>
      <c r="E489" s="1" t="str">
        <f t="shared" si="52"/>
        <v>پروژه تعميرات نيروگاه بوشهر</v>
      </c>
      <c r="F489" s="1">
        <v>0</v>
      </c>
      <c r="G489" s="1">
        <v>259832</v>
      </c>
      <c r="H489" s="1">
        <v>0</v>
      </c>
      <c r="I489" s="1">
        <v>5630554</v>
      </c>
      <c r="J489" s="1">
        <v>0</v>
      </c>
      <c r="K489" s="1">
        <v>0</v>
      </c>
      <c r="L489" s="1">
        <v>11521166</v>
      </c>
      <c r="M489" s="1">
        <v>2000000</v>
      </c>
      <c r="N489" s="1">
        <v>4233498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2640000</v>
      </c>
      <c r="U489" s="1">
        <v>0</v>
      </c>
      <c r="V489" s="1">
        <v>7392990</v>
      </c>
      <c r="W489" s="1">
        <v>4000000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1835427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47557115</v>
      </c>
      <c r="AP489" s="1">
        <v>7138221</v>
      </c>
      <c r="AQ489" s="1">
        <v>40418894</v>
      </c>
      <c r="AR489" s="1">
        <v>9144338</v>
      </c>
      <c r="AS489" s="1">
        <v>1371651</v>
      </c>
      <c r="AT489" s="3">
        <f t="shared" si="49"/>
        <v>58073104</v>
      </c>
    </row>
    <row r="490" spans="1:46" x14ac:dyDescent="0.2">
      <c r="A490" s="1" t="str">
        <f>"00567"</f>
        <v>00567</v>
      </c>
      <c r="B490" s="1" t="str">
        <f>"مهدي"</f>
        <v>مهدي</v>
      </c>
      <c r="C490" s="1" t="str">
        <f>"شاكري"</f>
        <v>شاكري</v>
      </c>
      <c r="D490" s="1" t="str">
        <f t="shared" si="53"/>
        <v>قراردادي کارگري</v>
      </c>
      <c r="E490" s="1" t="str">
        <f t="shared" si="52"/>
        <v>پروژه تعميرات نيروگاه بوشهر</v>
      </c>
      <c r="F490" s="1">
        <v>0</v>
      </c>
      <c r="G490" s="1">
        <v>2479751</v>
      </c>
      <c r="H490" s="1">
        <v>0</v>
      </c>
      <c r="I490" s="1">
        <v>8918346</v>
      </c>
      <c r="J490" s="1">
        <v>0</v>
      </c>
      <c r="K490" s="1">
        <v>0</v>
      </c>
      <c r="L490" s="1">
        <v>11331151</v>
      </c>
      <c r="M490" s="1">
        <v>2000000</v>
      </c>
      <c r="N490" s="1">
        <v>5662441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2640000</v>
      </c>
      <c r="U490" s="1">
        <v>0</v>
      </c>
      <c r="V490" s="1">
        <v>13673286</v>
      </c>
      <c r="W490" s="1">
        <v>4000000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1835427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63157480</v>
      </c>
      <c r="AP490" s="1">
        <v>9733837</v>
      </c>
      <c r="AQ490" s="1">
        <v>53423643</v>
      </c>
      <c r="AR490" s="1">
        <v>12264411</v>
      </c>
      <c r="AS490" s="1">
        <v>1839662</v>
      </c>
      <c r="AT490" s="3">
        <f t="shared" si="49"/>
        <v>77261553</v>
      </c>
    </row>
    <row r="491" spans="1:46" x14ac:dyDescent="0.2">
      <c r="A491" s="1" t="str">
        <f>"00568"</f>
        <v>00568</v>
      </c>
      <c r="B491" s="1" t="str">
        <f>"علي"</f>
        <v>علي</v>
      </c>
      <c r="C491" s="1" t="str">
        <f>"فرهادي"</f>
        <v>فرهادي</v>
      </c>
      <c r="D491" s="1" t="str">
        <f t="shared" si="53"/>
        <v>قراردادي کارگري</v>
      </c>
      <c r="E491" s="1" t="str">
        <f t="shared" si="52"/>
        <v>پروژه تعميرات نيروگاه بوشهر</v>
      </c>
      <c r="F491" s="1">
        <v>0</v>
      </c>
      <c r="G491" s="1">
        <v>16061753</v>
      </c>
      <c r="H491" s="1">
        <v>0</v>
      </c>
      <c r="I491" s="1">
        <v>8936343</v>
      </c>
      <c r="J491" s="1">
        <v>0</v>
      </c>
      <c r="K491" s="1">
        <v>0</v>
      </c>
      <c r="L491" s="1">
        <v>11572430</v>
      </c>
      <c r="M491" s="1">
        <v>2000000</v>
      </c>
      <c r="N491" s="1">
        <v>6355863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2640000</v>
      </c>
      <c r="U491" s="1">
        <v>0</v>
      </c>
      <c r="V491" s="1">
        <v>13993641</v>
      </c>
      <c r="W491" s="1">
        <v>4000000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1835427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79471597</v>
      </c>
      <c r="AP491" s="1">
        <v>18835306</v>
      </c>
      <c r="AQ491" s="1">
        <v>60636291</v>
      </c>
      <c r="AR491" s="1">
        <v>15527234</v>
      </c>
      <c r="AS491" s="1">
        <v>2329085</v>
      </c>
      <c r="AT491" s="3">
        <f t="shared" si="49"/>
        <v>97327916</v>
      </c>
    </row>
    <row r="492" spans="1:46" x14ac:dyDescent="0.2">
      <c r="A492" s="1" t="str">
        <f>"00569"</f>
        <v>00569</v>
      </c>
      <c r="B492" s="1" t="str">
        <f>"مجاهد"</f>
        <v>مجاهد</v>
      </c>
      <c r="C492" s="1" t="str">
        <f>"مسيح گل"</f>
        <v>مسيح گل</v>
      </c>
      <c r="D492" s="1" t="str">
        <f t="shared" si="53"/>
        <v>قراردادي کارگري</v>
      </c>
      <c r="E492" s="1" t="str">
        <f t="shared" si="52"/>
        <v>پروژه تعميرات نيروگاه بوشهر</v>
      </c>
      <c r="F492" s="1">
        <v>0</v>
      </c>
      <c r="G492" s="1">
        <v>12374593</v>
      </c>
      <c r="H492" s="1">
        <v>0</v>
      </c>
      <c r="I492" s="1">
        <v>5062723</v>
      </c>
      <c r="J492" s="1">
        <v>0</v>
      </c>
      <c r="K492" s="1">
        <v>0</v>
      </c>
      <c r="L492" s="1">
        <v>11572430</v>
      </c>
      <c r="M492" s="1">
        <v>2000000</v>
      </c>
      <c r="N492" s="1">
        <v>4285903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2640000</v>
      </c>
      <c r="U492" s="1">
        <v>0</v>
      </c>
      <c r="V492" s="1">
        <v>10898708</v>
      </c>
      <c r="W492" s="1">
        <v>4000000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60870425</v>
      </c>
      <c r="AP492" s="1">
        <v>13524989</v>
      </c>
      <c r="AQ492" s="1">
        <v>47345436</v>
      </c>
      <c r="AR492" s="1">
        <v>12174085</v>
      </c>
      <c r="AS492" s="1">
        <v>1826113</v>
      </c>
      <c r="AT492" s="3">
        <f t="shared" si="49"/>
        <v>74870623</v>
      </c>
    </row>
    <row r="493" spans="1:46" x14ac:dyDescent="0.2">
      <c r="A493" s="1" t="str">
        <f>"00570"</f>
        <v>00570</v>
      </c>
      <c r="B493" s="1" t="str">
        <f>"احمد رضا"</f>
        <v>احمد رضا</v>
      </c>
      <c r="C493" s="1" t="str">
        <f>"رستم بروجردي"</f>
        <v>رستم بروجردي</v>
      </c>
      <c r="D493" s="1" t="str">
        <f t="shared" si="53"/>
        <v>قراردادي کارگري</v>
      </c>
      <c r="E493" s="1" t="str">
        <f t="shared" si="52"/>
        <v>پروژه تعميرات نيروگاه بوشهر</v>
      </c>
      <c r="F493" s="1">
        <v>0</v>
      </c>
      <c r="G493" s="1">
        <v>7274953</v>
      </c>
      <c r="H493" s="1">
        <v>0</v>
      </c>
      <c r="I493" s="1">
        <v>6373328</v>
      </c>
      <c r="J493" s="1">
        <v>0</v>
      </c>
      <c r="K493" s="1">
        <v>0</v>
      </c>
      <c r="L493" s="1">
        <v>11521166</v>
      </c>
      <c r="M493" s="1">
        <v>2000000</v>
      </c>
      <c r="N493" s="1">
        <v>4532950</v>
      </c>
      <c r="O493" s="1">
        <v>0</v>
      </c>
      <c r="P493" s="1">
        <v>0</v>
      </c>
      <c r="Q493" s="1">
        <v>0</v>
      </c>
      <c r="R493" s="1">
        <v>300237</v>
      </c>
      <c r="S493" s="1">
        <v>0</v>
      </c>
      <c r="T493" s="1">
        <v>2640000</v>
      </c>
      <c r="U493" s="1">
        <v>0</v>
      </c>
      <c r="V493" s="1">
        <v>11916816</v>
      </c>
      <c r="W493" s="1">
        <v>4000000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59172056</v>
      </c>
      <c r="AP493" s="1">
        <v>9290906</v>
      </c>
      <c r="AQ493" s="1">
        <v>49881150</v>
      </c>
      <c r="AR493" s="1">
        <v>11774364</v>
      </c>
      <c r="AS493" s="1">
        <v>1766155</v>
      </c>
      <c r="AT493" s="3">
        <f t="shared" si="49"/>
        <v>72712575</v>
      </c>
    </row>
    <row r="494" spans="1:46" x14ac:dyDescent="0.2">
      <c r="A494" s="1" t="str">
        <f>"00571"</f>
        <v>00571</v>
      </c>
      <c r="B494" s="1" t="str">
        <f>"هادي"</f>
        <v>هادي</v>
      </c>
      <c r="C494" s="1" t="str">
        <f>"منفرد"</f>
        <v>منفرد</v>
      </c>
      <c r="D494" s="1" t="str">
        <f t="shared" si="53"/>
        <v>قراردادي کارگري</v>
      </c>
      <c r="E494" s="1" t="str">
        <f t="shared" si="52"/>
        <v>پروژه تعميرات نيروگاه بوشهر</v>
      </c>
      <c r="F494" s="1">
        <v>0</v>
      </c>
      <c r="G494" s="1">
        <v>736123</v>
      </c>
      <c r="H494" s="1">
        <v>0</v>
      </c>
      <c r="I494" s="1">
        <v>9659564</v>
      </c>
      <c r="J494" s="1">
        <v>0</v>
      </c>
      <c r="K494" s="1">
        <v>0</v>
      </c>
      <c r="L494" s="1">
        <v>11521166</v>
      </c>
      <c r="M494" s="1">
        <v>2000000</v>
      </c>
      <c r="N494" s="1">
        <v>5854282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2640000</v>
      </c>
      <c r="U494" s="1">
        <v>0</v>
      </c>
      <c r="V494" s="1">
        <v>14147773</v>
      </c>
      <c r="W494" s="1">
        <v>4000000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5506281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67041967</v>
      </c>
      <c r="AP494" s="1">
        <v>23253907</v>
      </c>
      <c r="AQ494" s="1">
        <v>43788060</v>
      </c>
      <c r="AR494" s="1">
        <v>12307137</v>
      </c>
      <c r="AS494" s="1">
        <v>1846071</v>
      </c>
      <c r="AT494" s="3">
        <f t="shared" si="49"/>
        <v>81195175</v>
      </c>
    </row>
    <row r="495" spans="1:46" x14ac:dyDescent="0.2">
      <c r="A495" s="1" t="str">
        <f>"00572"</f>
        <v>00572</v>
      </c>
      <c r="B495" s="1" t="str">
        <f>"رمضان"</f>
        <v>رمضان</v>
      </c>
      <c r="C495" s="1" t="str">
        <f>"مجيدي"</f>
        <v>مجيدي</v>
      </c>
      <c r="D495" s="1" t="str">
        <f t="shared" si="53"/>
        <v>قراردادي کارگري</v>
      </c>
      <c r="E495" s="1" t="str">
        <f t="shared" si="52"/>
        <v>پروژه تعميرات نيروگاه بوشهر</v>
      </c>
      <c r="F495" s="1">
        <v>0</v>
      </c>
      <c r="G495" s="1">
        <v>3731586</v>
      </c>
      <c r="H495" s="1">
        <v>0</v>
      </c>
      <c r="I495" s="1">
        <v>8652879</v>
      </c>
      <c r="J495" s="1">
        <v>0</v>
      </c>
      <c r="K495" s="1">
        <v>0</v>
      </c>
      <c r="L495" s="1">
        <v>11521166</v>
      </c>
      <c r="M495" s="1">
        <v>2000000</v>
      </c>
      <c r="N495" s="1">
        <v>6367092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2640000</v>
      </c>
      <c r="U495" s="1">
        <v>0</v>
      </c>
      <c r="V495" s="1">
        <v>14322888</v>
      </c>
      <c r="W495" s="1">
        <v>4000000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5783854</v>
      </c>
      <c r="AE495" s="1">
        <v>0</v>
      </c>
      <c r="AF495" s="1">
        <v>1835427</v>
      </c>
      <c r="AG495" s="1">
        <v>0</v>
      </c>
      <c r="AH495" s="1">
        <v>0</v>
      </c>
      <c r="AI495" s="1">
        <v>0</v>
      </c>
      <c r="AJ495" s="1">
        <v>9552861</v>
      </c>
      <c r="AK495" s="1">
        <v>0</v>
      </c>
      <c r="AL495" s="1">
        <v>0</v>
      </c>
      <c r="AM495" s="1">
        <v>0</v>
      </c>
      <c r="AN495" s="1">
        <v>0</v>
      </c>
      <c r="AO495" s="1">
        <v>82425640</v>
      </c>
      <c r="AP495" s="1">
        <v>13756948</v>
      </c>
      <c r="AQ495" s="1">
        <v>68668692</v>
      </c>
      <c r="AR495" s="1">
        <v>16118043</v>
      </c>
      <c r="AS495" s="1">
        <v>2417706</v>
      </c>
      <c r="AT495" s="3">
        <f t="shared" si="49"/>
        <v>100961389</v>
      </c>
    </row>
    <row r="496" spans="1:46" x14ac:dyDescent="0.2">
      <c r="A496" s="1" t="str">
        <f>"00573"</f>
        <v>00573</v>
      </c>
      <c r="B496" s="1" t="str">
        <f>"غلامحسين"</f>
        <v>غلامحسين</v>
      </c>
      <c r="C496" s="1" t="str">
        <f>"خاقاني"</f>
        <v>خاقاني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0</v>
      </c>
      <c r="G496" s="1">
        <v>10345824</v>
      </c>
      <c r="H496" s="1">
        <v>0</v>
      </c>
      <c r="I496" s="1">
        <v>5670025</v>
      </c>
      <c r="J496" s="1">
        <v>0</v>
      </c>
      <c r="K496" s="1">
        <v>0</v>
      </c>
      <c r="L496" s="1">
        <v>11572430</v>
      </c>
      <c r="M496" s="1">
        <v>2000000</v>
      </c>
      <c r="N496" s="1">
        <v>3978965</v>
      </c>
      <c r="O496" s="1">
        <v>0</v>
      </c>
      <c r="P496" s="1">
        <v>0</v>
      </c>
      <c r="Q496" s="1">
        <v>0</v>
      </c>
      <c r="R496" s="1">
        <v>836472</v>
      </c>
      <c r="S496" s="1">
        <v>0</v>
      </c>
      <c r="T496" s="1">
        <v>2640000</v>
      </c>
      <c r="U496" s="1">
        <v>0</v>
      </c>
      <c r="V496" s="1">
        <v>10844251</v>
      </c>
      <c r="W496" s="1">
        <v>4000000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3670854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63118854</v>
      </c>
      <c r="AP496" s="1">
        <v>8837404</v>
      </c>
      <c r="AQ496" s="1">
        <v>54281450</v>
      </c>
      <c r="AR496" s="1">
        <v>11722306</v>
      </c>
      <c r="AS496" s="1">
        <v>1758346</v>
      </c>
      <c r="AT496" s="3">
        <f t="shared" si="49"/>
        <v>76599506</v>
      </c>
    </row>
    <row r="497" spans="1:46" x14ac:dyDescent="0.2">
      <c r="A497" s="1" t="str">
        <f>"00574"</f>
        <v>00574</v>
      </c>
      <c r="B497" s="1" t="str">
        <f>"بهزاد"</f>
        <v>بهزاد</v>
      </c>
      <c r="C497" s="1" t="str">
        <f>"رضائي"</f>
        <v>رضائي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0</v>
      </c>
      <c r="G497" s="1">
        <v>6348869</v>
      </c>
      <c r="H497" s="1">
        <v>0</v>
      </c>
      <c r="I497" s="1">
        <v>5755582</v>
      </c>
      <c r="J497" s="1">
        <v>0</v>
      </c>
      <c r="K497" s="1">
        <v>0</v>
      </c>
      <c r="L497" s="1">
        <v>11522509</v>
      </c>
      <c r="M497" s="1">
        <v>2000000</v>
      </c>
      <c r="N497" s="1">
        <v>4207297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2640000</v>
      </c>
      <c r="U497" s="1">
        <v>0</v>
      </c>
      <c r="V497" s="1">
        <v>11417360</v>
      </c>
      <c r="W497" s="1">
        <v>4000000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3670854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59556335</v>
      </c>
      <c r="AP497" s="1">
        <v>6705672</v>
      </c>
      <c r="AQ497" s="1">
        <v>52850663</v>
      </c>
      <c r="AR497" s="1">
        <v>11177096</v>
      </c>
      <c r="AS497" s="1">
        <v>1676564</v>
      </c>
      <c r="AT497" s="3">
        <f t="shared" si="49"/>
        <v>72409995</v>
      </c>
    </row>
    <row r="498" spans="1:46" x14ac:dyDescent="0.2">
      <c r="A498" s="1" t="str">
        <f>"00575"</f>
        <v>00575</v>
      </c>
      <c r="B498" s="1" t="str">
        <f>"داريوش"</f>
        <v>داريوش</v>
      </c>
      <c r="C498" s="1" t="str">
        <f>"اميربندي"</f>
        <v>اميربندي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0</v>
      </c>
      <c r="G498" s="1">
        <v>19591608</v>
      </c>
      <c r="H498" s="1">
        <v>0</v>
      </c>
      <c r="I498" s="1">
        <v>10405480</v>
      </c>
      <c r="J498" s="1">
        <v>0</v>
      </c>
      <c r="K498" s="1">
        <v>0</v>
      </c>
      <c r="L498" s="1">
        <v>11521166</v>
      </c>
      <c r="M498" s="1">
        <v>2000000</v>
      </c>
      <c r="N498" s="1">
        <v>6606654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2640000</v>
      </c>
      <c r="U498" s="1">
        <v>0</v>
      </c>
      <c r="V498" s="1">
        <v>14607441</v>
      </c>
      <c r="W498" s="1">
        <v>4000000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3670854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87430679</v>
      </c>
      <c r="AP498" s="1">
        <v>14380943</v>
      </c>
      <c r="AQ498" s="1">
        <v>73049736</v>
      </c>
      <c r="AR498" s="1">
        <v>16751965</v>
      </c>
      <c r="AS498" s="1">
        <v>2512795</v>
      </c>
      <c r="AT498" s="3">
        <f t="shared" si="49"/>
        <v>106695439</v>
      </c>
    </row>
    <row r="499" spans="1:46" x14ac:dyDescent="0.2">
      <c r="A499" s="1" t="str">
        <f>"00576"</f>
        <v>00576</v>
      </c>
      <c r="B499" s="1" t="str">
        <f>"اصغر"</f>
        <v>اصغر</v>
      </c>
      <c r="C499" s="1" t="str">
        <f>"عليپور"</f>
        <v>عليپور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0</v>
      </c>
      <c r="G499" s="1">
        <v>3472487</v>
      </c>
      <c r="H499" s="1">
        <v>0</v>
      </c>
      <c r="I499" s="1">
        <v>7762665</v>
      </c>
      <c r="J499" s="1">
        <v>0</v>
      </c>
      <c r="K499" s="1">
        <v>0</v>
      </c>
      <c r="L499" s="1">
        <v>11521166</v>
      </c>
      <c r="M499" s="1">
        <v>2000000</v>
      </c>
      <c r="N499" s="1">
        <v>5712041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2640000</v>
      </c>
      <c r="U499" s="1">
        <v>0</v>
      </c>
      <c r="V499" s="1">
        <v>13432753</v>
      </c>
      <c r="W499" s="1">
        <v>4000000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5366603</v>
      </c>
      <c r="AE499" s="1">
        <v>0</v>
      </c>
      <c r="AF499" s="1">
        <v>7341708</v>
      </c>
      <c r="AG499" s="1">
        <v>0</v>
      </c>
      <c r="AH499" s="1">
        <v>0</v>
      </c>
      <c r="AI499" s="1">
        <v>0</v>
      </c>
      <c r="AJ499" s="1">
        <v>8889567</v>
      </c>
      <c r="AK499" s="1">
        <v>0</v>
      </c>
      <c r="AL499" s="1">
        <v>0</v>
      </c>
      <c r="AM499" s="1">
        <v>0</v>
      </c>
      <c r="AN499" s="1">
        <v>0</v>
      </c>
      <c r="AO499" s="1">
        <v>82920468</v>
      </c>
      <c r="AP499" s="1">
        <v>9343509</v>
      </c>
      <c r="AQ499" s="1">
        <v>73576959</v>
      </c>
      <c r="AR499" s="1">
        <v>15115752</v>
      </c>
      <c r="AS499" s="1">
        <v>2267363</v>
      </c>
      <c r="AT499" s="3">
        <f t="shared" si="49"/>
        <v>100303583</v>
      </c>
    </row>
    <row r="500" spans="1:46" x14ac:dyDescent="0.2">
      <c r="A500" s="1" t="str">
        <f>"00577"</f>
        <v>00577</v>
      </c>
      <c r="B500" s="1" t="str">
        <f>"عبدالمحمد"</f>
        <v>عبدالمحمد</v>
      </c>
      <c r="C500" s="1" t="str">
        <f>"گرامي"</f>
        <v>گرامي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0</v>
      </c>
      <c r="G500" s="1">
        <v>14916933</v>
      </c>
      <c r="H500" s="1">
        <v>0</v>
      </c>
      <c r="I500" s="1">
        <v>7539123</v>
      </c>
      <c r="J500" s="1">
        <v>0</v>
      </c>
      <c r="K500" s="1">
        <v>0</v>
      </c>
      <c r="L500" s="1">
        <v>11521166</v>
      </c>
      <c r="M500" s="1">
        <v>2000000</v>
      </c>
      <c r="N500" s="1">
        <v>5397618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2640000</v>
      </c>
      <c r="U500" s="1">
        <v>0</v>
      </c>
      <c r="V500" s="1">
        <v>9394559</v>
      </c>
      <c r="W500" s="1">
        <v>4000000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5196886</v>
      </c>
      <c r="AE500" s="1">
        <v>0</v>
      </c>
      <c r="AF500" s="1">
        <v>5506281</v>
      </c>
      <c r="AG500" s="1">
        <v>0</v>
      </c>
      <c r="AH500" s="1">
        <v>0</v>
      </c>
      <c r="AI500" s="1">
        <v>0</v>
      </c>
      <c r="AJ500" s="1">
        <v>7955697</v>
      </c>
      <c r="AK500" s="1">
        <v>0</v>
      </c>
      <c r="AL500" s="1">
        <v>0</v>
      </c>
      <c r="AM500" s="1">
        <v>0</v>
      </c>
      <c r="AN500" s="1">
        <v>0</v>
      </c>
      <c r="AO500" s="1">
        <v>86256266</v>
      </c>
      <c r="AP500" s="1">
        <v>12686529</v>
      </c>
      <c r="AQ500" s="1">
        <v>73569737</v>
      </c>
      <c r="AR500" s="1">
        <v>16149997</v>
      </c>
      <c r="AS500" s="1">
        <v>2422500</v>
      </c>
      <c r="AT500" s="3">
        <f t="shared" si="49"/>
        <v>104828763</v>
      </c>
    </row>
    <row r="501" spans="1:46" x14ac:dyDescent="0.2">
      <c r="A501" s="1" t="str">
        <f>"00578"</f>
        <v>00578</v>
      </c>
      <c r="B501" s="1" t="str">
        <f>"علي اكبر"</f>
        <v>علي اكبر</v>
      </c>
      <c r="C501" s="1" t="str">
        <f>"هلال بحر"</f>
        <v>هلال بحر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0</v>
      </c>
      <c r="G501" s="1">
        <v>11362234</v>
      </c>
      <c r="H501" s="1">
        <v>0</v>
      </c>
      <c r="I501" s="1">
        <v>9894484</v>
      </c>
      <c r="J501" s="1">
        <v>0</v>
      </c>
      <c r="K501" s="1">
        <v>0</v>
      </c>
      <c r="L501" s="1">
        <v>11331151</v>
      </c>
      <c r="M501" s="1">
        <v>2000000</v>
      </c>
      <c r="N501" s="1">
        <v>6357901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2640000</v>
      </c>
      <c r="U501" s="1">
        <v>0</v>
      </c>
      <c r="V501" s="1">
        <v>14168427</v>
      </c>
      <c r="W501" s="1">
        <v>4000000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73675263</v>
      </c>
      <c r="AP501" s="1">
        <v>11063867</v>
      </c>
      <c r="AQ501" s="1">
        <v>62611396</v>
      </c>
      <c r="AR501" s="1">
        <v>14735053</v>
      </c>
      <c r="AS501" s="1">
        <v>2210258</v>
      </c>
      <c r="AT501" s="3">
        <f t="shared" si="49"/>
        <v>90620574</v>
      </c>
    </row>
    <row r="502" spans="1:46" x14ac:dyDescent="0.2">
      <c r="A502" s="1" t="str">
        <f>"00579"</f>
        <v>00579</v>
      </c>
      <c r="B502" s="1" t="str">
        <f>"امير"</f>
        <v>امير</v>
      </c>
      <c r="C502" s="1" t="str">
        <f>"شاه نجات بوشهري"</f>
        <v>شاه نجات بوشهري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0</v>
      </c>
      <c r="G502" s="1">
        <v>7972743</v>
      </c>
      <c r="H502" s="1">
        <v>0</v>
      </c>
      <c r="I502" s="1">
        <v>7680297</v>
      </c>
      <c r="J502" s="1">
        <v>0</v>
      </c>
      <c r="K502" s="1">
        <v>0</v>
      </c>
      <c r="L502" s="1">
        <v>11521166</v>
      </c>
      <c r="M502" s="1">
        <v>2000000</v>
      </c>
      <c r="N502" s="1">
        <v>5693326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2640000</v>
      </c>
      <c r="U502" s="1">
        <v>0</v>
      </c>
      <c r="V502" s="1">
        <v>13411874</v>
      </c>
      <c r="W502" s="1">
        <v>4000000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5356816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8874010</v>
      </c>
      <c r="AK502" s="1">
        <v>0</v>
      </c>
      <c r="AL502" s="1">
        <v>0</v>
      </c>
      <c r="AM502" s="1">
        <v>0</v>
      </c>
      <c r="AN502" s="1">
        <v>0</v>
      </c>
      <c r="AO502" s="1">
        <v>79967552</v>
      </c>
      <c r="AP502" s="1">
        <v>17168141</v>
      </c>
      <c r="AQ502" s="1">
        <v>62799411</v>
      </c>
      <c r="AR502" s="1">
        <v>15993510</v>
      </c>
      <c r="AS502" s="1">
        <v>2399027</v>
      </c>
      <c r="AT502" s="3">
        <f t="shared" si="49"/>
        <v>98360089</v>
      </c>
    </row>
    <row r="503" spans="1:46" x14ac:dyDescent="0.2">
      <c r="A503" s="1" t="str">
        <f>"00580"</f>
        <v>00580</v>
      </c>
      <c r="B503" s="1" t="str">
        <f>"عبدالرضا"</f>
        <v>عبدالرضا</v>
      </c>
      <c r="C503" s="1" t="str">
        <f>"عطشاني"</f>
        <v>عطشاني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0</v>
      </c>
      <c r="G503" s="1">
        <v>9978756</v>
      </c>
      <c r="H503" s="1">
        <v>0</v>
      </c>
      <c r="I503" s="1">
        <v>7335363</v>
      </c>
      <c r="J503" s="1">
        <v>0</v>
      </c>
      <c r="K503" s="1">
        <v>0</v>
      </c>
      <c r="L503" s="1">
        <v>11572430</v>
      </c>
      <c r="M503" s="1">
        <v>2000000</v>
      </c>
      <c r="N503" s="1">
        <v>4626529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2640000</v>
      </c>
      <c r="U503" s="1">
        <v>0</v>
      </c>
      <c r="V503" s="1">
        <v>11924738</v>
      </c>
      <c r="W503" s="1">
        <v>4000000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5506281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68316671</v>
      </c>
      <c r="AP503" s="1">
        <v>21075105</v>
      </c>
      <c r="AQ503" s="1">
        <v>47241566</v>
      </c>
      <c r="AR503" s="1">
        <v>12562078</v>
      </c>
      <c r="AS503" s="1">
        <v>1884312</v>
      </c>
      <c r="AT503" s="3">
        <f t="shared" si="49"/>
        <v>82763061</v>
      </c>
    </row>
    <row r="504" spans="1:46" x14ac:dyDescent="0.2">
      <c r="A504" s="1" t="str">
        <f>"00581"</f>
        <v>00581</v>
      </c>
      <c r="B504" s="1" t="str">
        <f>"رضا"</f>
        <v>رضا</v>
      </c>
      <c r="C504" s="1" t="str">
        <f>"بنشاخته"</f>
        <v>بنشاخته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0</v>
      </c>
      <c r="G504" s="1">
        <v>4448876</v>
      </c>
      <c r="H504" s="1">
        <v>0</v>
      </c>
      <c r="I504" s="1">
        <v>8840954</v>
      </c>
      <c r="J504" s="1">
        <v>0</v>
      </c>
      <c r="K504" s="1">
        <v>0</v>
      </c>
      <c r="L504" s="1">
        <v>11521166</v>
      </c>
      <c r="M504" s="1">
        <v>2000000</v>
      </c>
      <c r="N504" s="1">
        <v>6329661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2640000</v>
      </c>
      <c r="U504" s="1">
        <v>0</v>
      </c>
      <c r="V504" s="1">
        <v>13900095</v>
      </c>
      <c r="W504" s="1">
        <v>4000000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5506281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71134267</v>
      </c>
      <c r="AP504" s="1">
        <v>8877190</v>
      </c>
      <c r="AQ504" s="1">
        <v>62257077</v>
      </c>
      <c r="AR504" s="1">
        <v>13125597</v>
      </c>
      <c r="AS504" s="1">
        <v>1968840</v>
      </c>
      <c r="AT504" s="3">
        <f t="shared" si="49"/>
        <v>86228704</v>
      </c>
    </row>
    <row r="505" spans="1:46" x14ac:dyDescent="0.2">
      <c r="A505" s="1" t="str">
        <f>"00582"</f>
        <v>00582</v>
      </c>
      <c r="B505" s="1" t="str">
        <f>"مصطفي"</f>
        <v>مصطفي</v>
      </c>
      <c r="C505" s="1" t="str">
        <f>"روانستان"</f>
        <v>روانستان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0</v>
      </c>
      <c r="G505" s="1">
        <v>13979299</v>
      </c>
      <c r="H505" s="1">
        <v>0</v>
      </c>
      <c r="I505" s="1">
        <v>6310103</v>
      </c>
      <c r="J505" s="1">
        <v>0</v>
      </c>
      <c r="K505" s="1">
        <v>0</v>
      </c>
      <c r="L505" s="1">
        <v>11556947</v>
      </c>
      <c r="M505" s="1">
        <v>2000000</v>
      </c>
      <c r="N505" s="1">
        <v>4428142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2640000</v>
      </c>
      <c r="U505" s="1">
        <v>0</v>
      </c>
      <c r="V505" s="1">
        <v>11441686</v>
      </c>
      <c r="W505" s="1">
        <v>4000000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5506281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70275928</v>
      </c>
      <c r="AP505" s="1">
        <v>21725436</v>
      </c>
      <c r="AQ505" s="1">
        <v>48550492</v>
      </c>
      <c r="AR505" s="1">
        <v>12953929</v>
      </c>
      <c r="AS505" s="1">
        <v>1943089</v>
      </c>
      <c r="AT505" s="3">
        <f t="shared" si="49"/>
        <v>85172946</v>
      </c>
    </row>
    <row r="506" spans="1:46" x14ac:dyDescent="0.2">
      <c r="A506" s="1" t="str">
        <f>"00583"</f>
        <v>00583</v>
      </c>
      <c r="B506" s="1" t="str">
        <f>"علي حسين"</f>
        <v>علي حسين</v>
      </c>
      <c r="C506" s="1" t="str">
        <f>"طاهري كلاني"</f>
        <v>طاهري كلاني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0</v>
      </c>
      <c r="G506" s="1">
        <v>4503627</v>
      </c>
      <c r="H506" s="1">
        <v>0</v>
      </c>
      <c r="I506" s="1">
        <v>11028027</v>
      </c>
      <c r="J506" s="1">
        <v>0</v>
      </c>
      <c r="K506" s="1">
        <v>0</v>
      </c>
      <c r="L506" s="1">
        <v>11331151</v>
      </c>
      <c r="M506" s="1">
        <v>2000000</v>
      </c>
      <c r="N506" s="1">
        <v>7172701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2640000</v>
      </c>
      <c r="U506" s="1">
        <v>0</v>
      </c>
      <c r="V506" s="1">
        <v>10204993</v>
      </c>
      <c r="W506" s="1">
        <v>4000000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1835427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68164740</v>
      </c>
      <c r="AP506" s="1">
        <v>22326813</v>
      </c>
      <c r="AQ506" s="1">
        <v>45837927</v>
      </c>
      <c r="AR506" s="1">
        <v>13265863</v>
      </c>
      <c r="AS506" s="1">
        <v>1989879</v>
      </c>
      <c r="AT506" s="3">
        <f t="shared" si="49"/>
        <v>83420482</v>
      </c>
    </row>
    <row r="507" spans="1:46" x14ac:dyDescent="0.2">
      <c r="A507" s="1" t="str">
        <f>"00584"</f>
        <v>00584</v>
      </c>
      <c r="B507" s="1" t="str">
        <f>"علي"</f>
        <v>علي</v>
      </c>
      <c r="C507" s="1" t="str">
        <f>"علوي راد"</f>
        <v>علوي راد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0</v>
      </c>
      <c r="G507" s="1">
        <v>10407619</v>
      </c>
      <c r="H507" s="1">
        <v>0</v>
      </c>
      <c r="I507" s="1">
        <v>6494872</v>
      </c>
      <c r="J507" s="1">
        <v>0</v>
      </c>
      <c r="K507" s="1">
        <v>0</v>
      </c>
      <c r="L507" s="1">
        <v>11572430</v>
      </c>
      <c r="M507" s="1">
        <v>2000000</v>
      </c>
      <c r="N507" s="1">
        <v>4682676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2640000</v>
      </c>
      <c r="U507" s="1">
        <v>0</v>
      </c>
      <c r="V507" s="1">
        <v>11732590</v>
      </c>
      <c r="W507" s="1">
        <v>4000000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3670854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66098127</v>
      </c>
      <c r="AP507" s="1">
        <v>6832731</v>
      </c>
      <c r="AQ507" s="1">
        <v>59265396</v>
      </c>
      <c r="AR507" s="1">
        <v>12485455</v>
      </c>
      <c r="AS507" s="1">
        <v>1872818</v>
      </c>
      <c r="AT507" s="3">
        <f t="shared" si="49"/>
        <v>80456400</v>
      </c>
    </row>
    <row r="508" spans="1:46" x14ac:dyDescent="0.2">
      <c r="A508" s="1" t="str">
        <f>"00585"</f>
        <v>00585</v>
      </c>
      <c r="B508" s="1" t="str">
        <f>"سيد حسن"</f>
        <v>سيد حسن</v>
      </c>
      <c r="C508" s="1" t="str">
        <f>"افسرده فرد"</f>
        <v>افسرده فرد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0</v>
      </c>
      <c r="G508" s="1">
        <v>0</v>
      </c>
      <c r="H508" s="1">
        <v>0</v>
      </c>
      <c r="I508" s="1">
        <v>11815512</v>
      </c>
      <c r="J508" s="1">
        <v>0</v>
      </c>
      <c r="K508" s="1">
        <v>0</v>
      </c>
      <c r="L508" s="1">
        <v>11331151</v>
      </c>
      <c r="M508" s="1">
        <v>2000000</v>
      </c>
      <c r="N508" s="1">
        <v>7501913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2640000</v>
      </c>
      <c r="U508" s="1">
        <v>0</v>
      </c>
      <c r="V508" s="1">
        <v>17310985</v>
      </c>
      <c r="W508" s="1">
        <v>4000000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5506281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76171927</v>
      </c>
      <c r="AP508" s="1">
        <v>13219129</v>
      </c>
      <c r="AQ508" s="1">
        <v>62952798</v>
      </c>
      <c r="AR508" s="1">
        <v>14133129</v>
      </c>
      <c r="AS508" s="1">
        <v>2119969</v>
      </c>
      <c r="AT508" s="3">
        <f t="shared" si="49"/>
        <v>92425025</v>
      </c>
    </row>
    <row r="509" spans="1:46" x14ac:dyDescent="0.2">
      <c r="A509" s="1" t="str">
        <f>"00586"</f>
        <v>00586</v>
      </c>
      <c r="B509" s="1" t="str">
        <f>"رضا"</f>
        <v>رضا</v>
      </c>
      <c r="C509" s="1" t="str">
        <f>"بازدار"</f>
        <v>بازدار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0</v>
      </c>
      <c r="G509" s="1">
        <v>10733121</v>
      </c>
      <c r="H509" s="1">
        <v>0</v>
      </c>
      <c r="I509" s="1">
        <v>8200565</v>
      </c>
      <c r="J509" s="1">
        <v>0</v>
      </c>
      <c r="K509" s="1">
        <v>0</v>
      </c>
      <c r="L509" s="1">
        <v>11521166</v>
      </c>
      <c r="M509" s="1">
        <v>2000000</v>
      </c>
      <c r="N509" s="1">
        <v>5951603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2640000</v>
      </c>
      <c r="U509" s="1">
        <v>0</v>
      </c>
      <c r="V509" s="1">
        <v>13794235</v>
      </c>
      <c r="W509" s="1">
        <v>4000000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3670854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73745195</v>
      </c>
      <c r="AP509" s="1">
        <v>10995203</v>
      </c>
      <c r="AQ509" s="1">
        <v>62749992</v>
      </c>
      <c r="AR509" s="1">
        <v>14014868</v>
      </c>
      <c r="AS509" s="1">
        <v>2102230</v>
      </c>
      <c r="AT509" s="3">
        <f t="shared" si="49"/>
        <v>89862293</v>
      </c>
    </row>
    <row r="510" spans="1:46" x14ac:dyDescent="0.2">
      <c r="A510" s="1" t="str">
        <f>"00587"</f>
        <v>00587</v>
      </c>
      <c r="B510" s="1" t="str">
        <f>"محمود"</f>
        <v>محمود</v>
      </c>
      <c r="C510" s="1" t="str">
        <f>"كرم زاده"</f>
        <v>كرم زاده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0</v>
      </c>
      <c r="G510" s="1">
        <v>13120204</v>
      </c>
      <c r="H510" s="1">
        <v>0</v>
      </c>
      <c r="I510" s="1">
        <v>8028002</v>
      </c>
      <c r="J510" s="1">
        <v>0</v>
      </c>
      <c r="K510" s="1">
        <v>0</v>
      </c>
      <c r="L510" s="1">
        <v>11572430</v>
      </c>
      <c r="M510" s="1">
        <v>2000000</v>
      </c>
      <c r="N510" s="1">
        <v>4970899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2640000</v>
      </c>
      <c r="U510" s="1">
        <v>0</v>
      </c>
      <c r="V510" s="1">
        <v>12466971</v>
      </c>
      <c r="W510" s="1">
        <v>4000000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1835427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70078641</v>
      </c>
      <c r="AP510" s="1">
        <v>11929981</v>
      </c>
      <c r="AQ510" s="1">
        <v>58148660</v>
      </c>
      <c r="AR510" s="1">
        <v>13648643</v>
      </c>
      <c r="AS510" s="1">
        <v>2047296</v>
      </c>
      <c r="AT510" s="3">
        <f t="shared" si="49"/>
        <v>85774580</v>
      </c>
    </row>
    <row r="511" spans="1:46" x14ac:dyDescent="0.2">
      <c r="A511" s="1" t="str">
        <f>"00588"</f>
        <v>00588</v>
      </c>
      <c r="B511" s="1" t="str">
        <f>"عليرضا"</f>
        <v>عليرضا</v>
      </c>
      <c r="C511" s="1" t="str">
        <f>"جماله"</f>
        <v>جماله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0</v>
      </c>
      <c r="G511" s="1">
        <v>3455695</v>
      </c>
      <c r="H511" s="1">
        <v>0</v>
      </c>
      <c r="I511" s="1">
        <v>9150556</v>
      </c>
      <c r="J511" s="1">
        <v>0</v>
      </c>
      <c r="K511" s="1">
        <v>0</v>
      </c>
      <c r="L511" s="1">
        <v>11521166</v>
      </c>
      <c r="M511" s="1">
        <v>2000000</v>
      </c>
      <c r="N511" s="1">
        <v>6689003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2640000</v>
      </c>
      <c r="U511" s="1">
        <v>0</v>
      </c>
      <c r="V511" s="1">
        <v>14343647</v>
      </c>
      <c r="W511" s="1">
        <v>4000000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3670854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70180027</v>
      </c>
      <c r="AP511" s="1">
        <v>14135085</v>
      </c>
      <c r="AQ511" s="1">
        <v>56044942</v>
      </c>
      <c r="AR511" s="1">
        <v>13301835</v>
      </c>
      <c r="AS511" s="1">
        <v>1995275</v>
      </c>
      <c r="AT511" s="3">
        <f t="shared" si="49"/>
        <v>85477137</v>
      </c>
    </row>
    <row r="512" spans="1:46" x14ac:dyDescent="0.2">
      <c r="A512" s="1" t="str">
        <f>"00589"</f>
        <v>00589</v>
      </c>
      <c r="B512" s="1" t="str">
        <f>"محمد"</f>
        <v>محمد</v>
      </c>
      <c r="C512" s="1" t="str">
        <f>"تمدن آرا"</f>
        <v>تمدن آرا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0</v>
      </c>
      <c r="G512" s="1">
        <v>12683245</v>
      </c>
      <c r="H512" s="1">
        <v>0</v>
      </c>
      <c r="I512" s="1">
        <v>6178720</v>
      </c>
      <c r="J512" s="1">
        <v>0</v>
      </c>
      <c r="K512" s="1">
        <v>0</v>
      </c>
      <c r="L512" s="1">
        <v>11572430</v>
      </c>
      <c r="M512" s="1">
        <v>2000000</v>
      </c>
      <c r="N512" s="1">
        <v>4143664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2640000</v>
      </c>
      <c r="U512" s="1">
        <v>0</v>
      </c>
      <c r="V512" s="1">
        <v>11133953</v>
      </c>
      <c r="W512" s="1">
        <v>4000000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3670854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65844030</v>
      </c>
      <c r="AP512" s="1">
        <v>15729054</v>
      </c>
      <c r="AQ512" s="1">
        <v>50114976</v>
      </c>
      <c r="AR512" s="1">
        <v>12434635</v>
      </c>
      <c r="AS512" s="1">
        <v>1865195</v>
      </c>
      <c r="AT512" s="3">
        <f t="shared" si="49"/>
        <v>80143860</v>
      </c>
    </row>
    <row r="513" spans="1:46" x14ac:dyDescent="0.2">
      <c r="A513" s="1" t="str">
        <f>"00590"</f>
        <v>00590</v>
      </c>
      <c r="B513" s="1" t="str">
        <f>"شكراله"</f>
        <v>شكراله</v>
      </c>
      <c r="C513" s="1" t="str">
        <f>"حقيقي"</f>
        <v>حقيقي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0</v>
      </c>
      <c r="G513" s="1">
        <v>2536751</v>
      </c>
      <c r="H513" s="1">
        <v>0</v>
      </c>
      <c r="I513" s="1">
        <v>4505111</v>
      </c>
      <c r="J513" s="1">
        <v>0</v>
      </c>
      <c r="K513" s="1">
        <v>0</v>
      </c>
      <c r="L513" s="1">
        <v>11572430</v>
      </c>
      <c r="M513" s="1">
        <v>2000000</v>
      </c>
      <c r="N513" s="1">
        <v>3217937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2640000</v>
      </c>
      <c r="U513" s="1">
        <v>0</v>
      </c>
      <c r="V513" s="1">
        <v>10218032</v>
      </c>
      <c r="W513" s="1">
        <v>4000000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3859703</v>
      </c>
      <c r="AE513" s="1">
        <v>0</v>
      </c>
      <c r="AF513" s="1">
        <v>1835427</v>
      </c>
      <c r="AG513" s="1">
        <v>0</v>
      </c>
      <c r="AH513" s="1">
        <v>0</v>
      </c>
      <c r="AI513" s="1">
        <v>0</v>
      </c>
      <c r="AJ513" s="1">
        <v>4870562</v>
      </c>
      <c r="AK513" s="1">
        <v>0</v>
      </c>
      <c r="AL513" s="1">
        <v>0</v>
      </c>
      <c r="AM513" s="1">
        <v>0</v>
      </c>
      <c r="AN513" s="1">
        <v>0</v>
      </c>
      <c r="AO513" s="1">
        <v>57691826</v>
      </c>
      <c r="AP513" s="1">
        <v>5578136</v>
      </c>
      <c r="AQ513" s="1">
        <v>52113690</v>
      </c>
      <c r="AR513" s="1">
        <v>11171280</v>
      </c>
      <c r="AS513" s="1">
        <v>1675692</v>
      </c>
      <c r="AT513" s="3">
        <f t="shared" si="49"/>
        <v>70538798</v>
      </c>
    </row>
    <row r="514" spans="1:46" x14ac:dyDescent="0.2">
      <c r="A514" s="1" t="str">
        <f>"00591"</f>
        <v>00591</v>
      </c>
      <c r="B514" s="1" t="str">
        <f>"سيد مهدي"</f>
        <v>سيد مهدي</v>
      </c>
      <c r="C514" s="1" t="str">
        <f>"موسوي"</f>
        <v>موسوي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0</v>
      </c>
      <c r="G514" s="1">
        <v>6269302</v>
      </c>
      <c r="H514" s="1">
        <v>0</v>
      </c>
      <c r="I514" s="1">
        <v>4734332</v>
      </c>
      <c r="J514" s="1">
        <v>0</v>
      </c>
      <c r="K514" s="1">
        <v>0</v>
      </c>
      <c r="L514" s="1">
        <v>11572430</v>
      </c>
      <c r="M514" s="1">
        <v>2000000</v>
      </c>
      <c r="N514" s="1">
        <v>3818009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2640000</v>
      </c>
      <c r="U514" s="1">
        <v>0</v>
      </c>
      <c r="V514" s="1">
        <v>10867453</v>
      </c>
      <c r="W514" s="1">
        <v>4000000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4164119</v>
      </c>
      <c r="AE514" s="1">
        <v>0</v>
      </c>
      <c r="AF514" s="1">
        <v>5506281</v>
      </c>
      <c r="AG514" s="1">
        <v>0</v>
      </c>
      <c r="AH514" s="1">
        <v>0</v>
      </c>
      <c r="AI514" s="1">
        <v>0</v>
      </c>
      <c r="AJ514" s="1">
        <v>3489003</v>
      </c>
      <c r="AK514" s="1">
        <v>0</v>
      </c>
      <c r="AL514" s="1">
        <v>0</v>
      </c>
      <c r="AM514" s="1">
        <v>0</v>
      </c>
      <c r="AN514" s="1">
        <v>0</v>
      </c>
      <c r="AO514" s="1">
        <v>66696948</v>
      </c>
      <c r="AP514" s="1">
        <v>11058036</v>
      </c>
      <c r="AQ514" s="1">
        <v>55638912</v>
      </c>
      <c r="AR514" s="1">
        <v>12238133</v>
      </c>
      <c r="AS514" s="1">
        <v>1835720</v>
      </c>
      <c r="AT514" s="3">
        <f t="shared" si="49"/>
        <v>80770801</v>
      </c>
    </row>
    <row r="515" spans="1:46" x14ac:dyDescent="0.2">
      <c r="A515" s="1" t="str">
        <f>"00594"</f>
        <v>00594</v>
      </c>
      <c r="B515" s="1" t="str">
        <f>"مهدي"</f>
        <v>مهدي</v>
      </c>
      <c r="C515" s="1" t="str">
        <f>"احمديان مفرد"</f>
        <v>احمديان مفرد</v>
      </c>
      <c r="D515" s="1" t="str">
        <f t="shared" ref="D515:D557" si="54">"قراردادي بهره بردار"</f>
        <v>قراردادي بهره بردار</v>
      </c>
      <c r="E515" s="1" t="str">
        <f t="shared" si="52"/>
        <v>پروژه تعميرات نيروگاه بوشهر</v>
      </c>
      <c r="F515" s="1">
        <v>34718014</v>
      </c>
      <c r="G515" s="1">
        <v>15157241</v>
      </c>
      <c r="H515" s="1">
        <v>0</v>
      </c>
      <c r="I515" s="1">
        <v>31027022</v>
      </c>
      <c r="J515" s="1">
        <v>0</v>
      </c>
      <c r="K515" s="1">
        <v>5500000</v>
      </c>
      <c r="L515" s="1">
        <v>0</v>
      </c>
      <c r="M515" s="1">
        <v>1000000</v>
      </c>
      <c r="N515" s="1">
        <v>5968521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20082905</v>
      </c>
      <c r="W515" s="1">
        <v>4000000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4689552</v>
      </c>
      <c r="AF515" s="1">
        <v>1835427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10913866</v>
      </c>
      <c r="AM515" s="1">
        <v>0</v>
      </c>
      <c r="AN515" s="1">
        <v>0</v>
      </c>
      <c r="AO515" s="1">
        <v>134892548</v>
      </c>
      <c r="AP515" s="1">
        <v>50234755</v>
      </c>
      <c r="AQ515" s="1">
        <v>84657793</v>
      </c>
      <c r="AR515" s="1">
        <v>26552511</v>
      </c>
      <c r="AS515" s="1">
        <v>3982877</v>
      </c>
      <c r="AT515" s="3">
        <f t="shared" ref="AT515:AT578" si="55">AO515+AR515+AS515</f>
        <v>165427936</v>
      </c>
    </row>
    <row r="516" spans="1:46" x14ac:dyDescent="0.2">
      <c r="A516" s="1" t="str">
        <f>"00595"</f>
        <v>00595</v>
      </c>
      <c r="B516" s="1" t="str">
        <f>"امين"</f>
        <v>امين</v>
      </c>
      <c r="C516" s="1" t="str">
        <f>"ارجمندي"</f>
        <v>ارجمندي</v>
      </c>
      <c r="D516" s="1" t="str">
        <f t="shared" si="54"/>
        <v>قراردادي بهره بردار</v>
      </c>
      <c r="E516" s="1" t="str">
        <f t="shared" ref="E516:E521" si="56">"پروژه بهره برداري نيروگاه بوشهر"</f>
        <v>پروژه بهره برداري نيروگاه بوشهر</v>
      </c>
      <c r="F516" s="1">
        <v>28233422</v>
      </c>
      <c r="G516" s="1">
        <v>31349667</v>
      </c>
      <c r="H516" s="1">
        <v>0</v>
      </c>
      <c r="I516" s="1">
        <v>28592937</v>
      </c>
      <c r="J516" s="1">
        <v>0</v>
      </c>
      <c r="K516" s="1">
        <v>5500000</v>
      </c>
      <c r="L516" s="1">
        <v>0</v>
      </c>
      <c r="M516" s="1">
        <v>1000000</v>
      </c>
      <c r="N516" s="1">
        <v>4509235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7343299</v>
      </c>
      <c r="W516" s="1">
        <v>4000000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3401010</v>
      </c>
      <c r="AD516" s="1">
        <v>0</v>
      </c>
      <c r="AE516" s="1">
        <v>3542970</v>
      </c>
      <c r="AF516" s="1">
        <v>1835427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5153412</v>
      </c>
      <c r="AM516" s="1">
        <v>0</v>
      </c>
      <c r="AN516" s="1">
        <v>0</v>
      </c>
      <c r="AO516" s="1">
        <v>124461379</v>
      </c>
      <c r="AP516" s="1">
        <v>38972459</v>
      </c>
      <c r="AQ516" s="1">
        <v>85488920</v>
      </c>
      <c r="AR516" s="1">
        <v>24525190</v>
      </c>
      <c r="AS516" s="1">
        <v>3678779</v>
      </c>
      <c r="AT516" s="3">
        <f t="shared" si="55"/>
        <v>152665348</v>
      </c>
    </row>
    <row r="517" spans="1:46" x14ac:dyDescent="0.2">
      <c r="A517" s="1" t="str">
        <f>"00600"</f>
        <v>00600</v>
      </c>
      <c r="B517" s="1" t="str">
        <f>"اسماعيل"</f>
        <v>اسماعيل</v>
      </c>
      <c r="C517" s="1" t="str">
        <f>"هويداپور"</f>
        <v>هويداپور</v>
      </c>
      <c r="D517" s="1" t="str">
        <f t="shared" si="54"/>
        <v>قراردادي بهره بردار</v>
      </c>
      <c r="E517" s="1" t="str">
        <f t="shared" si="56"/>
        <v>پروژه بهره برداري نيروگاه بوشهر</v>
      </c>
      <c r="F517" s="1">
        <v>25331226</v>
      </c>
      <c r="G517" s="1">
        <v>14292377</v>
      </c>
      <c r="H517" s="1">
        <v>0</v>
      </c>
      <c r="I517" s="1">
        <v>23119461</v>
      </c>
      <c r="J517" s="1">
        <v>0</v>
      </c>
      <c r="K517" s="1">
        <v>5500000</v>
      </c>
      <c r="L517" s="1">
        <v>0</v>
      </c>
      <c r="M517" s="1">
        <v>1000000</v>
      </c>
      <c r="N517" s="1">
        <v>3773861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6349323</v>
      </c>
      <c r="W517" s="1">
        <v>4000000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3892267</v>
      </c>
      <c r="AD517" s="1">
        <v>0</v>
      </c>
      <c r="AE517" s="1">
        <v>2965177</v>
      </c>
      <c r="AF517" s="1">
        <v>1835427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4411236</v>
      </c>
      <c r="AM517" s="1">
        <v>0</v>
      </c>
      <c r="AN517" s="1">
        <v>0</v>
      </c>
      <c r="AO517" s="1">
        <v>96470355</v>
      </c>
      <c r="AP517" s="1">
        <v>55247812</v>
      </c>
      <c r="AQ517" s="1">
        <v>41222543</v>
      </c>
      <c r="AR517" s="1">
        <v>18926986</v>
      </c>
      <c r="AS517" s="1">
        <v>2839048</v>
      </c>
      <c r="AT517" s="3">
        <f t="shared" si="55"/>
        <v>118236389</v>
      </c>
    </row>
    <row r="518" spans="1:46" x14ac:dyDescent="0.2">
      <c r="A518" s="1" t="str">
        <f>"00601"</f>
        <v>00601</v>
      </c>
      <c r="B518" s="1" t="str">
        <f>"وحيد"</f>
        <v>وحيد</v>
      </c>
      <c r="C518" s="1" t="str">
        <f>"پاکروان"</f>
        <v>پاکروان</v>
      </c>
      <c r="D518" s="1" t="str">
        <f t="shared" si="54"/>
        <v>قراردادي بهره بردار</v>
      </c>
      <c r="E518" s="1" t="str">
        <f t="shared" si="56"/>
        <v>پروژه بهره برداري نيروگاه بوشهر</v>
      </c>
      <c r="F518" s="1">
        <v>19725858</v>
      </c>
      <c r="G518" s="1">
        <v>723737</v>
      </c>
      <c r="H518" s="1">
        <v>0</v>
      </c>
      <c r="I518" s="1">
        <v>16257111</v>
      </c>
      <c r="J518" s="1">
        <v>0</v>
      </c>
      <c r="K518" s="1">
        <v>4125000</v>
      </c>
      <c r="L518" s="1">
        <v>0</v>
      </c>
      <c r="M518" s="1">
        <v>1000000</v>
      </c>
      <c r="N518" s="1">
        <v>3240407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4661994</v>
      </c>
      <c r="W518" s="1">
        <v>4000000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2546034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4850533</v>
      </c>
      <c r="AM518" s="1">
        <v>0</v>
      </c>
      <c r="AN518" s="1">
        <v>0</v>
      </c>
      <c r="AO518" s="1">
        <v>61130674</v>
      </c>
      <c r="AP518" s="1">
        <v>22430826</v>
      </c>
      <c r="AQ518" s="1">
        <v>38699848</v>
      </c>
      <c r="AR518" s="1">
        <v>12226135</v>
      </c>
      <c r="AS518" s="1">
        <v>1833920</v>
      </c>
      <c r="AT518" s="3">
        <f t="shared" si="55"/>
        <v>75190729</v>
      </c>
    </row>
    <row r="519" spans="1:46" x14ac:dyDescent="0.2">
      <c r="A519" s="1" t="str">
        <f>"00602"</f>
        <v>00602</v>
      </c>
      <c r="B519" s="1" t="str">
        <f>"زينب"</f>
        <v>زينب</v>
      </c>
      <c r="C519" s="1" t="str">
        <f>"صمديان مطلق"</f>
        <v>صمديان مطلق</v>
      </c>
      <c r="D519" s="1" t="str">
        <f t="shared" si="54"/>
        <v>قراردادي بهره بردار</v>
      </c>
      <c r="E519" s="1" t="str">
        <f t="shared" si="56"/>
        <v>پروژه بهره برداري نيروگاه بوشهر</v>
      </c>
      <c r="F519" s="1">
        <v>19290025</v>
      </c>
      <c r="G519" s="1">
        <v>0</v>
      </c>
      <c r="H519" s="1">
        <v>0</v>
      </c>
      <c r="I519" s="1">
        <v>18347863</v>
      </c>
      <c r="J519" s="1">
        <v>0</v>
      </c>
      <c r="K519" s="1">
        <v>3465000</v>
      </c>
      <c r="L519" s="1">
        <v>0</v>
      </c>
      <c r="M519" s="1">
        <v>1000000</v>
      </c>
      <c r="N519" s="1">
        <v>3762399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5288783</v>
      </c>
      <c r="W519" s="1">
        <v>4000000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3229700</v>
      </c>
      <c r="AD519" s="1">
        <v>0</v>
      </c>
      <c r="AE519" s="1">
        <v>2956170</v>
      </c>
      <c r="AF519" s="1">
        <v>3670854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5301671</v>
      </c>
      <c r="AM519" s="1">
        <v>0</v>
      </c>
      <c r="AN519" s="1">
        <v>0</v>
      </c>
      <c r="AO519" s="1">
        <v>70312465</v>
      </c>
      <c r="AP519" s="1">
        <v>12647462</v>
      </c>
      <c r="AQ519" s="1">
        <v>57665003</v>
      </c>
      <c r="AR519" s="1">
        <v>13328322</v>
      </c>
      <c r="AS519" s="1">
        <v>1999248</v>
      </c>
      <c r="AT519" s="3">
        <f t="shared" si="55"/>
        <v>85640035</v>
      </c>
    </row>
    <row r="520" spans="1:46" x14ac:dyDescent="0.2">
      <c r="A520" s="1" t="str">
        <f>"00603"</f>
        <v>00603</v>
      </c>
      <c r="B520" s="1" t="str">
        <f>"اسماعيل"</f>
        <v>اسماعيل</v>
      </c>
      <c r="C520" s="1" t="str">
        <f>"قاسمي خواه"</f>
        <v>قاسمي خواه</v>
      </c>
      <c r="D520" s="1" t="str">
        <f t="shared" si="54"/>
        <v>قراردادي بهره بردار</v>
      </c>
      <c r="E520" s="1" t="str">
        <f t="shared" si="56"/>
        <v>پروژه بهره برداري نيروگاه بوشهر</v>
      </c>
      <c r="F520" s="1">
        <v>24139613</v>
      </c>
      <c r="G520" s="1">
        <v>17956757</v>
      </c>
      <c r="H520" s="1">
        <v>0</v>
      </c>
      <c r="I520" s="1">
        <v>21738443</v>
      </c>
      <c r="J520" s="1">
        <v>0</v>
      </c>
      <c r="K520" s="1">
        <v>5500000</v>
      </c>
      <c r="L520" s="1">
        <v>0</v>
      </c>
      <c r="M520" s="1">
        <v>1000000</v>
      </c>
      <c r="N520" s="1">
        <v>4150366</v>
      </c>
      <c r="O520" s="1">
        <v>0</v>
      </c>
      <c r="P520" s="1">
        <v>0</v>
      </c>
      <c r="Q520" s="1">
        <v>0</v>
      </c>
      <c r="R520" s="1">
        <v>405566</v>
      </c>
      <c r="S520" s="1">
        <v>0</v>
      </c>
      <c r="T520" s="1">
        <v>0</v>
      </c>
      <c r="U520" s="1">
        <v>0</v>
      </c>
      <c r="V520" s="1">
        <v>12865767</v>
      </c>
      <c r="W520" s="1">
        <v>4000000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3261002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6551353</v>
      </c>
      <c r="AM520" s="1">
        <v>0</v>
      </c>
      <c r="AN520" s="1">
        <v>0</v>
      </c>
      <c r="AO520" s="1">
        <v>101568867</v>
      </c>
      <c r="AP520" s="1">
        <v>45300523</v>
      </c>
      <c r="AQ520" s="1">
        <v>56268344</v>
      </c>
      <c r="AR520" s="1">
        <v>20232660</v>
      </c>
      <c r="AS520" s="1">
        <v>3034899</v>
      </c>
      <c r="AT520" s="3">
        <f t="shared" si="55"/>
        <v>124836426</v>
      </c>
    </row>
    <row r="521" spans="1:46" x14ac:dyDescent="0.2">
      <c r="A521" s="1" t="str">
        <f>"00604"</f>
        <v>00604</v>
      </c>
      <c r="B521" s="1" t="str">
        <f>"مهدي"</f>
        <v>مهدي</v>
      </c>
      <c r="C521" s="1" t="str">
        <f>"اسدي"</f>
        <v>اسدي</v>
      </c>
      <c r="D521" s="1" t="str">
        <f t="shared" si="54"/>
        <v>قراردادي بهره بردار</v>
      </c>
      <c r="E521" s="1" t="str">
        <f t="shared" si="56"/>
        <v>پروژه بهره برداري نيروگاه بوشهر</v>
      </c>
      <c r="F521" s="1">
        <v>26175181</v>
      </c>
      <c r="G521" s="1">
        <v>7810869</v>
      </c>
      <c r="H521" s="1">
        <v>0</v>
      </c>
      <c r="I521" s="1">
        <v>24971638</v>
      </c>
      <c r="J521" s="1">
        <v>0</v>
      </c>
      <c r="K521" s="1">
        <v>5500000</v>
      </c>
      <c r="L521" s="1">
        <v>0</v>
      </c>
      <c r="M521" s="1">
        <v>1000000</v>
      </c>
      <c r="N521" s="1">
        <v>3788851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6289271</v>
      </c>
      <c r="W521" s="1">
        <v>4000000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2976955</v>
      </c>
      <c r="AF521" s="1">
        <v>1835427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4980086</v>
      </c>
      <c r="AM521" s="1">
        <v>0</v>
      </c>
      <c r="AN521" s="1">
        <v>0</v>
      </c>
      <c r="AO521" s="1">
        <v>89328278</v>
      </c>
      <c r="AP521" s="1">
        <v>29786884</v>
      </c>
      <c r="AQ521" s="1">
        <v>59541394</v>
      </c>
      <c r="AR521" s="1">
        <v>17498570</v>
      </c>
      <c r="AS521" s="1">
        <v>2624786</v>
      </c>
      <c r="AT521" s="3">
        <f t="shared" si="55"/>
        <v>109451634</v>
      </c>
    </row>
    <row r="522" spans="1:46" x14ac:dyDescent="0.2">
      <c r="A522" s="1" t="str">
        <f>"00606"</f>
        <v>00606</v>
      </c>
      <c r="B522" s="1" t="str">
        <f>"محمدابراهيم"</f>
        <v>محمدابراهيم</v>
      </c>
      <c r="C522" s="1" t="str">
        <f>"اسمعيل پور"</f>
        <v>اسمعيل پور</v>
      </c>
      <c r="D522" s="1" t="str">
        <f t="shared" si="54"/>
        <v>قراردادي بهره بردار</v>
      </c>
      <c r="E522" s="1" t="str">
        <f>"پروژه تعميرات نيروگاه بوشهر"</f>
        <v>پروژه تعميرات نيروگاه بوشهر</v>
      </c>
      <c r="F522" s="1">
        <v>15997343</v>
      </c>
      <c r="G522" s="1">
        <v>0</v>
      </c>
      <c r="H522" s="1">
        <v>0</v>
      </c>
      <c r="I522" s="1">
        <v>15056043</v>
      </c>
      <c r="J522" s="1">
        <v>0</v>
      </c>
      <c r="K522" s="1">
        <v>4620000</v>
      </c>
      <c r="L522" s="1">
        <v>0</v>
      </c>
      <c r="M522" s="1">
        <v>1000000</v>
      </c>
      <c r="N522" s="1">
        <v>2975884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16959610</v>
      </c>
      <c r="W522" s="1">
        <v>4000000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2338195</v>
      </c>
      <c r="AF522" s="1">
        <v>1835427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10097221</v>
      </c>
      <c r="AM522" s="1">
        <v>0</v>
      </c>
      <c r="AN522" s="1">
        <v>0</v>
      </c>
      <c r="AO522" s="1">
        <v>74879723</v>
      </c>
      <c r="AP522" s="1">
        <v>33429793</v>
      </c>
      <c r="AQ522" s="1">
        <v>41449930</v>
      </c>
      <c r="AR522" s="1">
        <v>14608859</v>
      </c>
      <c r="AS522" s="1">
        <v>2191329</v>
      </c>
      <c r="AT522" s="3">
        <f t="shared" si="55"/>
        <v>91679911</v>
      </c>
    </row>
    <row r="523" spans="1:46" x14ac:dyDescent="0.2">
      <c r="A523" s="1" t="str">
        <f>"00607"</f>
        <v>00607</v>
      </c>
      <c r="B523" s="1" t="str">
        <f>"امين"</f>
        <v>امين</v>
      </c>
      <c r="C523" s="1" t="str">
        <f>"افخمي نسب"</f>
        <v>افخمي نسب</v>
      </c>
      <c r="D523" s="1" t="str">
        <f t="shared" si="54"/>
        <v>قراردادي بهره بردار</v>
      </c>
      <c r="E523" s="1" t="str">
        <f t="shared" ref="E523:E542" si="57">"پروژه بهره برداري نيروگاه بوشهر"</f>
        <v>پروژه بهره برداري نيروگاه بوشهر</v>
      </c>
      <c r="F523" s="1">
        <v>16319809</v>
      </c>
      <c r="G523" s="1">
        <v>4349757</v>
      </c>
      <c r="H523" s="1">
        <v>0</v>
      </c>
      <c r="I523" s="1">
        <v>13800273</v>
      </c>
      <c r="J523" s="1">
        <v>0</v>
      </c>
      <c r="K523" s="1">
        <v>4620000</v>
      </c>
      <c r="L523" s="1">
        <v>0</v>
      </c>
      <c r="M523" s="1">
        <v>1000000</v>
      </c>
      <c r="N523" s="1">
        <v>3088747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20595319</v>
      </c>
      <c r="W523" s="1">
        <v>4000000</v>
      </c>
      <c r="X523" s="1">
        <v>2369005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2426872</v>
      </c>
      <c r="AF523" s="1">
        <v>1835427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12260389</v>
      </c>
      <c r="AM523" s="1">
        <v>0</v>
      </c>
      <c r="AN523" s="1">
        <v>0</v>
      </c>
      <c r="AO523" s="1">
        <v>86665598</v>
      </c>
      <c r="AP523" s="1">
        <v>34278659</v>
      </c>
      <c r="AQ523" s="1">
        <v>52386939</v>
      </c>
      <c r="AR523" s="1">
        <v>16966034</v>
      </c>
      <c r="AS523" s="1">
        <v>2544905</v>
      </c>
      <c r="AT523" s="3">
        <f t="shared" si="55"/>
        <v>106176537</v>
      </c>
    </row>
    <row r="524" spans="1:46" x14ac:dyDescent="0.2">
      <c r="A524" s="1" t="str">
        <f>"00608"</f>
        <v>00608</v>
      </c>
      <c r="B524" s="1" t="str">
        <f>"مجتبي"</f>
        <v>مجتبي</v>
      </c>
      <c r="C524" s="1" t="str">
        <f>"بازدار"</f>
        <v>بازدار</v>
      </c>
      <c r="D524" s="1" t="str">
        <f t="shared" si="54"/>
        <v>قراردادي بهره بردار</v>
      </c>
      <c r="E524" s="1" t="str">
        <f t="shared" si="57"/>
        <v>پروژه بهره برداري نيروگاه بوشهر</v>
      </c>
      <c r="F524" s="1">
        <v>21791657</v>
      </c>
      <c r="G524" s="1">
        <v>0</v>
      </c>
      <c r="H524" s="1">
        <v>0</v>
      </c>
      <c r="I524" s="1">
        <v>18589257</v>
      </c>
      <c r="J524" s="1">
        <v>0</v>
      </c>
      <c r="K524" s="1">
        <v>5500000</v>
      </c>
      <c r="L524" s="1">
        <v>0</v>
      </c>
      <c r="M524" s="1">
        <v>1000000</v>
      </c>
      <c r="N524" s="1">
        <v>3765044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15058254</v>
      </c>
      <c r="W524" s="1">
        <v>4000000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4459102</v>
      </c>
      <c r="AD524" s="1">
        <v>0</v>
      </c>
      <c r="AE524" s="1">
        <v>2958249</v>
      </c>
      <c r="AF524" s="1">
        <v>1835427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13907360</v>
      </c>
      <c r="AM524" s="1">
        <v>0</v>
      </c>
      <c r="AN524" s="1">
        <v>0</v>
      </c>
      <c r="AO524" s="1">
        <v>92864350</v>
      </c>
      <c r="AP524" s="1">
        <v>33791082</v>
      </c>
      <c r="AQ524" s="1">
        <v>59073268</v>
      </c>
      <c r="AR524" s="1">
        <v>18205785</v>
      </c>
      <c r="AS524" s="1">
        <v>2730868</v>
      </c>
      <c r="AT524" s="3">
        <f t="shared" si="55"/>
        <v>113801003</v>
      </c>
    </row>
    <row r="525" spans="1:46" x14ac:dyDescent="0.2">
      <c r="A525" s="1" t="str">
        <f>"00609"</f>
        <v>00609</v>
      </c>
      <c r="B525" s="1" t="str">
        <f>"ناصر"</f>
        <v>ناصر</v>
      </c>
      <c r="C525" s="1" t="str">
        <f>"بحراني"</f>
        <v>بحراني</v>
      </c>
      <c r="D525" s="1" t="str">
        <f t="shared" si="54"/>
        <v>قراردادي بهره بردار</v>
      </c>
      <c r="E525" s="1" t="str">
        <f t="shared" si="57"/>
        <v>پروژه بهره برداري نيروگاه بوشهر</v>
      </c>
      <c r="F525" s="1">
        <v>24698890</v>
      </c>
      <c r="G525" s="1">
        <v>12118261</v>
      </c>
      <c r="H525" s="1">
        <v>0</v>
      </c>
      <c r="I525" s="1">
        <v>20397654</v>
      </c>
      <c r="J525" s="1">
        <v>0</v>
      </c>
      <c r="K525" s="1">
        <v>5500000</v>
      </c>
      <c r="L525" s="1">
        <v>0</v>
      </c>
      <c r="M525" s="1">
        <v>1000000</v>
      </c>
      <c r="N525" s="1">
        <v>4346113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18923755</v>
      </c>
      <c r="W525" s="1">
        <v>4000000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3414803</v>
      </c>
      <c r="AF525" s="1">
        <v>1835427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6279272</v>
      </c>
      <c r="AM525" s="1">
        <v>0</v>
      </c>
      <c r="AN525" s="1">
        <v>0</v>
      </c>
      <c r="AO525" s="1">
        <v>102514175</v>
      </c>
      <c r="AP525" s="1">
        <v>22999735</v>
      </c>
      <c r="AQ525" s="1">
        <v>79514440</v>
      </c>
      <c r="AR525" s="1">
        <v>20135750</v>
      </c>
      <c r="AS525" s="1">
        <v>3020362</v>
      </c>
      <c r="AT525" s="3">
        <f t="shared" si="55"/>
        <v>125670287</v>
      </c>
    </row>
    <row r="526" spans="1:46" x14ac:dyDescent="0.2">
      <c r="A526" s="1" t="str">
        <f>"00613"</f>
        <v>00613</v>
      </c>
      <c r="B526" s="1" t="str">
        <f>"سعيد"</f>
        <v>سعيد</v>
      </c>
      <c r="C526" s="1" t="str">
        <f>"جوکار"</f>
        <v>جوکار</v>
      </c>
      <c r="D526" s="1" t="str">
        <f t="shared" si="54"/>
        <v>قراردادي بهره بردار</v>
      </c>
      <c r="E526" s="1" t="str">
        <f t="shared" si="57"/>
        <v>پروژه بهره برداري نيروگاه بوشهر</v>
      </c>
      <c r="F526" s="1">
        <v>16894202</v>
      </c>
      <c r="G526" s="1">
        <v>14548167</v>
      </c>
      <c r="H526" s="1">
        <v>0</v>
      </c>
      <c r="I526" s="1">
        <v>14899869</v>
      </c>
      <c r="J526" s="1">
        <v>0</v>
      </c>
      <c r="K526" s="1">
        <v>0</v>
      </c>
      <c r="L526" s="1">
        <v>0</v>
      </c>
      <c r="M526" s="1">
        <v>1000000</v>
      </c>
      <c r="N526" s="1">
        <v>3289784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17532625</v>
      </c>
      <c r="W526" s="1">
        <v>4000000</v>
      </c>
      <c r="X526" s="1">
        <v>2452384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2584831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13521458</v>
      </c>
      <c r="AM526" s="1">
        <v>0</v>
      </c>
      <c r="AN526" s="1">
        <v>0</v>
      </c>
      <c r="AO526" s="1">
        <v>90723320</v>
      </c>
      <c r="AP526" s="1">
        <v>32624762</v>
      </c>
      <c r="AQ526" s="1">
        <v>58098558</v>
      </c>
      <c r="AR526" s="1">
        <v>18144664</v>
      </c>
      <c r="AS526" s="1">
        <v>2721700</v>
      </c>
      <c r="AT526" s="3">
        <f t="shared" si="55"/>
        <v>111589684</v>
      </c>
    </row>
    <row r="527" spans="1:46" x14ac:dyDescent="0.2">
      <c r="A527" s="1" t="str">
        <f>"00614"</f>
        <v>00614</v>
      </c>
      <c r="B527" s="1" t="str">
        <f>"مجتبي"</f>
        <v>مجتبي</v>
      </c>
      <c r="C527" s="1" t="str">
        <f>"حسني"</f>
        <v>حسني</v>
      </c>
      <c r="D527" s="1" t="str">
        <f t="shared" si="54"/>
        <v>قراردادي بهره بردار</v>
      </c>
      <c r="E527" s="1" t="str">
        <f t="shared" si="57"/>
        <v>پروژه بهره برداري نيروگاه بوشهر</v>
      </c>
      <c r="F527" s="1">
        <v>16969780</v>
      </c>
      <c r="G527" s="1">
        <v>12853135</v>
      </c>
      <c r="H527" s="1">
        <v>0</v>
      </c>
      <c r="I527" s="1">
        <v>13737396</v>
      </c>
      <c r="J527" s="1">
        <v>0</v>
      </c>
      <c r="K527" s="1">
        <v>3465000</v>
      </c>
      <c r="L527" s="1">
        <v>0</v>
      </c>
      <c r="M527" s="1">
        <v>1000000</v>
      </c>
      <c r="N527" s="1">
        <v>3316236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14244167</v>
      </c>
      <c r="W527" s="1">
        <v>4000000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2605614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7883994</v>
      </c>
      <c r="AM527" s="1">
        <v>0</v>
      </c>
      <c r="AN527" s="1">
        <v>0</v>
      </c>
      <c r="AO527" s="1">
        <v>80075322</v>
      </c>
      <c r="AP527" s="1">
        <v>21275445</v>
      </c>
      <c r="AQ527" s="1">
        <v>58799877</v>
      </c>
      <c r="AR527" s="1">
        <v>16015064</v>
      </c>
      <c r="AS527" s="1">
        <v>2402260</v>
      </c>
      <c r="AT527" s="3">
        <f t="shared" si="55"/>
        <v>98492646</v>
      </c>
    </row>
    <row r="528" spans="1:46" x14ac:dyDescent="0.2">
      <c r="A528" s="1" t="str">
        <f>"00616"</f>
        <v>00616</v>
      </c>
      <c r="B528" s="1" t="str">
        <f>"حامد"</f>
        <v>حامد</v>
      </c>
      <c r="C528" s="1" t="str">
        <f>"حسين زاده"</f>
        <v>حسين زاده</v>
      </c>
      <c r="D528" s="1" t="str">
        <f t="shared" si="54"/>
        <v>قراردادي بهره بردار</v>
      </c>
      <c r="E528" s="1" t="str">
        <f t="shared" si="57"/>
        <v>پروژه بهره برداري نيروگاه بوشهر</v>
      </c>
      <c r="F528" s="1">
        <v>23084040</v>
      </c>
      <c r="G528" s="1">
        <v>0</v>
      </c>
      <c r="H528" s="1">
        <v>0</v>
      </c>
      <c r="I528" s="1">
        <v>20118071</v>
      </c>
      <c r="J528" s="1">
        <v>0</v>
      </c>
      <c r="K528" s="1">
        <v>5500000</v>
      </c>
      <c r="L528" s="1">
        <v>0</v>
      </c>
      <c r="M528" s="1">
        <v>1000000</v>
      </c>
      <c r="N528" s="1">
        <v>4217378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17961747</v>
      </c>
      <c r="W528" s="1">
        <v>4000000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3313654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7207974</v>
      </c>
      <c r="AM528" s="1">
        <v>0</v>
      </c>
      <c r="AN528" s="1">
        <v>0</v>
      </c>
      <c r="AO528" s="1">
        <v>86402864</v>
      </c>
      <c r="AP528" s="1">
        <v>32179408</v>
      </c>
      <c r="AQ528" s="1">
        <v>54223456</v>
      </c>
      <c r="AR528" s="1">
        <v>17280573</v>
      </c>
      <c r="AS528" s="1">
        <v>2592086</v>
      </c>
      <c r="AT528" s="3">
        <f t="shared" si="55"/>
        <v>106275523</v>
      </c>
    </row>
    <row r="529" spans="1:46" x14ac:dyDescent="0.2">
      <c r="A529" s="1" t="str">
        <f>"00617"</f>
        <v>00617</v>
      </c>
      <c r="B529" s="1" t="str">
        <f>"صادق"</f>
        <v>صادق</v>
      </c>
      <c r="C529" s="1" t="str">
        <f>"دارابي"</f>
        <v>دارابي</v>
      </c>
      <c r="D529" s="1" t="str">
        <f t="shared" si="54"/>
        <v>قراردادي بهره بردار</v>
      </c>
      <c r="E529" s="1" t="str">
        <f t="shared" si="57"/>
        <v>پروژه بهره برداري نيروگاه بوشهر</v>
      </c>
      <c r="F529" s="1">
        <v>17196514</v>
      </c>
      <c r="G529" s="1">
        <v>10908074</v>
      </c>
      <c r="H529" s="1">
        <v>0</v>
      </c>
      <c r="I529" s="1">
        <v>14182183</v>
      </c>
      <c r="J529" s="1">
        <v>0</v>
      </c>
      <c r="K529" s="1">
        <v>4620000</v>
      </c>
      <c r="L529" s="1">
        <v>0</v>
      </c>
      <c r="M529" s="1">
        <v>1000000</v>
      </c>
      <c r="N529" s="1">
        <v>3395593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16534151</v>
      </c>
      <c r="W529" s="1">
        <v>4000000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2667966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7856787</v>
      </c>
      <c r="AM529" s="1">
        <v>0</v>
      </c>
      <c r="AN529" s="1">
        <v>0</v>
      </c>
      <c r="AO529" s="1">
        <v>82361268</v>
      </c>
      <c r="AP529" s="1">
        <v>28621693</v>
      </c>
      <c r="AQ529" s="1">
        <v>53739575</v>
      </c>
      <c r="AR529" s="1">
        <v>16472254</v>
      </c>
      <c r="AS529" s="1">
        <v>2470838</v>
      </c>
      <c r="AT529" s="3">
        <f t="shared" si="55"/>
        <v>101304360</v>
      </c>
    </row>
    <row r="530" spans="1:46" x14ac:dyDescent="0.2">
      <c r="A530" s="1" t="str">
        <f>"00618"</f>
        <v>00618</v>
      </c>
      <c r="B530" s="1" t="str">
        <f>"صادق"</f>
        <v>صادق</v>
      </c>
      <c r="C530" s="1" t="str">
        <f>"داودي"</f>
        <v>داودي</v>
      </c>
      <c r="D530" s="1" t="str">
        <f t="shared" si="54"/>
        <v>قراردادي بهره بردار</v>
      </c>
      <c r="E530" s="1" t="str">
        <f t="shared" si="57"/>
        <v>پروژه بهره برداري نيروگاه بوشهر</v>
      </c>
      <c r="F530" s="1">
        <v>21874792</v>
      </c>
      <c r="G530" s="1">
        <v>6042346</v>
      </c>
      <c r="H530" s="1">
        <v>0</v>
      </c>
      <c r="I530" s="1">
        <v>18628157</v>
      </c>
      <c r="J530" s="1">
        <v>0</v>
      </c>
      <c r="K530" s="1">
        <v>5500000</v>
      </c>
      <c r="L530" s="1">
        <v>0</v>
      </c>
      <c r="M530" s="1">
        <v>1000000</v>
      </c>
      <c r="N530" s="1">
        <v>3794142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22514749</v>
      </c>
      <c r="W530" s="1">
        <v>4000000</v>
      </c>
      <c r="X530" s="1">
        <v>3175373</v>
      </c>
      <c r="Y530" s="1">
        <v>0</v>
      </c>
      <c r="Z530" s="1">
        <v>0</v>
      </c>
      <c r="AA530" s="1">
        <v>0</v>
      </c>
      <c r="AB530" s="1">
        <v>0</v>
      </c>
      <c r="AC530" s="1">
        <v>4459102</v>
      </c>
      <c r="AD530" s="1">
        <v>0</v>
      </c>
      <c r="AE530" s="1">
        <v>2981111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20890918</v>
      </c>
      <c r="AM530" s="1">
        <v>0</v>
      </c>
      <c r="AN530" s="1">
        <v>0</v>
      </c>
      <c r="AO530" s="1">
        <v>114860690</v>
      </c>
      <c r="AP530" s="1">
        <v>38916523</v>
      </c>
      <c r="AQ530" s="1">
        <v>75944167</v>
      </c>
      <c r="AR530" s="1">
        <v>22972138</v>
      </c>
      <c r="AS530" s="1">
        <v>3445821</v>
      </c>
      <c r="AT530" s="3">
        <f t="shared" si="55"/>
        <v>141278649</v>
      </c>
    </row>
    <row r="531" spans="1:46" x14ac:dyDescent="0.2">
      <c r="A531" s="1" t="str">
        <f>"00619"</f>
        <v>00619</v>
      </c>
      <c r="B531" s="1" t="str">
        <f>"وحيد"</f>
        <v>وحيد</v>
      </c>
      <c r="C531" s="1" t="str">
        <f>"دردي"</f>
        <v>دردي</v>
      </c>
      <c r="D531" s="1" t="str">
        <f t="shared" si="54"/>
        <v>قراردادي بهره بردار</v>
      </c>
      <c r="E531" s="1" t="str">
        <f t="shared" si="57"/>
        <v>پروژه بهره برداري نيروگاه بوشهر</v>
      </c>
      <c r="F531" s="1">
        <v>16863971</v>
      </c>
      <c r="G531" s="1">
        <v>8094960</v>
      </c>
      <c r="H531" s="1">
        <v>0</v>
      </c>
      <c r="I531" s="1">
        <v>13982062</v>
      </c>
      <c r="J531" s="1">
        <v>0</v>
      </c>
      <c r="K531" s="1">
        <v>3465000</v>
      </c>
      <c r="L531" s="1">
        <v>0</v>
      </c>
      <c r="M531" s="1">
        <v>1000000</v>
      </c>
      <c r="N531" s="1">
        <v>3279204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17215739</v>
      </c>
      <c r="W531" s="1">
        <v>4000000</v>
      </c>
      <c r="X531" s="1">
        <v>2447996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2576517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13563178</v>
      </c>
      <c r="AM531" s="1">
        <v>0</v>
      </c>
      <c r="AN531" s="1">
        <v>0</v>
      </c>
      <c r="AO531" s="1">
        <v>86488627</v>
      </c>
      <c r="AP531" s="1">
        <v>34176657</v>
      </c>
      <c r="AQ531" s="1">
        <v>52311970</v>
      </c>
      <c r="AR531" s="1">
        <v>17297725</v>
      </c>
      <c r="AS531" s="1">
        <v>2594659</v>
      </c>
      <c r="AT531" s="3">
        <f t="shared" si="55"/>
        <v>106381011</v>
      </c>
    </row>
    <row r="532" spans="1:46" x14ac:dyDescent="0.2">
      <c r="A532" s="1" t="str">
        <f>"00620"</f>
        <v>00620</v>
      </c>
      <c r="B532" s="1" t="str">
        <f>"سروش"</f>
        <v>سروش</v>
      </c>
      <c r="C532" s="1" t="str">
        <f>"دهقان"</f>
        <v>دهقان</v>
      </c>
      <c r="D532" s="1" t="str">
        <f t="shared" si="54"/>
        <v>قراردادي بهره بردار</v>
      </c>
      <c r="E532" s="1" t="str">
        <f t="shared" si="57"/>
        <v>پروژه بهره برداري نيروگاه بوشهر</v>
      </c>
      <c r="F532" s="1">
        <v>16765720</v>
      </c>
      <c r="G532" s="1">
        <v>4268509</v>
      </c>
      <c r="H532" s="1">
        <v>0</v>
      </c>
      <c r="I532" s="1">
        <v>14124945</v>
      </c>
      <c r="J532" s="1">
        <v>0</v>
      </c>
      <c r="K532" s="1">
        <v>4620000</v>
      </c>
      <c r="L532" s="1">
        <v>0</v>
      </c>
      <c r="M532" s="1">
        <v>1000000</v>
      </c>
      <c r="N532" s="1">
        <v>3244815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17053811</v>
      </c>
      <c r="W532" s="1">
        <v>4000000</v>
      </c>
      <c r="X532" s="1">
        <v>2433734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2549498</v>
      </c>
      <c r="AF532" s="1">
        <v>3670854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13473290</v>
      </c>
      <c r="AM532" s="1">
        <v>0</v>
      </c>
      <c r="AN532" s="1">
        <v>0</v>
      </c>
      <c r="AO532" s="1">
        <v>87205176</v>
      </c>
      <c r="AP532" s="1">
        <v>33535547</v>
      </c>
      <c r="AQ532" s="1">
        <v>53669629</v>
      </c>
      <c r="AR532" s="1">
        <v>16706864</v>
      </c>
      <c r="AS532" s="1">
        <v>2506030</v>
      </c>
      <c r="AT532" s="3">
        <f t="shared" si="55"/>
        <v>106418070</v>
      </c>
    </row>
    <row r="533" spans="1:46" x14ac:dyDescent="0.2">
      <c r="A533" s="1" t="str">
        <f>"00621"</f>
        <v>00621</v>
      </c>
      <c r="B533" s="1" t="str">
        <f>"سيده فاطمه"</f>
        <v>سيده فاطمه</v>
      </c>
      <c r="C533" s="1" t="str">
        <f>"رباني زاده"</f>
        <v>رباني زاده</v>
      </c>
      <c r="D533" s="1" t="str">
        <f t="shared" si="54"/>
        <v>قراردادي بهره بردار</v>
      </c>
      <c r="E533" s="1" t="str">
        <f t="shared" si="57"/>
        <v>پروژه بهره برداري نيروگاه بوشهر</v>
      </c>
      <c r="F533" s="1">
        <v>15972151</v>
      </c>
      <c r="G533" s="1">
        <v>0</v>
      </c>
      <c r="H533" s="1">
        <v>0</v>
      </c>
      <c r="I533" s="1">
        <v>11034052</v>
      </c>
      <c r="J533" s="1">
        <v>0</v>
      </c>
      <c r="K533" s="1">
        <v>3465000</v>
      </c>
      <c r="L533" s="1">
        <v>0</v>
      </c>
      <c r="M533" s="1">
        <v>1000000</v>
      </c>
      <c r="N533" s="1">
        <v>2967067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3741077</v>
      </c>
      <c r="W533" s="1">
        <v>4000000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2331266</v>
      </c>
      <c r="AF533" s="1">
        <v>1835427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5106238</v>
      </c>
      <c r="AM533" s="1">
        <v>0</v>
      </c>
      <c r="AN533" s="1">
        <v>0</v>
      </c>
      <c r="AO533" s="1">
        <v>51452278</v>
      </c>
      <c r="AP533" s="1">
        <v>8783889</v>
      </c>
      <c r="AQ533" s="1">
        <v>42668389</v>
      </c>
      <c r="AR533" s="1">
        <v>9923370</v>
      </c>
      <c r="AS533" s="1">
        <v>1488506</v>
      </c>
      <c r="AT533" s="3">
        <f t="shared" si="55"/>
        <v>62864154</v>
      </c>
    </row>
    <row r="534" spans="1:46" x14ac:dyDescent="0.2">
      <c r="A534" s="1" t="str">
        <f>"00622"</f>
        <v>00622</v>
      </c>
      <c r="B534" s="1" t="str">
        <f>"حسين"</f>
        <v>حسين</v>
      </c>
      <c r="C534" s="1" t="str">
        <f>"رشيدي بد"</f>
        <v>رشيدي بد</v>
      </c>
      <c r="D534" s="1" t="str">
        <f t="shared" si="54"/>
        <v>قراردادي بهره بردار</v>
      </c>
      <c r="E534" s="1" t="str">
        <f t="shared" si="57"/>
        <v>پروژه بهره برداري نيروگاه بوشهر</v>
      </c>
      <c r="F534" s="1">
        <v>16392868</v>
      </c>
      <c r="G534" s="1">
        <v>7977450</v>
      </c>
      <c r="H534" s="1">
        <v>0</v>
      </c>
      <c r="I534" s="1">
        <v>13272576</v>
      </c>
      <c r="J534" s="1">
        <v>0</v>
      </c>
      <c r="K534" s="1">
        <v>3465000</v>
      </c>
      <c r="L534" s="1">
        <v>0</v>
      </c>
      <c r="M534" s="1">
        <v>1000000</v>
      </c>
      <c r="N534" s="1">
        <v>3114318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20077991</v>
      </c>
      <c r="W534" s="1">
        <v>4000000</v>
      </c>
      <c r="X534" s="1">
        <v>2379610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2446963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11196376</v>
      </c>
      <c r="AM534" s="1">
        <v>0</v>
      </c>
      <c r="AN534" s="1">
        <v>0</v>
      </c>
      <c r="AO534" s="1">
        <v>85323152</v>
      </c>
      <c r="AP534" s="1">
        <v>32223682</v>
      </c>
      <c r="AQ534" s="1">
        <v>53099470</v>
      </c>
      <c r="AR534" s="1">
        <v>17064630</v>
      </c>
      <c r="AS534" s="1">
        <v>2559695</v>
      </c>
      <c r="AT534" s="3">
        <f t="shared" si="55"/>
        <v>104947477</v>
      </c>
    </row>
    <row r="535" spans="1:46" x14ac:dyDescent="0.2">
      <c r="A535" s="1" t="str">
        <f>"00623"</f>
        <v>00623</v>
      </c>
      <c r="B535" s="1" t="str">
        <f>"فضل اله"</f>
        <v>فضل اله</v>
      </c>
      <c r="C535" s="1" t="str">
        <f>"رضواني نيا"</f>
        <v>رضواني نيا</v>
      </c>
      <c r="D535" s="1" t="str">
        <f t="shared" si="54"/>
        <v>قراردادي بهره بردار</v>
      </c>
      <c r="E535" s="1" t="str">
        <f t="shared" si="57"/>
        <v>پروژه بهره برداري نيروگاه بوشهر</v>
      </c>
      <c r="F535" s="1">
        <v>17909467</v>
      </c>
      <c r="G535" s="1">
        <v>10552788</v>
      </c>
      <c r="H535" s="1">
        <v>0</v>
      </c>
      <c r="I535" s="1">
        <v>15215644</v>
      </c>
      <c r="J535" s="1">
        <v>0</v>
      </c>
      <c r="K535" s="1">
        <v>0</v>
      </c>
      <c r="L535" s="1">
        <v>0</v>
      </c>
      <c r="M535" s="1">
        <v>1000000</v>
      </c>
      <c r="N535" s="1">
        <v>3367378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18168031</v>
      </c>
      <c r="W535" s="1">
        <v>4000000</v>
      </c>
      <c r="X535" s="1">
        <v>2599761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2645797</v>
      </c>
      <c r="AF535" s="1">
        <v>1835427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13907058</v>
      </c>
      <c r="AM535" s="1">
        <v>0</v>
      </c>
      <c r="AN535" s="1">
        <v>0</v>
      </c>
      <c r="AO535" s="1">
        <v>91201351</v>
      </c>
      <c r="AP535" s="1">
        <v>14463176</v>
      </c>
      <c r="AQ535" s="1">
        <v>76738175</v>
      </c>
      <c r="AR535" s="1">
        <v>17873185</v>
      </c>
      <c r="AS535" s="1">
        <v>2680978</v>
      </c>
      <c r="AT535" s="3">
        <f t="shared" si="55"/>
        <v>111755514</v>
      </c>
    </row>
    <row r="536" spans="1:46" x14ac:dyDescent="0.2">
      <c r="A536" s="1" t="str">
        <f>"00624"</f>
        <v>00624</v>
      </c>
      <c r="B536" s="1" t="str">
        <f>"مينا"</f>
        <v>مينا</v>
      </c>
      <c r="C536" s="1" t="str">
        <f>"زائري"</f>
        <v>زائري</v>
      </c>
      <c r="D536" s="1" t="str">
        <f t="shared" si="54"/>
        <v>قراردادي بهره بردار</v>
      </c>
      <c r="E536" s="1" t="str">
        <f t="shared" si="57"/>
        <v>پروژه بهره برداري نيروگاه بوشهر</v>
      </c>
      <c r="F536" s="1">
        <v>23376275</v>
      </c>
      <c r="G536" s="1">
        <v>2298349</v>
      </c>
      <c r="H536" s="1">
        <v>0</v>
      </c>
      <c r="I536" s="1">
        <v>17838126</v>
      </c>
      <c r="J536" s="1">
        <v>0</v>
      </c>
      <c r="K536" s="1">
        <v>4125000</v>
      </c>
      <c r="L536" s="1">
        <v>0</v>
      </c>
      <c r="M536" s="1">
        <v>1000000</v>
      </c>
      <c r="N536" s="1">
        <v>3883197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11194134</v>
      </c>
      <c r="W536" s="1">
        <v>4000000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3051084</v>
      </c>
      <c r="AF536" s="1">
        <v>3670854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5798949</v>
      </c>
      <c r="AM536" s="1">
        <v>0</v>
      </c>
      <c r="AN536" s="1">
        <v>0</v>
      </c>
      <c r="AO536" s="1">
        <v>80235968</v>
      </c>
      <c r="AP536" s="1">
        <v>35716773</v>
      </c>
      <c r="AQ536" s="1">
        <v>44519195</v>
      </c>
      <c r="AR536" s="1">
        <v>15313023</v>
      </c>
      <c r="AS536" s="1">
        <v>2296953</v>
      </c>
      <c r="AT536" s="3">
        <f t="shared" si="55"/>
        <v>97845944</v>
      </c>
    </row>
    <row r="537" spans="1:46" x14ac:dyDescent="0.2">
      <c r="A537" s="1" t="str">
        <f>"00625"</f>
        <v>00625</v>
      </c>
      <c r="B537" s="1" t="str">
        <f>"رضا"</f>
        <v>رضا</v>
      </c>
      <c r="C537" s="1" t="str">
        <f>"زنده بودي"</f>
        <v>زنده بودي</v>
      </c>
      <c r="D537" s="1" t="str">
        <f t="shared" si="54"/>
        <v>قراردادي بهره بردار</v>
      </c>
      <c r="E537" s="1" t="str">
        <f t="shared" si="57"/>
        <v>پروژه بهره برداري نيروگاه بوشهر</v>
      </c>
      <c r="F537" s="1">
        <v>24051439</v>
      </c>
      <c r="G537" s="1">
        <v>13503763</v>
      </c>
      <c r="H537" s="1">
        <v>0</v>
      </c>
      <c r="I537" s="1">
        <v>20781926</v>
      </c>
      <c r="J537" s="1">
        <v>0</v>
      </c>
      <c r="K537" s="1">
        <v>5500000</v>
      </c>
      <c r="L537" s="1">
        <v>0</v>
      </c>
      <c r="M537" s="1">
        <v>1000000</v>
      </c>
      <c r="N537" s="1">
        <v>4119505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15186689</v>
      </c>
      <c r="W537" s="1">
        <v>4000000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3401010</v>
      </c>
      <c r="AD537" s="1">
        <v>0</v>
      </c>
      <c r="AE537" s="1">
        <v>3236753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5769725</v>
      </c>
      <c r="AM537" s="1">
        <v>0</v>
      </c>
      <c r="AN537" s="1">
        <v>0</v>
      </c>
      <c r="AO537" s="1">
        <v>100550810</v>
      </c>
      <c r="AP537" s="1">
        <v>32751550</v>
      </c>
      <c r="AQ537" s="1">
        <v>67799260</v>
      </c>
      <c r="AR537" s="1">
        <v>20110162</v>
      </c>
      <c r="AS537" s="1">
        <v>3016524</v>
      </c>
      <c r="AT537" s="3">
        <f t="shared" si="55"/>
        <v>123677496</v>
      </c>
    </row>
    <row r="538" spans="1:46" x14ac:dyDescent="0.2">
      <c r="A538" s="1" t="str">
        <f>"00626"</f>
        <v>00626</v>
      </c>
      <c r="B538" s="1" t="str">
        <f>"عباد الله"</f>
        <v>عباد الله</v>
      </c>
      <c r="C538" s="1" t="str">
        <f>"سلطاني"</f>
        <v>سلطاني</v>
      </c>
      <c r="D538" s="1" t="str">
        <f t="shared" si="54"/>
        <v>قراردادي بهره بردار</v>
      </c>
      <c r="E538" s="1" t="str">
        <f t="shared" si="57"/>
        <v>پروژه بهره برداري نيروگاه بوشهر</v>
      </c>
      <c r="F538" s="1">
        <v>17010089</v>
      </c>
      <c r="G538" s="1">
        <v>10773647</v>
      </c>
      <c r="H538" s="1">
        <v>0</v>
      </c>
      <c r="I538" s="1">
        <v>13978071</v>
      </c>
      <c r="J538" s="1">
        <v>0</v>
      </c>
      <c r="K538" s="1">
        <v>0</v>
      </c>
      <c r="L538" s="1">
        <v>0</v>
      </c>
      <c r="M538" s="1">
        <v>1000000</v>
      </c>
      <c r="N538" s="1">
        <v>3330344</v>
      </c>
      <c r="O538" s="1">
        <v>0</v>
      </c>
      <c r="P538" s="1">
        <v>0</v>
      </c>
      <c r="Q538" s="1">
        <v>0</v>
      </c>
      <c r="R538" s="1">
        <v>184592</v>
      </c>
      <c r="S538" s="1">
        <v>0</v>
      </c>
      <c r="T538" s="1">
        <v>0</v>
      </c>
      <c r="U538" s="1">
        <v>0</v>
      </c>
      <c r="V538" s="1">
        <v>16330391</v>
      </c>
      <c r="W538" s="1">
        <v>4000000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2616700</v>
      </c>
      <c r="AF538" s="1">
        <v>1835427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7805595</v>
      </c>
      <c r="AM538" s="1">
        <v>0</v>
      </c>
      <c r="AN538" s="1">
        <v>0</v>
      </c>
      <c r="AO538" s="1">
        <v>78864856</v>
      </c>
      <c r="AP538" s="1">
        <v>32863473</v>
      </c>
      <c r="AQ538" s="1">
        <v>46001383</v>
      </c>
      <c r="AR538" s="1">
        <v>15368967</v>
      </c>
      <c r="AS538" s="1">
        <v>2305345</v>
      </c>
      <c r="AT538" s="3">
        <f t="shared" si="55"/>
        <v>96539168</v>
      </c>
    </row>
    <row r="539" spans="1:46" x14ac:dyDescent="0.2">
      <c r="A539" s="1" t="str">
        <f>"00627"</f>
        <v>00627</v>
      </c>
      <c r="B539" s="1" t="str">
        <f>"مريم"</f>
        <v>مريم</v>
      </c>
      <c r="C539" s="1" t="str">
        <f>"صفاريان"</f>
        <v>صفاريان</v>
      </c>
      <c r="D539" s="1" t="str">
        <f t="shared" si="54"/>
        <v>قراردادي بهره بردار</v>
      </c>
      <c r="E539" s="1" t="str">
        <f t="shared" si="57"/>
        <v>پروژه بهره برداري نيروگاه بوشهر</v>
      </c>
      <c r="F539" s="1">
        <v>27737126</v>
      </c>
      <c r="G539" s="1">
        <v>0</v>
      </c>
      <c r="H539" s="1">
        <v>0</v>
      </c>
      <c r="I539" s="1">
        <v>20419191</v>
      </c>
      <c r="J539" s="1">
        <v>0</v>
      </c>
      <c r="K539" s="1">
        <v>4125000</v>
      </c>
      <c r="L539" s="1">
        <v>0</v>
      </c>
      <c r="M539" s="1">
        <v>1000000</v>
      </c>
      <c r="N539" s="1">
        <v>4335532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10728672</v>
      </c>
      <c r="W539" s="1">
        <v>4000000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3406490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5408361</v>
      </c>
      <c r="AM539" s="1">
        <v>0</v>
      </c>
      <c r="AN539" s="1">
        <v>0</v>
      </c>
      <c r="AO539" s="1">
        <v>81160372</v>
      </c>
      <c r="AP539" s="1">
        <v>26719547</v>
      </c>
      <c r="AQ539" s="1">
        <v>54440825</v>
      </c>
      <c r="AR539" s="1">
        <v>16232074</v>
      </c>
      <c r="AS539" s="1">
        <v>2434811</v>
      </c>
      <c r="AT539" s="3">
        <f t="shared" si="55"/>
        <v>99827257</v>
      </c>
    </row>
    <row r="540" spans="1:46" x14ac:dyDescent="0.2">
      <c r="A540" s="1" t="str">
        <f>"00628"</f>
        <v>00628</v>
      </c>
      <c r="B540" s="1" t="str">
        <f>"رضا"</f>
        <v>رضا</v>
      </c>
      <c r="C540" s="1" t="str">
        <f>"صفري"</f>
        <v>صفري</v>
      </c>
      <c r="D540" s="1" t="str">
        <f t="shared" si="54"/>
        <v>قراردادي بهره بردار</v>
      </c>
      <c r="E540" s="1" t="str">
        <f t="shared" si="57"/>
        <v>پروژه بهره برداري نيروگاه بوشهر</v>
      </c>
      <c r="F540" s="1">
        <v>19216966</v>
      </c>
      <c r="G540" s="1">
        <v>0</v>
      </c>
      <c r="H540" s="1">
        <v>0</v>
      </c>
      <c r="I540" s="1">
        <v>14632648</v>
      </c>
      <c r="J540" s="1">
        <v>0</v>
      </c>
      <c r="K540" s="1">
        <v>4620000</v>
      </c>
      <c r="L540" s="1">
        <v>0</v>
      </c>
      <c r="M540" s="1">
        <v>1000000</v>
      </c>
      <c r="N540" s="1">
        <v>3825002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10650699</v>
      </c>
      <c r="W540" s="1">
        <v>4000000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3005359</v>
      </c>
      <c r="AF540" s="1">
        <v>3670854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5627412</v>
      </c>
      <c r="AM540" s="1">
        <v>0</v>
      </c>
      <c r="AN540" s="1">
        <v>0</v>
      </c>
      <c r="AO540" s="1">
        <v>70248940</v>
      </c>
      <c r="AP540" s="1">
        <v>25906529</v>
      </c>
      <c r="AQ540" s="1">
        <v>44342411</v>
      </c>
      <c r="AR540" s="1">
        <v>13315617</v>
      </c>
      <c r="AS540" s="1">
        <v>1997343</v>
      </c>
      <c r="AT540" s="3">
        <f t="shared" si="55"/>
        <v>85561900</v>
      </c>
    </row>
    <row r="541" spans="1:46" x14ac:dyDescent="0.2">
      <c r="A541" s="1" t="str">
        <f>"00629"</f>
        <v>00629</v>
      </c>
      <c r="B541" s="1" t="str">
        <f>"علي اکبر"</f>
        <v>علي اکبر</v>
      </c>
      <c r="C541" s="1" t="str">
        <f>"غلامي چنگلوايي"</f>
        <v>غلامي چنگلوايي</v>
      </c>
      <c r="D541" s="1" t="str">
        <f t="shared" si="54"/>
        <v>قراردادي بهره بردار</v>
      </c>
      <c r="E541" s="1" t="str">
        <f t="shared" si="57"/>
        <v>پروژه بهره برداري نيروگاه بوشهر</v>
      </c>
      <c r="F541" s="1">
        <v>21915101</v>
      </c>
      <c r="G541" s="1">
        <v>12515900</v>
      </c>
      <c r="H541" s="1">
        <v>0</v>
      </c>
      <c r="I541" s="1">
        <v>16678328</v>
      </c>
      <c r="J541" s="1">
        <v>0</v>
      </c>
      <c r="K541" s="1">
        <v>4125000</v>
      </c>
      <c r="L541" s="1">
        <v>0</v>
      </c>
      <c r="M541" s="1">
        <v>1000000</v>
      </c>
      <c r="N541" s="1">
        <v>3808250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16537825</v>
      </c>
      <c r="W541" s="1">
        <v>4000000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2992196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6286830</v>
      </c>
      <c r="AM541" s="1">
        <v>0</v>
      </c>
      <c r="AN541" s="1">
        <v>0</v>
      </c>
      <c r="AO541" s="1">
        <v>89859430</v>
      </c>
      <c r="AP541" s="1">
        <v>30227095</v>
      </c>
      <c r="AQ541" s="1">
        <v>59632335</v>
      </c>
      <c r="AR541" s="1">
        <v>17971886</v>
      </c>
      <c r="AS541" s="1">
        <v>2695783</v>
      </c>
      <c r="AT541" s="3">
        <f t="shared" si="55"/>
        <v>110527099</v>
      </c>
    </row>
    <row r="542" spans="1:46" x14ac:dyDescent="0.2">
      <c r="A542" s="1" t="str">
        <f>"00630"</f>
        <v>00630</v>
      </c>
      <c r="B542" s="1" t="str">
        <f>"عباس"</f>
        <v>عباس</v>
      </c>
      <c r="C542" s="1" t="str">
        <f>"قادري"</f>
        <v>قادري</v>
      </c>
      <c r="D542" s="1" t="str">
        <f t="shared" si="54"/>
        <v>قراردادي بهره بردار</v>
      </c>
      <c r="E542" s="1" t="str">
        <f t="shared" si="57"/>
        <v>پروژه بهره برداري نيروگاه بوشهر</v>
      </c>
      <c r="F542" s="1">
        <v>27865609</v>
      </c>
      <c r="G542" s="1">
        <v>7036908</v>
      </c>
      <c r="H542" s="1">
        <v>0</v>
      </c>
      <c r="I542" s="1">
        <v>21975732</v>
      </c>
      <c r="J542" s="1">
        <v>0</v>
      </c>
      <c r="K542" s="1">
        <v>5500000</v>
      </c>
      <c r="L542" s="1">
        <v>0</v>
      </c>
      <c r="M542" s="1">
        <v>1000000</v>
      </c>
      <c r="N542" s="1">
        <v>4380500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18930691</v>
      </c>
      <c r="W542" s="1">
        <v>4000000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3441823</v>
      </c>
      <c r="AF542" s="1">
        <v>1835427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6508173</v>
      </c>
      <c r="AM542" s="1">
        <v>0</v>
      </c>
      <c r="AN542" s="1">
        <v>0</v>
      </c>
      <c r="AO542" s="1">
        <v>102474863</v>
      </c>
      <c r="AP542" s="1">
        <v>45480566</v>
      </c>
      <c r="AQ542" s="1">
        <v>56994297</v>
      </c>
      <c r="AR542" s="1">
        <v>20127887</v>
      </c>
      <c r="AS542" s="1">
        <v>3019183</v>
      </c>
      <c r="AT542" s="3">
        <f t="shared" si="55"/>
        <v>125621933</v>
      </c>
    </row>
    <row r="543" spans="1:46" x14ac:dyDescent="0.2">
      <c r="A543" s="1" t="str">
        <f>"00631"</f>
        <v>00631</v>
      </c>
      <c r="B543" s="1" t="str">
        <f>"احمد"</f>
        <v>احمد</v>
      </c>
      <c r="C543" s="1" t="str">
        <f>"كشت ريز"</f>
        <v>كشت ريز</v>
      </c>
      <c r="D543" s="1" t="str">
        <f t="shared" si="54"/>
        <v>قراردادي بهره بردار</v>
      </c>
      <c r="E543" s="1" t="str">
        <f>"پروژه تعميرات نيروگاه بوشهر"</f>
        <v>پروژه تعميرات نيروگاه بوشهر</v>
      </c>
      <c r="F543" s="1">
        <v>20060920</v>
      </c>
      <c r="G543" s="1">
        <v>8004200</v>
      </c>
      <c r="H543" s="1">
        <v>0</v>
      </c>
      <c r="I543" s="1">
        <v>20504228</v>
      </c>
      <c r="J543" s="1">
        <v>0</v>
      </c>
      <c r="K543" s="1">
        <v>4620000</v>
      </c>
      <c r="L543" s="1">
        <v>0</v>
      </c>
      <c r="M543" s="1">
        <v>1000000</v>
      </c>
      <c r="N543" s="1">
        <v>4120387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14178869</v>
      </c>
      <c r="W543" s="1">
        <v>4000000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3237447</v>
      </c>
      <c r="AF543" s="1">
        <v>3670854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8792493</v>
      </c>
      <c r="AM543" s="1">
        <v>0</v>
      </c>
      <c r="AN543" s="1">
        <v>0</v>
      </c>
      <c r="AO543" s="1">
        <v>92189398</v>
      </c>
      <c r="AP543" s="1">
        <v>13622063</v>
      </c>
      <c r="AQ543" s="1">
        <v>78567335</v>
      </c>
      <c r="AR543" s="1">
        <v>17703709</v>
      </c>
      <c r="AS543" s="1">
        <v>2655556</v>
      </c>
      <c r="AT543" s="3">
        <f t="shared" si="55"/>
        <v>112548663</v>
      </c>
    </row>
    <row r="544" spans="1:46" x14ac:dyDescent="0.2">
      <c r="A544" s="1" t="str">
        <f>"00632"</f>
        <v>00632</v>
      </c>
      <c r="B544" s="1" t="str">
        <f>"احمدرضا"</f>
        <v>احمدرضا</v>
      </c>
      <c r="C544" s="1" t="str">
        <f>"گل بهار حقيقي"</f>
        <v>گل بهار حقيقي</v>
      </c>
      <c r="D544" s="1" t="str">
        <f t="shared" si="54"/>
        <v>قراردادي بهره بردار</v>
      </c>
      <c r="E544" s="1" t="str">
        <f>"پروژه تعميرات نيروگاه بوشهر"</f>
        <v>پروژه تعميرات نيروگاه بوشهر</v>
      </c>
      <c r="F544" s="1">
        <v>27837897</v>
      </c>
      <c r="G544" s="1">
        <v>17960341</v>
      </c>
      <c r="H544" s="1">
        <v>0</v>
      </c>
      <c r="I544" s="1">
        <v>25972007</v>
      </c>
      <c r="J544" s="1">
        <v>0</v>
      </c>
      <c r="K544" s="1">
        <v>5500000</v>
      </c>
      <c r="L544" s="1">
        <v>0</v>
      </c>
      <c r="M544" s="1">
        <v>1000000</v>
      </c>
      <c r="N544" s="1">
        <v>4370802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18659082</v>
      </c>
      <c r="W544" s="1">
        <v>4000000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3434202</v>
      </c>
      <c r="AF544" s="1">
        <v>1835427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7492803</v>
      </c>
      <c r="AM544" s="1">
        <v>0</v>
      </c>
      <c r="AN544" s="1">
        <v>0</v>
      </c>
      <c r="AO544" s="1">
        <v>118062561</v>
      </c>
      <c r="AP544" s="1">
        <v>42864710</v>
      </c>
      <c r="AQ544" s="1">
        <v>75197851</v>
      </c>
      <c r="AR544" s="1">
        <v>23245427</v>
      </c>
      <c r="AS544" s="1">
        <v>3486814</v>
      </c>
      <c r="AT544" s="3">
        <f t="shared" si="55"/>
        <v>144794802</v>
      </c>
    </row>
    <row r="545" spans="1:46" x14ac:dyDescent="0.2">
      <c r="A545" s="1" t="str">
        <f>"00634"</f>
        <v>00634</v>
      </c>
      <c r="B545" s="1" t="str">
        <f>"امير"</f>
        <v>امير</v>
      </c>
      <c r="C545" s="1" t="str">
        <f>"ماهوتي"</f>
        <v>ماهوتي</v>
      </c>
      <c r="D545" s="1" t="str">
        <f t="shared" si="54"/>
        <v>قراردادي بهره بردار</v>
      </c>
      <c r="E545" s="1" t="str">
        <f>"پروژه بهره برداري نيروگاه بوشهر"</f>
        <v>پروژه بهره برداري نيروگاه بوشهر</v>
      </c>
      <c r="F545" s="1">
        <v>16589371</v>
      </c>
      <c r="G545" s="1">
        <v>0</v>
      </c>
      <c r="H545" s="1">
        <v>0</v>
      </c>
      <c r="I545" s="1">
        <v>13167860</v>
      </c>
      <c r="J545" s="1">
        <v>0</v>
      </c>
      <c r="K545" s="1">
        <v>4620000</v>
      </c>
      <c r="L545" s="1">
        <v>0</v>
      </c>
      <c r="M545" s="1">
        <v>1000000</v>
      </c>
      <c r="N545" s="1">
        <v>3183093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15030233</v>
      </c>
      <c r="W545" s="1">
        <v>4000000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2501003</v>
      </c>
      <c r="AF545" s="1">
        <v>1835427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8442567</v>
      </c>
      <c r="AM545" s="1">
        <v>0</v>
      </c>
      <c r="AN545" s="1">
        <v>0</v>
      </c>
      <c r="AO545" s="1">
        <v>70369554</v>
      </c>
      <c r="AP545" s="1">
        <v>31877395</v>
      </c>
      <c r="AQ545" s="1">
        <v>38492159</v>
      </c>
      <c r="AR545" s="1">
        <v>13706825</v>
      </c>
      <c r="AS545" s="1">
        <v>2056024</v>
      </c>
      <c r="AT545" s="3">
        <f t="shared" si="55"/>
        <v>86132403</v>
      </c>
    </row>
    <row r="546" spans="1:46" x14ac:dyDescent="0.2">
      <c r="A546" s="1" t="str">
        <f>"00635"</f>
        <v>00635</v>
      </c>
      <c r="B546" s="1" t="str">
        <f>"احسان"</f>
        <v>احسان</v>
      </c>
      <c r="C546" s="1" t="str">
        <f>"محبي"</f>
        <v>محبي</v>
      </c>
      <c r="D546" s="1" t="str">
        <f t="shared" si="54"/>
        <v>قراردادي بهره بردار</v>
      </c>
      <c r="E546" s="1" t="str">
        <f>"پروژه بهره برداري نيروگاه بوشهر"</f>
        <v>پروژه بهره برداري نيروگاه بوشهر</v>
      </c>
      <c r="F546" s="1">
        <v>21484306</v>
      </c>
      <c r="G546" s="1">
        <v>49738895</v>
      </c>
      <c r="H546" s="1">
        <v>0</v>
      </c>
      <c r="I546" s="1">
        <v>16148824</v>
      </c>
      <c r="J546" s="1">
        <v>0</v>
      </c>
      <c r="K546" s="1">
        <v>5500000</v>
      </c>
      <c r="L546" s="1">
        <v>0</v>
      </c>
      <c r="M546" s="1">
        <v>1000000</v>
      </c>
      <c r="N546" s="1">
        <v>3657471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16274082</v>
      </c>
      <c r="W546" s="1">
        <v>4000000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2873728</v>
      </c>
      <c r="AF546" s="1">
        <v>1835427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6692180</v>
      </c>
      <c r="AM546" s="1">
        <v>0</v>
      </c>
      <c r="AN546" s="1">
        <v>0</v>
      </c>
      <c r="AO546" s="1">
        <v>129204913</v>
      </c>
      <c r="AP546" s="1">
        <v>49465498</v>
      </c>
      <c r="AQ546" s="1">
        <v>79739415</v>
      </c>
      <c r="AR546" s="1">
        <v>25473897</v>
      </c>
      <c r="AS546" s="1">
        <v>3821085</v>
      </c>
      <c r="AT546" s="3">
        <f t="shared" si="55"/>
        <v>158499895</v>
      </c>
    </row>
    <row r="547" spans="1:46" x14ac:dyDescent="0.2">
      <c r="A547" s="1" t="str">
        <f>"00636"</f>
        <v>00636</v>
      </c>
      <c r="B547" s="1" t="str">
        <f>"حميد"</f>
        <v>حميد</v>
      </c>
      <c r="C547" s="1" t="str">
        <f>"محمدي"</f>
        <v>محمدي</v>
      </c>
      <c r="D547" s="1" t="str">
        <f t="shared" si="54"/>
        <v>قراردادي بهره بردار</v>
      </c>
      <c r="E547" s="1" t="str">
        <f>"پروژه بهره برداري نيروگاه بوشهر"</f>
        <v>پروژه بهره برداري نيروگاه بوشهر</v>
      </c>
      <c r="F547" s="1">
        <v>21181994</v>
      </c>
      <c r="G547" s="1">
        <v>12435601</v>
      </c>
      <c r="H547" s="1">
        <v>0</v>
      </c>
      <c r="I547" s="1">
        <v>17528726</v>
      </c>
      <c r="J547" s="1">
        <v>0</v>
      </c>
      <c r="K547" s="1">
        <v>5500000</v>
      </c>
      <c r="L547" s="1">
        <v>0</v>
      </c>
      <c r="M547" s="1">
        <v>1000000</v>
      </c>
      <c r="N547" s="1">
        <v>3551662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12587874</v>
      </c>
      <c r="W547" s="1">
        <v>4000000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2790592</v>
      </c>
      <c r="AF547" s="1">
        <v>1835427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5298522</v>
      </c>
      <c r="AM547" s="1">
        <v>0</v>
      </c>
      <c r="AN547" s="1">
        <v>0</v>
      </c>
      <c r="AO547" s="1">
        <v>87710398</v>
      </c>
      <c r="AP547" s="1">
        <v>36550354</v>
      </c>
      <c r="AQ547" s="1">
        <v>51160044</v>
      </c>
      <c r="AR547" s="1">
        <v>17174994</v>
      </c>
      <c r="AS547" s="1">
        <v>2576249</v>
      </c>
      <c r="AT547" s="3">
        <f t="shared" si="55"/>
        <v>107461641</v>
      </c>
    </row>
    <row r="548" spans="1:46" x14ac:dyDescent="0.2">
      <c r="A548" s="1" t="str">
        <f>"00637"</f>
        <v>00637</v>
      </c>
      <c r="B548" s="1" t="str">
        <f>"مصطفي"</f>
        <v>مصطفي</v>
      </c>
      <c r="C548" s="1" t="str">
        <f>"مرادپور"</f>
        <v>مرادپور</v>
      </c>
      <c r="D548" s="1" t="str">
        <f t="shared" si="54"/>
        <v>قراردادي بهره بردار</v>
      </c>
      <c r="E548" s="1" t="str">
        <f>"پروژه تعميرات نيروگاه بوشهر"</f>
        <v>پروژه تعميرات نيروگاه بوشهر</v>
      </c>
      <c r="F548" s="1">
        <v>22350934</v>
      </c>
      <c r="G548" s="1">
        <v>13962321</v>
      </c>
      <c r="H548" s="1">
        <v>0</v>
      </c>
      <c r="I548" s="1">
        <v>18473530</v>
      </c>
      <c r="J548" s="1">
        <v>0</v>
      </c>
      <c r="K548" s="1">
        <v>5500000</v>
      </c>
      <c r="L548" s="1">
        <v>0</v>
      </c>
      <c r="M548" s="1">
        <v>1000000</v>
      </c>
      <c r="N548" s="1">
        <v>3960791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14079138</v>
      </c>
      <c r="W548" s="1">
        <v>4000000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3112050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6253223</v>
      </c>
      <c r="AM548" s="1">
        <v>0</v>
      </c>
      <c r="AN548" s="1">
        <v>0</v>
      </c>
      <c r="AO548" s="1">
        <v>92691987</v>
      </c>
      <c r="AP548" s="1">
        <v>19643411</v>
      </c>
      <c r="AQ548" s="1">
        <v>73048576</v>
      </c>
      <c r="AR548" s="1">
        <v>18538397</v>
      </c>
      <c r="AS548" s="1">
        <v>2780760</v>
      </c>
      <c r="AT548" s="3">
        <f t="shared" si="55"/>
        <v>114011144</v>
      </c>
    </row>
    <row r="549" spans="1:46" x14ac:dyDescent="0.2">
      <c r="A549" s="1" t="str">
        <f>"00638"</f>
        <v>00638</v>
      </c>
      <c r="B549" s="1" t="str">
        <f>"عبدالرسول"</f>
        <v>عبدالرسول</v>
      </c>
      <c r="C549" s="1" t="str">
        <f>"مهدي پور"</f>
        <v>مهدي پور</v>
      </c>
      <c r="D549" s="1" t="str">
        <f t="shared" si="54"/>
        <v>قراردادي بهره بردار</v>
      </c>
      <c r="E549" s="1" t="str">
        <f>"پروژه تعميرات نيروگاه بوشهر"</f>
        <v>پروژه تعميرات نيروگاه بوشهر</v>
      </c>
      <c r="F549" s="1">
        <v>22391242</v>
      </c>
      <c r="G549" s="1">
        <v>4344889</v>
      </c>
      <c r="H549" s="1">
        <v>0</v>
      </c>
      <c r="I549" s="1">
        <v>17290805</v>
      </c>
      <c r="J549" s="1">
        <v>0</v>
      </c>
      <c r="K549" s="1">
        <v>5500000</v>
      </c>
      <c r="L549" s="1">
        <v>0</v>
      </c>
      <c r="M549" s="1">
        <v>1000000</v>
      </c>
      <c r="N549" s="1">
        <v>3974899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5597571</v>
      </c>
      <c r="W549" s="1">
        <v>4000000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3123135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9195626</v>
      </c>
      <c r="AM549" s="1">
        <v>0</v>
      </c>
      <c r="AN549" s="1">
        <v>0</v>
      </c>
      <c r="AO549" s="1">
        <v>76418167</v>
      </c>
      <c r="AP549" s="1">
        <v>13823258</v>
      </c>
      <c r="AQ549" s="1">
        <v>62594909</v>
      </c>
      <c r="AR549" s="1">
        <v>15283633</v>
      </c>
      <c r="AS549" s="1">
        <v>2292545</v>
      </c>
      <c r="AT549" s="3">
        <f t="shared" si="55"/>
        <v>93994345</v>
      </c>
    </row>
    <row r="550" spans="1:46" x14ac:dyDescent="0.2">
      <c r="A550" s="1" t="str">
        <f>"00639"</f>
        <v>00639</v>
      </c>
      <c r="B550" s="1" t="str">
        <f>"امين"</f>
        <v>امين</v>
      </c>
      <c r="C550" s="1" t="str">
        <f>"ناصرپور"</f>
        <v>ناصرپور</v>
      </c>
      <c r="D550" s="1" t="str">
        <f t="shared" si="54"/>
        <v>قراردادي بهره بردار</v>
      </c>
      <c r="E550" s="1" t="str">
        <f t="shared" ref="E550:E557" si="58">"پروژه بهره برداري نيروگاه بوشهر"</f>
        <v>پروژه بهره برداري نيروگاه بوشهر</v>
      </c>
      <c r="F550" s="1">
        <v>16884125</v>
      </c>
      <c r="G550" s="1">
        <v>10737045</v>
      </c>
      <c r="H550" s="1">
        <v>0</v>
      </c>
      <c r="I550" s="1">
        <v>14131528</v>
      </c>
      <c r="J550" s="1">
        <v>0</v>
      </c>
      <c r="K550" s="1">
        <v>4620000</v>
      </c>
      <c r="L550" s="1">
        <v>0</v>
      </c>
      <c r="M550" s="1">
        <v>1000000</v>
      </c>
      <c r="N550" s="1">
        <v>3286257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16274910</v>
      </c>
      <c r="W550" s="1">
        <v>4000000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2582059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7704825</v>
      </c>
      <c r="AM550" s="1">
        <v>0</v>
      </c>
      <c r="AN550" s="1">
        <v>0</v>
      </c>
      <c r="AO550" s="1">
        <v>81220749</v>
      </c>
      <c r="AP550" s="1">
        <v>28435788</v>
      </c>
      <c r="AQ550" s="1">
        <v>52784961</v>
      </c>
      <c r="AR550" s="1">
        <v>16244150</v>
      </c>
      <c r="AS550" s="1">
        <v>2436622</v>
      </c>
      <c r="AT550" s="3">
        <f t="shared" si="55"/>
        <v>99901521</v>
      </c>
    </row>
    <row r="551" spans="1:46" x14ac:dyDescent="0.2">
      <c r="A551" s="1" t="str">
        <f>"00640"</f>
        <v>00640</v>
      </c>
      <c r="B551" s="1" t="str">
        <f>"فرزاد"</f>
        <v>فرزاد</v>
      </c>
      <c r="C551" s="1" t="str">
        <f>"نجمي جعفرلو"</f>
        <v>نجمي جعفرلو</v>
      </c>
      <c r="D551" s="1" t="str">
        <f t="shared" si="54"/>
        <v>قراردادي بهره بردار</v>
      </c>
      <c r="E551" s="1" t="str">
        <f t="shared" si="58"/>
        <v>پروژه بهره برداري نيروگاه بوشهر</v>
      </c>
      <c r="F551" s="1">
        <v>16345002</v>
      </c>
      <c r="G551" s="1">
        <v>7474548</v>
      </c>
      <c r="H551" s="1">
        <v>0</v>
      </c>
      <c r="I551" s="1">
        <v>13185442</v>
      </c>
      <c r="J551" s="1">
        <v>0</v>
      </c>
      <c r="K551" s="1">
        <v>4620000</v>
      </c>
      <c r="L551" s="1">
        <v>0</v>
      </c>
      <c r="M551" s="1">
        <v>1000000</v>
      </c>
      <c r="N551" s="1">
        <v>3097564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19988033</v>
      </c>
      <c r="W551" s="1">
        <v>4000000</v>
      </c>
      <c r="X551" s="1">
        <v>2372662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2433801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11153298</v>
      </c>
      <c r="AM551" s="1">
        <v>0</v>
      </c>
      <c r="AN551" s="1">
        <v>0</v>
      </c>
      <c r="AO551" s="1">
        <v>85670350</v>
      </c>
      <c r="AP551" s="1">
        <v>41114602</v>
      </c>
      <c r="AQ551" s="1">
        <v>44555748</v>
      </c>
      <c r="AR551" s="1">
        <v>17134070</v>
      </c>
      <c r="AS551" s="1">
        <v>2570111</v>
      </c>
      <c r="AT551" s="3">
        <f t="shared" si="55"/>
        <v>105374531</v>
      </c>
    </row>
    <row r="552" spans="1:46" x14ac:dyDescent="0.2">
      <c r="A552" s="1" t="str">
        <f>"00641"</f>
        <v>00641</v>
      </c>
      <c r="B552" s="1" t="str">
        <f>"سيدمحمد"</f>
        <v>سيدمحمد</v>
      </c>
      <c r="C552" s="1" t="str">
        <f>"نصيري سلوشي"</f>
        <v>نصيري سلوشي</v>
      </c>
      <c r="D552" s="1" t="str">
        <f t="shared" si="54"/>
        <v>قراردادي بهره بردار</v>
      </c>
      <c r="E552" s="1" t="str">
        <f t="shared" si="58"/>
        <v>پروژه بهره برداري نيروگاه بوشهر</v>
      </c>
      <c r="F552" s="1">
        <v>21839523</v>
      </c>
      <c r="G552" s="1">
        <v>18543879</v>
      </c>
      <c r="H552" s="1">
        <v>0</v>
      </c>
      <c r="I552" s="1">
        <v>15634523</v>
      </c>
      <c r="J552" s="1">
        <v>0</v>
      </c>
      <c r="K552" s="1">
        <v>5500000</v>
      </c>
      <c r="L552" s="1">
        <v>0</v>
      </c>
      <c r="M552" s="1">
        <v>1000000</v>
      </c>
      <c r="N552" s="1">
        <v>3781797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11225151</v>
      </c>
      <c r="W552" s="1">
        <v>4000000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2971412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5662304</v>
      </c>
      <c r="AM552" s="1">
        <v>0</v>
      </c>
      <c r="AN552" s="1">
        <v>0</v>
      </c>
      <c r="AO552" s="1">
        <v>90158589</v>
      </c>
      <c r="AP552" s="1">
        <v>22960615</v>
      </c>
      <c r="AQ552" s="1">
        <v>67197974</v>
      </c>
      <c r="AR552" s="1">
        <v>18031718</v>
      </c>
      <c r="AS552" s="1">
        <v>2704758</v>
      </c>
      <c r="AT552" s="3">
        <f t="shared" si="55"/>
        <v>110895065</v>
      </c>
    </row>
    <row r="553" spans="1:46" x14ac:dyDescent="0.2">
      <c r="A553" s="1" t="str">
        <f>"00642"</f>
        <v>00642</v>
      </c>
      <c r="B553" s="1" t="str">
        <f>"رضا"</f>
        <v>رضا</v>
      </c>
      <c r="C553" s="1" t="str">
        <f>"همتي"</f>
        <v>همتي</v>
      </c>
      <c r="D553" s="1" t="str">
        <f t="shared" si="54"/>
        <v>قراردادي بهره بردار</v>
      </c>
      <c r="E553" s="1" t="str">
        <f t="shared" si="58"/>
        <v>پروژه بهره برداري نيروگاه بوشهر</v>
      </c>
      <c r="F553" s="1">
        <v>17272092</v>
      </c>
      <c r="G553" s="1">
        <v>8837021</v>
      </c>
      <c r="H553" s="1">
        <v>0</v>
      </c>
      <c r="I553" s="1">
        <v>13193101</v>
      </c>
      <c r="J553" s="1">
        <v>0</v>
      </c>
      <c r="K553" s="1">
        <v>4620000</v>
      </c>
      <c r="L553" s="1">
        <v>0</v>
      </c>
      <c r="M553" s="1">
        <v>1000000</v>
      </c>
      <c r="N553" s="1">
        <v>3144297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21258723</v>
      </c>
      <c r="W553" s="1">
        <v>4000000</v>
      </c>
      <c r="X553" s="1">
        <v>2507239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2470519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12235272</v>
      </c>
      <c r="AM553" s="1">
        <v>0</v>
      </c>
      <c r="AN553" s="1">
        <v>0</v>
      </c>
      <c r="AO553" s="1">
        <v>90538264</v>
      </c>
      <c r="AP553" s="1">
        <v>11617766</v>
      </c>
      <c r="AQ553" s="1">
        <v>78920498</v>
      </c>
      <c r="AR553" s="1">
        <v>18107653</v>
      </c>
      <c r="AS553" s="1">
        <v>2716148</v>
      </c>
      <c r="AT553" s="3">
        <f t="shared" si="55"/>
        <v>111362065</v>
      </c>
    </row>
    <row r="554" spans="1:46" x14ac:dyDescent="0.2">
      <c r="A554" s="1" t="str">
        <f>"00643"</f>
        <v>00643</v>
      </c>
      <c r="B554" s="1" t="str">
        <f>"طيبه"</f>
        <v>طيبه</v>
      </c>
      <c r="C554" s="1" t="str">
        <f>"هنري فر"</f>
        <v>هنري فر</v>
      </c>
      <c r="D554" s="1" t="str">
        <f t="shared" si="54"/>
        <v>قراردادي بهره بردار</v>
      </c>
      <c r="E554" s="1" t="str">
        <f t="shared" si="58"/>
        <v>پروژه بهره برداري نيروگاه بوشهر</v>
      </c>
      <c r="F554" s="1">
        <v>17098263</v>
      </c>
      <c r="G554" s="1">
        <v>0</v>
      </c>
      <c r="H554" s="1">
        <v>0</v>
      </c>
      <c r="I554" s="1">
        <v>13948662</v>
      </c>
      <c r="J554" s="1">
        <v>0</v>
      </c>
      <c r="K554" s="1">
        <v>3465000</v>
      </c>
      <c r="L554" s="1">
        <v>0</v>
      </c>
      <c r="M554" s="1">
        <v>1000000</v>
      </c>
      <c r="N554" s="1">
        <v>3083456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4241203</v>
      </c>
      <c r="W554" s="1">
        <v>4000000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2422716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5858933</v>
      </c>
      <c r="AM554" s="1">
        <v>0</v>
      </c>
      <c r="AN554" s="1">
        <v>0</v>
      </c>
      <c r="AO554" s="1">
        <v>55118233</v>
      </c>
      <c r="AP554" s="1">
        <v>30273508</v>
      </c>
      <c r="AQ554" s="1">
        <v>24844725</v>
      </c>
      <c r="AR554" s="1">
        <v>11023647</v>
      </c>
      <c r="AS554" s="1">
        <v>1653547</v>
      </c>
      <c r="AT554" s="3">
        <f t="shared" si="55"/>
        <v>67795427</v>
      </c>
    </row>
    <row r="555" spans="1:46" x14ac:dyDescent="0.2">
      <c r="A555" s="1" t="str">
        <f>"00644"</f>
        <v>00644</v>
      </c>
      <c r="B555" s="1" t="str">
        <f>"امير"</f>
        <v>امير</v>
      </c>
      <c r="C555" s="1" t="str">
        <f>"ابراهيمي کلهرودي"</f>
        <v>ابراهيمي کلهرودي</v>
      </c>
      <c r="D555" s="1" t="str">
        <f t="shared" si="54"/>
        <v>قراردادي بهره بردار</v>
      </c>
      <c r="E555" s="1" t="str">
        <f t="shared" si="58"/>
        <v>پروژه بهره برداري نيروگاه بوشهر</v>
      </c>
      <c r="F555" s="1">
        <v>32853757</v>
      </c>
      <c r="G555" s="1">
        <v>19433754</v>
      </c>
      <c r="H555" s="1">
        <v>0</v>
      </c>
      <c r="I555" s="1">
        <v>28637076</v>
      </c>
      <c r="J555" s="1">
        <v>0</v>
      </c>
      <c r="K555" s="1">
        <v>0</v>
      </c>
      <c r="L555" s="1">
        <v>0</v>
      </c>
      <c r="M555" s="1">
        <v>1000000</v>
      </c>
      <c r="N555" s="1">
        <v>5316031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29457137</v>
      </c>
      <c r="W555" s="1">
        <v>4000000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4176881</v>
      </c>
      <c r="AF555" s="1">
        <v>1835427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9720741</v>
      </c>
      <c r="AM555" s="1">
        <v>0</v>
      </c>
      <c r="AN555" s="1">
        <v>0</v>
      </c>
      <c r="AO555" s="1">
        <v>136430804</v>
      </c>
      <c r="AP555" s="1">
        <v>53820100</v>
      </c>
      <c r="AQ555" s="1">
        <v>82610704</v>
      </c>
      <c r="AR555" s="1">
        <v>26552511</v>
      </c>
      <c r="AS555" s="1">
        <v>3982877</v>
      </c>
      <c r="AT555" s="3">
        <f t="shared" si="55"/>
        <v>166966192</v>
      </c>
    </row>
    <row r="556" spans="1:46" x14ac:dyDescent="0.2">
      <c r="A556" s="1" t="str">
        <f>"00645"</f>
        <v>00645</v>
      </c>
      <c r="B556" s="1" t="str">
        <f>"جليل"</f>
        <v>جليل</v>
      </c>
      <c r="C556" s="1" t="str">
        <f>"محرزي"</f>
        <v>محرزي</v>
      </c>
      <c r="D556" s="1" t="str">
        <f t="shared" si="54"/>
        <v>قراردادي بهره بردار</v>
      </c>
      <c r="E556" s="1" t="str">
        <f t="shared" si="58"/>
        <v>پروژه بهره برداري نيروگاه بوشهر</v>
      </c>
      <c r="F556" s="1">
        <v>16979857</v>
      </c>
      <c r="G556" s="1">
        <v>0</v>
      </c>
      <c r="H556" s="1">
        <v>0</v>
      </c>
      <c r="I556" s="1">
        <v>13807596</v>
      </c>
      <c r="J556" s="1">
        <v>0</v>
      </c>
      <c r="K556" s="1">
        <v>4620000</v>
      </c>
      <c r="L556" s="1">
        <v>0</v>
      </c>
      <c r="M556" s="1">
        <v>1000000</v>
      </c>
      <c r="N556" s="1">
        <v>3350625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4222240</v>
      </c>
      <c r="W556" s="1">
        <v>4000000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2632634</v>
      </c>
      <c r="AF556" s="1">
        <v>5506281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5451693</v>
      </c>
      <c r="AM556" s="1">
        <v>0</v>
      </c>
      <c r="AN556" s="1">
        <v>0</v>
      </c>
      <c r="AO556" s="1">
        <v>61570926</v>
      </c>
      <c r="AP556" s="1">
        <v>11408365</v>
      </c>
      <c r="AQ556" s="1">
        <v>50162561</v>
      </c>
      <c r="AR556" s="1">
        <v>11212929</v>
      </c>
      <c r="AS556" s="1">
        <v>1681939</v>
      </c>
      <c r="AT556" s="3">
        <f t="shared" si="55"/>
        <v>74465794</v>
      </c>
    </row>
    <row r="557" spans="1:46" x14ac:dyDescent="0.2">
      <c r="A557" s="1" t="str">
        <f>"00646"</f>
        <v>00646</v>
      </c>
      <c r="B557" s="1" t="str">
        <f>"نعيم"</f>
        <v>نعيم</v>
      </c>
      <c r="C557" s="1" t="str">
        <f>"غنچه"</f>
        <v>غنچه</v>
      </c>
      <c r="D557" s="1" t="str">
        <f t="shared" si="54"/>
        <v>قراردادي بهره بردار</v>
      </c>
      <c r="E557" s="1" t="str">
        <f t="shared" si="58"/>
        <v>پروژه بهره برداري نيروگاه بوشهر</v>
      </c>
      <c r="F557" s="1">
        <v>17788542</v>
      </c>
      <c r="G557" s="1">
        <v>11785429</v>
      </c>
      <c r="H557" s="1">
        <v>0</v>
      </c>
      <c r="I557" s="1">
        <v>15095242</v>
      </c>
      <c r="J557" s="1">
        <v>0</v>
      </c>
      <c r="K557" s="1">
        <v>0</v>
      </c>
      <c r="L557" s="1">
        <v>0</v>
      </c>
      <c r="M557" s="1">
        <v>1000000</v>
      </c>
      <c r="N557" s="1">
        <v>3325054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10410234</v>
      </c>
      <c r="W557" s="1">
        <v>4000000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2612543</v>
      </c>
      <c r="AF557" s="1">
        <v>1835427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6440505</v>
      </c>
      <c r="AM557" s="1">
        <v>0</v>
      </c>
      <c r="AN557" s="1">
        <v>0</v>
      </c>
      <c r="AO557" s="1">
        <v>74292976</v>
      </c>
      <c r="AP557" s="1">
        <v>24603322</v>
      </c>
      <c r="AQ557" s="1">
        <v>49689654</v>
      </c>
      <c r="AR557" s="1">
        <v>14491510</v>
      </c>
      <c r="AS557" s="1">
        <v>2173726</v>
      </c>
      <c r="AT557" s="3">
        <f t="shared" si="55"/>
        <v>90958212</v>
      </c>
    </row>
    <row r="558" spans="1:46" x14ac:dyDescent="0.2">
      <c r="A558" s="1" t="str">
        <f>"00648"</f>
        <v>00648</v>
      </c>
      <c r="B558" s="1" t="str">
        <f>"مسعود"</f>
        <v>مسعود</v>
      </c>
      <c r="C558" s="1" t="str">
        <f>"سليماني"</f>
        <v>سليماني</v>
      </c>
      <c r="D558" s="1" t="str">
        <f>"قراردادي کارگري"</f>
        <v>قراردادي کارگري</v>
      </c>
      <c r="E558" s="1" t="str">
        <f>"پروژه تعميرات نيروگاه بوشهر"</f>
        <v>پروژه تعميرات نيروگاه بوشهر</v>
      </c>
      <c r="F558" s="1">
        <v>0</v>
      </c>
      <c r="G558" s="1">
        <v>18137813</v>
      </c>
      <c r="H558" s="1">
        <v>0</v>
      </c>
      <c r="I558" s="1">
        <v>13153217</v>
      </c>
      <c r="J558" s="1">
        <v>0</v>
      </c>
      <c r="K558" s="1">
        <v>0</v>
      </c>
      <c r="L558" s="1">
        <v>11331151</v>
      </c>
      <c r="M558" s="1">
        <v>2000000</v>
      </c>
      <c r="N558" s="1">
        <v>7543063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2640000</v>
      </c>
      <c r="U558" s="1">
        <v>0</v>
      </c>
      <c r="V558" s="1">
        <v>5237068</v>
      </c>
      <c r="W558" s="1">
        <v>4000000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3670854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81856411</v>
      </c>
      <c r="AP558" s="1">
        <v>9770903</v>
      </c>
      <c r="AQ558" s="1">
        <v>72085508</v>
      </c>
      <c r="AR558" s="1">
        <v>15637111</v>
      </c>
      <c r="AS558" s="1">
        <v>2345567</v>
      </c>
      <c r="AT558" s="3">
        <f t="shared" si="55"/>
        <v>99839089</v>
      </c>
    </row>
    <row r="559" spans="1:46" x14ac:dyDescent="0.2">
      <c r="A559" s="1" t="str">
        <f>"00649"</f>
        <v>00649</v>
      </c>
      <c r="B559" s="1" t="str">
        <f>"فريبا"</f>
        <v>فريبا</v>
      </c>
      <c r="C559" s="1" t="str">
        <f>"صيانت"</f>
        <v>صيانت</v>
      </c>
      <c r="D559" s="1" t="str">
        <f>"قراردادي بهره بردار"</f>
        <v>قراردادي بهره بردار</v>
      </c>
      <c r="E559" s="1" t="str">
        <f>"پروژه بهره برداري نيروگاه بوشهر"</f>
        <v>پروژه بهره برداري نيروگاه بوشهر</v>
      </c>
      <c r="F559" s="1">
        <v>22295510</v>
      </c>
      <c r="G559" s="1">
        <v>0</v>
      </c>
      <c r="H559" s="1">
        <v>0</v>
      </c>
      <c r="I559" s="1">
        <v>21566825</v>
      </c>
      <c r="J559" s="1">
        <v>0</v>
      </c>
      <c r="K559" s="1">
        <v>3465000</v>
      </c>
      <c r="L559" s="1">
        <v>0</v>
      </c>
      <c r="M559" s="1">
        <v>1000000</v>
      </c>
      <c r="N559" s="1">
        <v>4285273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5688568</v>
      </c>
      <c r="W559" s="1">
        <v>4000000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3367000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5371077</v>
      </c>
      <c r="AM559" s="1">
        <v>0</v>
      </c>
      <c r="AN559" s="1">
        <v>0</v>
      </c>
      <c r="AO559" s="1">
        <v>71039253</v>
      </c>
      <c r="AP559" s="1">
        <v>11385798</v>
      </c>
      <c r="AQ559" s="1">
        <v>59653455</v>
      </c>
      <c r="AR559" s="1">
        <v>14207851</v>
      </c>
      <c r="AS559" s="1">
        <v>2131178</v>
      </c>
      <c r="AT559" s="3">
        <f t="shared" si="55"/>
        <v>87378282</v>
      </c>
    </row>
    <row r="560" spans="1:46" x14ac:dyDescent="0.2">
      <c r="A560" s="1" t="str">
        <f>"00650"</f>
        <v>00650</v>
      </c>
      <c r="B560" s="1" t="str">
        <f>"ليلا"</f>
        <v>ليلا</v>
      </c>
      <c r="C560" s="1" t="str">
        <f>"قاسمي فر"</f>
        <v>قاسمي فر</v>
      </c>
      <c r="D560" s="1" t="str">
        <f>"قراردادي بهره بردار"</f>
        <v>قراردادي بهره بردار</v>
      </c>
      <c r="E560" s="1" t="str">
        <f>"پروژه بهره برداري نيروگاه بوشهر"</f>
        <v>پروژه بهره برداري نيروگاه بوشهر</v>
      </c>
      <c r="F560" s="1">
        <v>17319958</v>
      </c>
      <c r="G560" s="1">
        <v>356077</v>
      </c>
      <c r="H560" s="1">
        <v>0</v>
      </c>
      <c r="I560" s="1">
        <v>16884629</v>
      </c>
      <c r="J560" s="1">
        <v>0</v>
      </c>
      <c r="K560" s="1">
        <v>0</v>
      </c>
      <c r="L560" s="1">
        <v>0</v>
      </c>
      <c r="M560" s="1">
        <v>1000000</v>
      </c>
      <c r="N560" s="1">
        <v>3469661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4587383</v>
      </c>
      <c r="W560" s="1">
        <v>4000000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2726162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5473422</v>
      </c>
      <c r="AM560" s="1">
        <v>0</v>
      </c>
      <c r="AN560" s="1">
        <v>0</v>
      </c>
      <c r="AO560" s="1">
        <v>55817292</v>
      </c>
      <c r="AP560" s="1">
        <v>17771274</v>
      </c>
      <c r="AQ560" s="1">
        <v>38046018</v>
      </c>
      <c r="AR560" s="1">
        <v>11163458</v>
      </c>
      <c r="AS560" s="1">
        <v>1674519</v>
      </c>
      <c r="AT560" s="3">
        <f t="shared" si="55"/>
        <v>68655269</v>
      </c>
    </row>
    <row r="561" spans="1:46" x14ac:dyDescent="0.2">
      <c r="A561" s="1" t="str">
        <f>"00651"</f>
        <v>00651</v>
      </c>
      <c r="B561" s="1" t="str">
        <f>"عبدالرسول"</f>
        <v>عبدالرسول</v>
      </c>
      <c r="C561" s="1" t="str">
        <f>"حاجياني"</f>
        <v>حاجياني</v>
      </c>
      <c r="D561" s="1" t="str">
        <f t="shared" ref="D561:D566" si="59">"قراردادي کارگري"</f>
        <v>قراردادي کارگري</v>
      </c>
      <c r="E561" s="1" t="str">
        <f t="shared" ref="E561:E566" si="60">"پروژه تعميرات نيروگاه بوشهر"</f>
        <v>پروژه تعميرات نيروگاه بوشهر</v>
      </c>
      <c r="F561" s="1">
        <v>0</v>
      </c>
      <c r="G561" s="1">
        <v>28237941</v>
      </c>
      <c r="H561" s="1">
        <v>0</v>
      </c>
      <c r="I561" s="1">
        <v>6089062</v>
      </c>
      <c r="J561" s="1">
        <v>0</v>
      </c>
      <c r="K561" s="1">
        <v>0</v>
      </c>
      <c r="L561" s="1">
        <v>11521166</v>
      </c>
      <c r="M561" s="1">
        <v>2000000</v>
      </c>
      <c r="N561" s="1">
        <v>4480547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2640000</v>
      </c>
      <c r="U561" s="1">
        <v>0</v>
      </c>
      <c r="V561" s="1">
        <v>11575559</v>
      </c>
      <c r="W561" s="1">
        <v>4000000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1835427</v>
      </c>
      <c r="AG561" s="1">
        <v>0</v>
      </c>
      <c r="AH561" s="1">
        <v>0</v>
      </c>
      <c r="AI561" s="1">
        <v>0</v>
      </c>
      <c r="AJ561" s="1">
        <v>7609382</v>
      </c>
      <c r="AK561" s="1">
        <v>0</v>
      </c>
      <c r="AL561" s="1">
        <v>0</v>
      </c>
      <c r="AM561" s="1">
        <v>0</v>
      </c>
      <c r="AN561" s="1">
        <v>0</v>
      </c>
      <c r="AO561" s="1">
        <v>88446115</v>
      </c>
      <c r="AP561" s="1">
        <v>24973917</v>
      </c>
      <c r="AQ561" s="1">
        <v>63472198</v>
      </c>
      <c r="AR561" s="1">
        <v>17322138</v>
      </c>
      <c r="AS561" s="1">
        <v>2598321</v>
      </c>
      <c r="AT561" s="3">
        <f t="shared" si="55"/>
        <v>108366574</v>
      </c>
    </row>
    <row r="562" spans="1:46" x14ac:dyDescent="0.2">
      <c r="A562" s="1" t="str">
        <f>"00652"</f>
        <v>00652</v>
      </c>
      <c r="B562" s="1" t="str">
        <f>"حسين"</f>
        <v>حسين</v>
      </c>
      <c r="C562" s="1" t="str">
        <f>"انصاري"</f>
        <v>انصاري</v>
      </c>
      <c r="D562" s="1" t="str">
        <f t="shared" si="59"/>
        <v>قراردادي کارگري</v>
      </c>
      <c r="E562" s="1" t="str">
        <f t="shared" si="60"/>
        <v>پروژه تعميرات نيروگاه بوشهر</v>
      </c>
      <c r="F562" s="1">
        <v>0</v>
      </c>
      <c r="G562" s="1">
        <v>29004111</v>
      </c>
      <c r="H562" s="1">
        <v>0</v>
      </c>
      <c r="I562" s="1">
        <v>8443607</v>
      </c>
      <c r="J562" s="1">
        <v>0</v>
      </c>
      <c r="K562" s="1">
        <v>0</v>
      </c>
      <c r="L562" s="1">
        <v>11521166</v>
      </c>
      <c r="M562" s="1">
        <v>2000000</v>
      </c>
      <c r="N562" s="1">
        <v>6045182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2640000</v>
      </c>
      <c r="U562" s="1">
        <v>0</v>
      </c>
      <c r="V562" s="1">
        <v>13958475</v>
      </c>
      <c r="W562" s="1">
        <v>4000000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3670854</v>
      </c>
      <c r="AG562" s="1">
        <v>0</v>
      </c>
      <c r="AH562" s="1">
        <v>0</v>
      </c>
      <c r="AI562" s="1">
        <v>0</v>
      </c>
      <c r="AJ562" s="1">
        <v>11601644</v>
      </c>
      <c r="AK562" s="1">
        <v>0</v>
      </c>
      <c r="AL562" s="1">
        <v>0</v>
      </c>
      <c r="AM562" s="1">
        <v>0</v>
      </c>
      <c r="AN562" s="1">
        <v>0</v>
      </c>
      <c r="AO562" s="1">
        <v>104295319</v>
      </c>
      <c r="AP562" s="1">
        <v>22787760</v>
      </c>
      <c r="AQ562" s="1">
        <v>81507559</v>
      </c>
      <c r="AR562" s="1">
        <v>20124893</v>
      </c>
      <c r="AS562" s="1">
        <v>3018734</v>
      </c>
      <c r="AT562" s="3">
        <f t="shared" si="55"/>
        <v>127438946</v>
      </c>
    </row>
    <row r="563" spans="1:46" x14ac:dyDescent="0.2">
      <c r="A563" s="1" t="str">
        <f>"00653"</f>
        <v>00653</v>
      </c>
      <c r="B563" s="1" t="str">
        <f>"حسين"</f>
        <v>حسين</v>
      </c>
      <c r="C563" s="1" t="str">
        <f>"حسن احمدي"</f>
        <v>حسن احمدي</v>
      </c>
      <c r="D563" s="1" t="str">
        <f t="shared" si="59"/>
        <v>قراردادي کارگري</v>
      </c>
      <c r="E563" s="1" t="str">
        <f t="shared" si="60"/>
        <v>پروژه تعميرات نيروگاه بوشهر</v>
      </c>
      <c r="F563" s="1">
        <v>0</v>
      </c>
      <c r="G563" s="1">
        <v>27282660</v>
      </c>
      <c r="H563" s="1">
        <v>0</v>
      </c>
      <c r="I563" s="1">
        <v>7631864</v>
      </c>
      <c r="J563" s="1">
        <v>0</v>
      </c>
      <c r="K563" s="1">
        <v>0</v>
      </c>
      <c r="L563" s="1">
        <v>11521166</v>
      </c>
      <c r="M563" s="1">
        <v>2000000</v>
      </c>
      <c r="N563" s="1">
        <v>5502426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2640000</v>
      </c>
      <c r="U563" s="1">
        <v>0</v>
      </c>
      <c r="V563" s="1">
        <v>13219220</v>
      </c>
      <c r="W563" s="1">
        <v>4000000</v>
      </c>
      <c r="X563" s="1">
        <v>0</v>
      </c>
      <c r="Y563" s="1">
        <v>0</v>
      </c>
      <c r="Z563" s="1">
        <v>0</v>
      </c>
      <c r="AA563" s="1">
        <v>5000000</v>
      </c>
      <c r="AB563" s="1">
        <v>0</v>
      </c>
      <c r="AC563" s="1">
        <v>0</v>
      </c>
      <c r="AD563" s="1">
        <v>0</v>
      </c>
      <c r="AE563" s="1">
        <v>0</v>
      </c>
      <c r="AF563" s="1">
        <v>5506281</v>
      </c>
      <c r="AG563" s="1">
        <v>0</v>
      </c>
      <c r="AH563" s="1">
        <v>0</v>
      </c>
      <c r="AI563" s="1">
        <v>0</v>
      </c>
      <c r="AJ563" s="1">
        <v>13095677</v>
      </c>
      <c r="AK563" s="1">
        <v>0</v>
      </c>
      <c r="AL563" s="1">
        <v>0</v>
      </c>
      <c r="AM563" s="1">
        <v>0</v>
      </c>
      <c r="AN563" s="1">
        <v>0</v>
      </c>
      <c r="AO563" s="1">
        <v>107853902</v>
      </c>
      <c r="AP563" s="1">
        <v>18068290</v>
      </c>
      <c r="AQ563" s="1">
        <v>89785612</v>
      </c>
      <c r="AR563" s="1">
        <v>19469524</v>
      </c>
      <c r="AS563" s="1">
        <v>2920429</v>
      </c>
      <c r="AT563" s="3">
        <f t="shared" si="55"/>
        <v>130243855</v>
      </c>
    </row>
    <row r="564" spans="1:46" x14ac:dyDescent="0.2">
      <c r="A564" s="1" t="str">
        <f>"00654"</f>
        <v>00654</v>
      </c>
      <c r="B564" s="1" t="str">
        <f>"محمدرضا"</f>
        <v>محمدرضا</v>
      </c>
      <c r="C564" s="1" t="str">
        <f>"تاجي اشکفتکي"</f>
        <v>تاجي اشکفتکي</v>
      </c>
      <c r="D564" s="1" t="str">
        <f t="shared" si="59"/>
        <v>قراردادي کارگري</v>
      </c>
      <c r="E564" s="1" t="str">
        <f t="shared" si="60"/>
        <v>پروژه تعميرات نيروگاه بوشهر</v>
      </c>
      <c r="F564" s="1">
        <v>0</v>
      </c>
      <c r="G564" s="1">
        <v>10077526</v>
      </c>
      <c r="H564" s="1">
        <v>0</v>
      </c>
      <c r="I564" s="1">
        <v>5440663</v>
      </c>
      <c r="J564" s="1">
        <v>0</v>
      </c>
      <c r="K564" s="1">
        <v>0</v>
      </c>
      <c r="L564" s="1">
        <v>9668221</v>
      </c>
      <c r="M564" s="1">
        <v>2000000</v>
      </c>
      <c r="N564" s="1">
        <v>4836146</v>
      </c>
      <c r="O564" s="1">
        <v>0</v>
      </c>
      <c r="P564" s="1">
        <v>0</v>
      </c>
      <c r="Q564" s="1">
        <v>0</v>
      </c>
      <c r="R564" s="1">
        <v>918655</v>
      </c>
      <c r="S564" s="1">
        <v>0</v>
      </c>
      <c r="T564" s="1">
        <v>2640000</v>
      </c>
      <c r="U564" s="1">
        <v>0</v>
      </c>
      <c r="V564" s="1">
        <v>6690432</v>
      </c>
      <c r="W564" s="1">
        <v>4000000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5506281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60845697</v>
      </c>
      <c r="AP564" s="1">
        <v>7050412</v>
      </c>
      <c r="AQ564" s="1">
        <v>53795285</v>
      </c>
      <c r="AR564" s="1">
        <v>10884152</v>
      </c>
      <c r="AS564" s="1">
        <v>1632623</v>
      </c>
      <c r="AT564" s="3">
        <f t="shared" si="55"/>
        <v>73362472</v>
      </c>
    </row>
    <row r="565" spans="1:46" x14ac:dyDescent="0.2">
      <c r="A565" s="1" t="str">
        <f>"00655"</f>
        <v>00655</v>
      </c>
      <c r="B565" s="1" t="str">
        <f>"عادل"</f>
        <v>عادل</v>
      </c>
      <c r="C565" s="1" t="str">
        <f>"رهامي"</f>
        <v>رهامي</v>
      </c>
      <c r="D565" s="1" t="str">
        <f t="shared" si="59"/>
        <v>قراردادي کارگري</v>
      </c>
      <c r="E565" s="1" t="str">
        <f t="shared" si="60"/>
        <v>پروژه تعميرات نيروگاه بوشهر</v>
      </c>
      <c r="F565" s="1">
        <v>0</v>
      </c>
      <c r="G565" s="1">
        <v>14225826</v>
      </c>
      <c r="H565" s="1">
        <v>0</v>
      </c>
      <c r="I565" s="1">
        <v>9061585</v>
      </c>
      <c r="J565" s="1">
        <v>0</v>
      </c>
      <c r="K565" s="1">
        <v>0</v>
      </c>
      <c r="L565" s="1">
        <v>11521166</v>
      </c>
      <c r="M565" s="1">
        <v>2000000</v>
      </c>
      <c r="N565" s="1">
        <v>5887970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2640000</v>
      </c>
      <c r="U565" s="1">
        <v>0</v>
      </c>
      <c r="V565" s="1">
        <v>14034516</v>
      </c>
      <c r="W565" s="1">
        <v>4000000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1835427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76393632</v>
      </c>
      <c r="AP565" s="1">
        <v>11391330</v>
      </c>
      <c r="AQ565" s="1">
        <v>65002302</v>
      </c>
      <c r="AR565" s="1">
        <v>14911641</v>
      </c>
      <c r="AS565" s="1">
        <v>2236746</v>
      </c>
      <c r="AT565" s="3">
        <f t="shared" si="55"/>
        <v>93542019</v>
      </c>
    </row>
    <row r="566" spans="1:46" x14ac:dyDescent="0.2">
      <c r="A566" s="1" t="str">
        <f>"00656"</f>
        <v>00656</v>
      </c>
      <c r="B566" s="1" t="str">
        <f>"صادق"</f>
        <v>صادق</v>
      </c>
      <c r="C566" s="1" t="str">
        <f>"زارعي"</f>
        <v>زارعي</v>
      </c>
      <c r="D566" s="1" t="str">
        <f t="shared" si="59"/>
        <v>قراردادي کارگري</v>
      </c>
      <c r="E566" s="1" t="str">
        <f t="shared" si="60"/>
        <v>پروژه تعميرات نيروگاه بوشهر</v>
      </c>
      <c r="F566" s="1">
        <v>0</v>
      </c>
      <c r="G566" s="1">
        <v>2975545</v>
      </c>
      <c r="H566" s="1">
        <v>0</v>
      </c>
      <c r="I566" s="1">
        <v>5949170</v>
      </c>
      <c r="J566" s="1">
        <v>0</v>
      </c>
      <c r="K566" s="1">
        <v>0</v>
      </c>
      <c r="L566" s="1">
        <v>11521166</v>
      </c>
      <c r="M566" s="1">
        <v>2000000</v>
      </c>
      <c r="N566" s="1">
        <v>4473060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2640000</v>
      </c>
      <c r="U566" s="1">
        <v>0</v>
      </c>
      <c r="V566" s="1">
        <v>11725507</v>
      </c>
      <c r="W566" s="1">
        <v>4000000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4566331</v>
      </c>
      <c r="AE566" s="1">
        <v>0</v>
      </c>
      <c r="AF566" s="1">
        <v>1835427</v>
      </c>
      <c r="AG566" s="1">
        <v>0</v>
      </c>
      <c r="AH566" s="1">
        <v>0</v>
      </c>
      <c r="AI566" s="1">
        <v>0</v>
      </c>
      <c r="AJ566" s="1">
        <v>7617394</v>
      </c>
      <c r="AK566" s="1">
        <v>0</v>
      </c>
      <c r="AL566" s="1">
        <v>0</v>
      </c>
      <c r="AM566" s="1">
        <v>0</v>
      </c>
      <c r="AN566" s="1">
        <v>0</v>
      </c>
      <c r="AO566" s="1">
        <v>67802414</v>
      </c>
      <c r="AP566" s="1">
        <v>7226161</v>
      </c>
      <c r="AQ566" s="1">
        <v>60576253</v>
      </c>
      <c r="AR566" s="1">
        <v>13193397</v>
      </c>
      <c r="AS566" s="1">
        <v>1979010</v>
      </c>
      <c r="AT566" s="3">
        <f t="shared" si="55"/>
        <v>82974821</v>
      </c>
    </row>
    <row r="567" spans="1:46" x14ac:dyDescent="0.2">
      <c r="A567" s="1" t="str">
        <f>"00657"</f>
        <v>00657</v>
      </c>
      <c r="B567" s="1" t="str">
        <f>"اسماعيل"</f>
        <v>اسماعيل</v>
      </c>
      <c r="C567" s="1" t="str">
        <f>"شهرياري"</f>
        <v>شهرياري</v>
      </c>
      <c r="D567" s="1" t="str">
        <f>"قراردادي بهره بردار"</f>
        <v>قراردادي بهره بردار</v>
      </c>
      <c r="E567" s="1" t="str">
        <f>"پروژه بهره برداري نيروگاه بوشهر"</f>
        <v>پروژه بهره برداري نيروگاه بوشهر</v>
      </c>
      <c r="F567" s="1">
        <v>21753868</v>
      </c>
      <c r="G567" s="1">
        <v>8038486</v>
      </c>
      <c r="H567" s="1">
        <v>0</v>
      </c>
      <c r="I567" s="1">
        <v>16971427</v>
      </c>
      <c r="J567" s="1">
        <v>0</v>
      </c>
      <c r="K567" s="1">
        <v>5500000</v>
      </c>
      <c r="L567" s="1">
        <v>0</v>
      </c>
      <c r="M567" s="1">
        <v>1000000</v>
      </c>
      <c r="N567" s="1">
        <v>3751818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11834178</v>
      </c>
      <c r="W567" s="1">
        <v>4000000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2947857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6027976</v>
      </c>
      <c r="AM567" s="1">
        <v>0</v>
      </c>
      <c r="AN567" s="1">
        <v>0</v>
      </c>
      <c r="AO567" s="1">
        <v>81825610</v>
      </c>
      <c r="AP567" s="1">
        <v>22476712</v>
      </c>
      <c r="AQ567" s="1">
        <v>59348898</v>
      </c>
      <c r="AR567" s="1">
        <v>16365122</v>
      </c>
      <c r="AS567" s="1">
        <v>2454768</v>
      </c>
      <c r="AT567" s="3">
        <f t="shared" si="55"/>
        <v>100645500</v>
      </c>
    </row>
    <row r="568" spans="1:46" x14ac:dyDescent="0.2">
      <c r="A568" s="1" t="str">
        <f>"00658"</f>
        <v>00658</v>
      </c>
      <c r="B568" s="1" t="str">
        <f>"محمدرضا"</f>
        <v>محمدرضا</v>
      </c>
      <c r="C568" s="1" t="str">
        <f>"افشارنژاد"</f>
        <v>افشارنژاد</v>
      </c>
      <c r="D568" s="1" t="str">
        <f>"قراردادي کارگري"</f>
        <v>قراردادي کارگري</v>
      </c>
      <c r="E568" s="1" t="str">
        <f>"پروژه تعميرات نيروگاه بوشهر"</f>
        <v>پروژه تعميرات نيروگاه بوشهر</v>
      </c>
      <c r="F568" s="1">
        <v>0</v>
      </c>
      <c r="G568" s="1">
        <v>7082697</v>
      </c>
      <c r="H568" s="1">
        <v>0</v>
      </c>
      <c r="I568" s="1">
        <v>12482321</v>
      </c>
      <c r="J568" s="1">
        <v>0</v>
      </c>
      <c r="K568" s="1">
        <v>0</v>
      </c>
      <c r="L568" s="1">
        <v>11331151</v>
      </c>
      <c r="M568" s="1">
        <v>2000000</v>
      </c>
      <c r="N568" s="1">
        <v>7967437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2640000</v>
      </c>
      <c r="U568" s="1">
        <v>0</v>
      </c>
      <c r="V568" s="1">
        <v>5125998</v>
      </c>
      <c r="W568" s="1">
        <v>4000000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3670854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69579522</v>
      </c>
      <c r="AP568" s="1">
        <v>11547399</v>
      </c>
      <c r="AQ568" s="1">
        <v>58032123</v>
      </c>
      <c r="AR568" s="1">
        <v>13181734</v>
      </c>
      <c r="AS568" s="1">
        <v>1977260</v>
      </c>
      <c r="AT568" s="3">
        <f t="shared" si="55"/>
        <v>84738516</v>
      </c>
    </row>
    <row r="569" spans="1:46" x14ac:dyDescent="0.2">
      <c r="A569" s="1" t="str">
        <f>"00659"</f>
        <v>00659</v>
      </c>
      <c r="B569" s="1" t="str">
        <f>"فاضل"</f>
        <v>فاضل</v>
      </c>
      <c r="C569" s="1" t="str">
        <f>"فرخ زاد"</f>
        <v>فرخ زاد</v>
      </c>
      <c r="D569" s="1" t="str">
        <f>"قراردادي کارگري"</f>
        <v>قراردادي کارگري</v>
      </c>
      <c r="E569" s="1" t="str">
        <f>"پروژه تعميرات نيروگاه بوشهر"</f>
        <v>پروژه تعميرات نيروگاه بوشهر</v>
      </c>
      <c r="F569" s="1">
        <v>0</v>
      </c>
      <c r="G569" s="1">
        <v>14555685</v>
      </c>
      <c r="H569" s="1">
        <v>0</v>
      </c>
      <c r="I569" s="1">
        <v>9059834</v>
      </c>
      <c r="J569" s="1">
        <v>0</v>
      </c>
      <c r="K569" s="1">
        <v>0</v>
      </c>
      <c r="L569" s="1">
        <v>11521166</v>
      </c>
      <c r="M569" s="1">
        <v>2000000</v>
      </c>
      <c r="N569" s="1">
        <v>6666544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2640000</v>
      </c>
      <c r="U569" s="1">
        <v>0</v>
      </c>
      <c r="V569" s="1">
        <v>10802280</v>
      </c>
      <c r="W569" s="1">
        <v>4000000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935787</v>
      </c>
      <c r="AD569" s="1">
        <v>0</v>
      </c>
      <c r="AE569" s="1">
        <v>0</v>
      </c>
      <c r="AF569" s="1">
        <v>3670854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78435252</v>
      </c>
      <c r="AP569" s="1">
        <v>12190651</v>
      </c>
      <c r="AQ569" s="1">
        <v>66244601</v>
      </c>
      <c r="AR569" s="1">
        <v>14952880</v>
      </c>
      <c r="AS569" s="1">
        <v>2242932</v>
      </c>
      <c r="AT569" s="3">
        <f t="shared" si="55"/>
        <v>95631064</v>
      </c>
    </row>
    <row r="570" spans="1:46" x14ac:dyDescent="0.2">
      <c r="A570" s="1" t="str">
        <f>"00660"</f>
        <v>00660</v>
      </c>
      <c r="B570" s="1" t="str">
        <f>"عبدالرسول"</f>
        <v>عبدالرسول</v>
      </c>
      <c r="C570" s="1" t="str">
        <f>"محمدي"</f>
        <v>محمدي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19578564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19578564</v>
      </c>
      <c r="AP570" s="1">
        <v>19578564</v>
      </c>
      <c r="AQ570" s="1">
        <v>0</v>
      </c>
      <c r="AR570" s="1">
        <v>0</v>
      </c>
      <c r="AS570" s="1">
        <v>0</v>
      </c>
      <c r="AT570" s="3">
        <f t="shared" si="55"/>
        <v>19578564</v>
      </c>
    </row>
    <row r="571" spans="1:46" x14ac:dyDescent="0.2">
      <c r="A571" s="1" t="str">
        <f>"00661"</f>
        <v>00661</v>
      </c>
      <c r="B571" s="1" t="str">
        <f>"جواد"</f>
        <v>جواد</v>
      </c>
      <c r="C571" s="1" t="str">
        <f>"حسين زاده"</f>
        <v>حسين زاده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24172364</v>
      </c>
      <c r="G571" s="1">
        <v>0</v>
      </c>
      <c r="H571" s="1">
        <v>0</v>
      </c>
      <c r="I571" s="1">
        <v>19896123</v>
      </c>
      <c r="J571" s="1">
        <v>0</v>
      </c>
      <c r="K571" s="1">
        <v>5500000</v>
      </c>
      <c r="L571" s="1">
        <v>0</v>
      </c>
      <c r="M571" s="1">
        <v>1000000</v>
      </c>
      <c r="N571" s="1">
        <v>4161829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10549639</v>
      </c>
      <c r="W571" s="1">
        <v>4000000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3270008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5524752</v>
      </c>
      <c r="AM571" s="1">
        <v>0</v>
      </c>
      <c r="AN571" s="1">
        <v>0</v>
      </c>
      <c r="AO571" s="1">
        <v>78074715</v>
      </c>
      <c r="AP571" s="1">
        <v>36003250</v>
      </c>
      <c r="AQ571" s="1">
        <v>42071465</v>
      </c>
      <c r="AR571" s="1">
        <v>15614943</v>
      </c>
      <c r="AS571" s="1">
        <v>2342241</v>
      </c>
      <c r="AT571" s="3">
        <f t="shared" si="55"/>
        <v>96031899</v>
      </c>
    </row>
    <row r="572" spans="1:46" x14ac:dyDescent="0.2">
      <c r="A572" s="1" t="str">
        <f>"00662"</f>
        <v>00662</v>
      </c>
      <c r="B572" s="1" t="str">
        <f>"نجف"</f>
        <v>نجف</v>
      </c>
      <c r="C572" s="1" t="str">
        <f>"ابراهيم زاده"</f>
        <v>ابراهيم زاده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0</v>
      </c>
      <c r="G572" s="1">
        <v>0</v>
      </c>
      <c r="H572" s="1">
        <v>0</v>
      </c>
      <c r="I572" s="1">
        <v>10349800</v>
      </c>
      <c r="J572" s="1">
        <v>0</v>
      </c>
      <c r="K572" s="1">
        <v>0</v>
      </c>
      <c r="L572" s="1">
        <v>11331151</v>
      </c>
      <c r="M572" s="1">
        <v>2000000</v>
      </c>
      <c r="N572" s="1">
        <v>6814682</v>
      </c>
      <c r="O572" s="1">
        <v>0</v>
      </c>
      <c r="P572" s="1">
        <v>0</v>
      </c>
      <c r="Q572" s="1">
        <v>0</v>
      </c>
      <c r="R572" s="1">
        <v>106193</v>
      </c>
      <c r="S572" s="1">
        <v>0</v>
      </c>
      <c r="T572" s="1">
        <v>2640000</v>
      </c>
      <c r="U572" s="1">
        <v>0</v>
      </c>
      <c r="V572" s="1">
        <v>10444096</v>
      </c>
      <c r="W572" s="1">
        <v>4000000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3670854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64134307</v>
      </c>
      <c r="AP572" s="1">
        <v>26561939</v>
      </c>
      <c r="AQ572" s="1">
        <v>37572368</v>
      </c>
      <c r="AR572" s="1">
        <v>12071452</v>
      </c>
      <c r="AS572" s="1">
        <v>1810718</v>
      </c>
      <c r="AT572" s="3">
        <f t="shared" si="55"/>
        <v>78016477</v>
      </c>
    </row>
    <row r="573" spans="1:46" x14ac:dyDescent="0.2">
      <c r="A573" s="1" t="str">
        <f>"00663"</f>
        <v>00663</v>
      </c>
      <c r="B573" s="1" t="str">
        <f>"بهرام"</f>
        <v>بهرام</v>
      </c>
      <c r="C573" s="1" t="str">
        <f>"زارعي"</f>
        <v>زارعي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14856116</v>
      </c>
      <c r="G573" s="1">
        <v>22519399</v>
      </c>
      <c r="H573" s="1">
        <v>0</v>
      </c>
      <c r="I573" s="1">
        <v>15818194</v>
      </c>
      <c r="J573" s="1">
        <v>0</v>
      </c>
      <c r="K573" s="1">
        <v>4620000</v>
      </c>
      <c r="L573" s="1">
        <v>0</v>
      </c>
      <c r="M573" s="1">
        <v>1000000</v>
      </c>
      <c r="N573" s="1">
        <v>2607315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10294582</v>
      </c>
      <c r="W573" s="1">
        <v>4000000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2048605</v>
      </c>
      <c r="AF573" s="1">
        <v>5506281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5848099</v>
      </c>
      <c r="AM573" s="1">
        <v>0</v>
      </c>
      <c r="AN573" s="1">
        <v>0</v>
      </c>
      <c r="AO573" s="1">
        <v>89118591</v>
      </c>
      <c r="AP573" s="1">
        <v>31068410</v>
      </c>
      <c r="AQ573" s="1">
        <v>58050181</v>
      </c>
      <c r="AR573" s="1">
        <v>16722462</v>
      </c>
      <c r="AS573" s="1">
        <v>2508369</v>
      </c>
      <c r="AT573" s="3">
        <f t="shared" si="55"/>
        <v>108349422</v>
      </c>
    </row>
    <row r="574" spans="1:46" x14ac:dyDescent="0.2">
      <c r="A574" s="1" t="str">
        <f>"00664"</f>
        <v>00664</v>
      </c>
      <c r="B574" s="1" t="str">
        <f>"حميد رضا"</f>
        <v>حميد رضا</v>
      </c>
      <c r="C574" s="1" t="str">
        <f>"دهقاني"</f>
        <v>دهقاني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17592039</v>
      </c>
      <c r="G574" s="1">
        <v>16025083</v>
      </c>
      <c r="H574" s="1">
        <v>0</v>
      </c>
      <c r="I574" s="1">
        <v>14737686</v>
      </c>
      <c r="J574" s="1">
        <v>0</v>
      </c>
      <c r="K574" s="1">
        <v>4620000</v>
      </c>
      <c r="L574" s="1">
        <v>0</v>
      </c>
      <c r="M574" s="1">
        <v>1000000</v>
      </c>
      <c r="N574" s="1">
        <v>3256278</v>
      </c>
      <c r="O574" s="1">
        <v>0</v>
      </c>
      <c r="P574" s="1">
        <v>0</v>
      </c>
      <c r="Q574" s="1">
        <v>0</v>
      </c>
      <c r="R574" s="1">
        <v>6215778</v>
      </c>
      <c r="S574" s="1">
        <v>0</v>
      </c>
      <c r="T574" s="1">
        <v>0</v>
      </c>
      <c r="U574" s="1">
        <v>0</v>
      </c>
      <c r="V574" s="1">
        <v>10357448</v>
      </c>
      <c r="W574" s="1">
        <v>4000000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2558504</v>
      </c>
      <c r="AF574" s="1">
        <v>1835427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6887877</v>
      </c>
      <c r="AM574" s="1">
        <v>0</v>
      </c>
      <c r="AN574" s="1">
        <v>0</v>
      </c>
      <c r="AO574" s="1">
        <v>89086120</v>
      </c>
      <c r="AP574" s="1">
        <v>17583888</v>
      </c>
      <c r="AQ574" s="1">
        <v>71502232</v>
      </c>
      <c r="AR574" s="1">
        <v>16206983</v>
      </c>
      <c r="AS574" s="1">
        <v>2431047</v>
      </c>
      <c r="AT574" s="3">
        <f t="shared" si="55"/>
        <v>107724150</v>
      </c>
    </row>
    <row r="575" spans="1:46" x14ac:dyDescent="0.2">
      <c r="A575" s="1" t="str">
        <f>"00665"</f>
        <v>00665</v>
      </c>
      <c r="B575" s="1" t="str">
        <f>"مجيد"</f>
        <v>مجيد</v>
      </c>
      <c r="C575" s="1" t="str">
        <f>"سميعي قصرالدشتي"</f>
        <v>سميعي قصرالدشتي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16271943</v>
      </c>
      <c r="G575" s="1">
        <v>5468423</v>
      </c>
      <c r="H575" s="1">
        <v>0</v>
      </c>
      <c r="I575" s="1">
        <v>13917320</v>
      </c>
      <c r="J575" s="1">
        <v>0</v>
      </c>
      <c r="K575" s="1">
        <v>4620000</v>
      </c>
      <c r="L575" s="1">
        <v>0</v>
      </c>
      <c r="M575" s="1">
        <v>1000000</v>
      </c>
      <c r="N575" s="1">
        <v>3071994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8966406</v>
      </c>
      <c r="W575" s="1">
        <v>4000000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2413710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7022204</v>
      </c>
      <c r="AM575" s="1">
        <v>0</v>
      </c>
      <c r="AN575" s="1">
        <v>0</v>
      </c>
      <c r="AO575" s="1">
        <v>66752000</v>
      </c>
      <c r="AP575" s="1">
        <v>32573289</v>
      </c>
      <c r="AQ575" s="1">
        <v>34178711</v>
      </c>
      <c r="AR575" s="1">
        <v>13350400</v>
      </c>
      <c r="AS575" s="1">
        <v>2002560</v>
      </c>
      <c r="AT575" s="3">
        <f t="shared" si="55"/>
        <v>82104960</v>
      </c>
    </row>
    <row r="576" spans="1:46" x14ac:dyDescent="0.2">
      <c r="A576" s="1" t="str">
        <f>"00666"</f>
        <v>00666</v>
      </c>
      <c r="B576" s="1" t="str">
        <f>"زهرا"</f>
        <v>زهرا</v>
      </c>
      <c r="C576" s="1" t="str">
        <f>"دانشور"</f>
        <v>دانشور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18771056</v>
      </c>
      <c r="G576" s="1">
        <v>0</v>
      </c>
      <c r="H576" s="1">
        <v>0</v>
      </c>
      <c r="I576" s="1">
        <v>12736421</v>
      </c>
      <c r="J576" s="1">
        <v>0</v>
      </c>
      <c r="K576" s="1">
        <v>4125000</v>
      </c>
      <c r="L576" s="1">
        <v>0</v>
      </c>
      <c r="M576" s="1">
        <v>1000000</v>
      </c>
      <c r="N576" s="1">
        <v>2906226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4176210</v>
      </c>
      <c r="W576" s="1">
        <v>4000000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2283463</v>
      </c>
      <c r="AF576" s="1">
        <v>1835427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5064935</v>
      </c>
      <c r="AM576" s="1">
        <v>0</v>
      </c>
      <c r="AN576" s="1">
        <v>0</v>
      </c>
      <c r="AO576" s="1">
        <v>56898738</v>
      </c>
      <c r="AP576" s="1">
        <v>24463800</v>
      </c>
      <c r="AQ576" s="1">
        <v>32434938</v>
      </c>
      <c r="AR576" s="1">
        <v>11012662</v>
      </c>
      <c r="AS576" s="1">
        <v>1651899</v>
      </c>
      <c r="AT576" s="3">
        <f t="shared" si="55"/>
        <v>69563299</v>
      </c>
    </row>
    <row r="577" spans="1:46" x14ac:dyDescent="0.2">
      <c r="A577" s="1" t="str">
        <f>"00667"</f>
        <v>00667</v>
      </c>
      <c r="B577" s="1" t="str">
        <f>"نصرالله"</f>
        <v>نصرالله</v>
      </c>
      <c r="C577" s="1" t="str">
        <f>"شکيبي نسب"</f>
        <v>شکيبي نسب</v>
      </c>
      <c r="D577" s="1" t="str">
        <f>"قراردادي کارگري"</f>
        <v>قراردادي کارگري</v>
      </c>
      <c r="E577" s="1" t="str">
        <f t="shared" ref="E577:E587" si="61">"پروژه تعميرات نيروگاه بوشهر"</f>
        <v>پروژه تعميرات نيروگاه بوشهر</v>
      </c>
      <c r="F577" s="1">
        <v>0</v>
      </c>
      <c r="G577" s="1">
        <v>13781558</v>
      </c>
      <c r="H577" s="1">
        <v>0</v>
      </c>
      <c r="I577" s="1">
        <v>9295811</v>
      </c>
      <c r="J577" s="1">
        <v>0</v>
      </c>
      <c r="K577" s="1">
        <v>0</v>
      </c>
      <c r="L577" s="1">
        <v>11521166</v>
      </c>
      <c r="M577" s="1">
        <v>2000000</v>
      </c>
      <c r="N577" s="1">
        <v>6655315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2640000</v>
      </c>
      <c r="U577" s="1">
        <v>0</v>
      </c>
      <c r="V577" s="1">
        <v>14217015</v>
      </c>
      <c r="W577" s="1">
        <v>4000000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1835427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78508198</v>
      </c>
      <c r="AP577" s="1">
        <v>15014404</v>
      </c>
      <c r="AQ577" s="1">
        <v>63493794</v>
      </c>
      <c r="AR577" s="1">
        <v>15334554</v>
      </c>
      <c r="AS577" s="1">
        <v>2300183</v>
      </c>
      <c r="AT577" s="3">
        <f t="shared" si="55"/>
        <v>96142935</v>
      </c>
    </row>
    <row r="578" spans="1:46" x14ac:dyDescent="0.2">
      <c r="A578" s="1" t="str">
        <f>"00668"</f>
        <v>00668</v>
      </c>
      <c r="B578" s="1" t="str">
        <f>"عبدالکريم"</f>
        <v>عبدالکريم</v>
      </c>
      <c r="C578" s="1" t="str">
        <f>"صادقي پور"</f>
        <v>صادقي پور</v>
      </c>
      <c r="D578" s="1" t="str">
        <f>"قراردادي کارگري"</f>
        <v>قراردادي کارگري</v>
      </c>
      <c r="E578" s="1" t="str">
        <f t="shared" si="61"/>
        <v>پروژه تعميرات نيروگاه بوشهر</v>
      </c>
      <c r="F578" s="1">
        <v>0</v>
      </c>
      <c r="G578" s="1">
        <v>0</v>
      </c>
      <c r="H578" s="1">
        <v>0</v>
      </c>
      <c r="I578" s="1">
        <v>8656391</v>
      </c>
      <c r="J578" s="1">
        <v>0</v>
      </c>
      <c r="K578" s="1">
        <v>0</v>
      </c>
      <c r="L578" s="1">
        <v>11331151</v>
      </c>
      <c r="M578" s="1">
        <v>2000000</v>
      </c>
      <c r="N578" s="1">
        <v>5995768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2640000</v>
      </c>
      <c r="U578" s="1">
        <v>0</v>
      </c>
      <c r="V578" s="1">
        <v>14981755</v>
      </c>
      <c r="W578" s="1">
        <v>4000000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3670854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64517985</v>
      </c>
      <c r="AP578" s="1">
        <v>20975851</v>
      </c>
      <c r="AQ578" s="1">
        <v>43542134</v>
      </c>
      <c r="AR578" s="1">
        <v>12169426</v>
      </c>
      <c r="AS578" s="1">
        <v>1825414</v>
      </c>
      <c r="AT578" s="3">
        <f t="shared" si="55"/>
        <v>78512825</v>
      </c>
    </row>
    <row r="579" spans="1:46" x14ac:dyDescent="0.2">
      <c r="A579" s="1" t="str">
        <f>"00669"</f>
        <v>00669</v>
      </c>
      <c r="B579" s="1" t="str">
        <f>"وحيد"</f>
        <v>وحيد</v>
      </c>
      <c r="C579" s="1" t="str">
        <f>"صالحي"</f>
        <v>صالحي</v>
      </c>
      <c r="D579" s="1" t="str">
        <f>"قراردادي کارگري"</f>
        <v>قراردادي کارگري</v>
      </c>
      <c r="E579" s="1" t="str">
        <f t="shared" si="61"/>
        <v>پروژه تعميرات نيروگاه بوشهر</v>
      </c>
      <c r="F579" s="1">
        <v>0</v>
      </c>
      <c r="G579" s="1">
        <v>5767870</v>
      </c>
      <c r="H579" s="1">
        <v>0</v>
      </c>
      <c r="I579" s="1">
        <v>5910054</v>
      </c>
      <c r="J579" s="1">
        <v>0</v>
      </c>
      <c r="K579" s="1">
        <v>0</v>
      </c>
      <c r="L579" s="1">
        <v>11521166</v>
      </c>
      <c r="M579" s="1">
        <v>2000000</v>
      </c>
      <c r="N579" s="1">
        <v>4147406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2640000</v>
      </c>
      <c r="U579" s="1">
        <v>0</v>
      </c>
      <c r="V579" s="1">
        <v>11410784</v>
      </c>
      <c r="W579" s="1">
        <v>4000000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3670854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58948206</v>
      </c>
      <c r="AP579" s="1">
        <v>20521313</v>
      </c>
      <c r="AQ579" s="1">
        <v>38426893</v>
      </c>
      <c r="AR579" s="1">
        <v>11055470</v>
      </c>
      <c r="AS579" s="1">
        <v>1658321</v>
      </c>
      <c r="AT579" s="3">
        <f t="shared" ref="AT579:AT642" si="62">AO579+AR579+AS579</f>
        <v>71661997</v>
      </c>
    </row>
    <row r="580" spans="1:46" x14ac:dyDescent="0.2">
      <c r="A580" s="1" t="str">
        <f>"00670"</f>
        <v>00670</v>
      </c>
      <c r="B580" s="1" t="str">
        <f>"احمد"</f>
        <v>احمد</v>
      </c>
      <c r="C580" s="1" t="str">
        <f>"صفا"</f>
        <v>صفا</v>
      </c>
      <c r="D580" s="1" t="str">
        <f>"قراردادي بهره بردار"</f>
        <v>قراردادي بهره بردار</v>
      </c>
      <c r="E580" s="1" t="str">
        <f t="shared" si="61"/>
        <v>پروژه تعميرات نيروگاه بوشهر</v>
      </c>
      <c r="F580" s="1">
        <v>15070253</v>
      </c>
      <c r="G580" s="1">
        <v>17227719</v>
      </c>
      <c r="H580" s="1">
        <v>0</v>
      </c>
      <c r="I580" s="1">
        <v>11338559</v>
      </c>
      <c r="J580" s="1">
        <v>0</v>
      </c>
      <c r="K580" s="1">
        <v>4620000</v>
      </c>
      <c r="L580" s="1">
        <v>0</v>
      </c>
      <c r="M580" s="1">
        <v>1000000</v>
      </c>
      <c r="N580" s="1">
        <v>2651402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4035395</v>
      </c>
      <c r="W580" s="1">
        <v>4000000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2083244</v>
      </c>
      <c r="AF580" s="1">
        <v>1835427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9210490</v>
      </c>
      <c r="AM580" s="1">
        <v>0</v>
      </c>
      <c r="AN580" s="1">
        <v>0</v>
      </c>
      <c r="AO580" s="1">
        <v>73072489</v>
      </c>
      <c r="AP580" s="1">
        <v>28149261</v>
      </c>
      <c r="AQ580" s="1">
        <v>44923228</v>
      </c>
      <c r="AR580" s="1">
        <v>14247412</v>
      </c>
      <c r="AS580" s="1">
        <v>2137112</v>
      </c>
      <c r="AT580" s="3">
        <f t="shared" si="62"/>
        <v>89457013</v>
      </c>
    </row>
    <row r="581" spans="1:46" x14ac:dyDescent="0.2">
      <c r="A581" s="1" t="str">
        <f>"00671"</f>
        <v>00671</v>
      </c>
      <c r="B581" s="1" t="str">
        <f>"مهدي"</f>
        <v>مهدي</v>
      </c>
      <c r="C581" s="1" t="str">
        <f>"طاهري نيا"</f>
        <v>طاهري نيا</v>
      </c>
      <c r="D581" s="1" t="str">
        <f>"قراردادي کارگري"</f>
        <v>قراردادي کارگري</v>
      </c>
      <c r="E581" s="1" t="str">
        <f t="shared" si="61"/>
        <v>پروژه تعميرات نيروگاه بوشهر</v>
      </c>
      <c r="F581" s="1">
        <v>0</v>
      </c>
      <c r="G581" s="1">
        <v>6113564</v>
      </c>
      <c r="H581" s="1">
        <v>0</v>
      </c>
      <c r="I581" s="1">
        <v>6677306</v>
      </c>
      <c r="J581" s="1">
        <v>0</v>
      </c>
      <c r="K581" s="1">
        <v>0</v>
      </c>
      <c r="L581" s="1">
        <v>11521166</v>
      </c>
      <c r="M581" s="1">
        <v>2000000</v>
      </c>
      <c r="N581" s="1">
        <v>5015817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2640000</v>
      </c>
      <c r="U581" s="1">
        <v>0</v>
      </c>
      <c r="V581" s="1">
        <v>8637215</v>
      </c>
      <c r="W581" s="1">
        <v>4000000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1835427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57845151</v>
      </c>
      <c r="AP581" s="1">
        <v>7611928</v>
      </c>
      <c r="AQ581" s="1">
        <v>50233223</v>
      </c>
      <c r="AR581" s="1">
        <v>11201945</v>
      </c>
      <c r="AS581" s="1">
        <v>1680292</v>
      </c>
      <c r="AT581" s="3">
        <f t="shared" si="62"/>
        <v>70727388</v>
      </c>
    </row>
    <row r="582" spans="1:46" x14ac:dyDescent="0.2">
      <c r="A582" s="1" t="str">
        <f>"00672"</f>
        <v>00672</v>
      </c>
      <c r="B582" s="1" t="str">
        <f>"محسن"</f>
        <v>محسن</v>
      </c>
      <c r="C582" s="1" t="str">
        <f>"عباس پور بحراني"</f>
        <v>عباس پور بحراني</v>
      </c>
      <c r="D582" s="1" t="str">
        <f>"قراردادي بهره بردار"</f>
        <v>قراردادي بهره بردار</v>
      </c>
      <c r="E582" s="1" t="str">
        <f t="shared" si="61"/>
        <v>پروژه تعميرات نيروگاه بوشهر</v>
      </c>
      <c r="F582" s="1">
        <v>17012608</v>
      </c>
      <c r="G582" s="1">
        <v>7569592</v>
      </c>
      <c r="H582" s="1">
        <v>0</v>
      </c>
      <c r="I582" s="1">
        <v>15265138</v>
      </c>
      <c r="J582" s="1">
        <v>0</v>
      </c>
      <c r="K582" s="1">
        <v>3465000</v>
      </c>
      <c r="L582" s="1">
        <v>0</v>
      </c>
      <c r="M582" s="1">
        <v>1000000</v>
      </c>
      <c r="N582" s="1">
        <v>3331226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14185528</v>
      </c>
      <c r="W582" s="1">
        <v>4000000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2617392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10689248</v>
      </c>
      <c r="AM582" s="1">
        <v>0</v>
      </c>
      <c r="AN582" s="1">
        <v>0</v>
      </c>
      <c r="AO582" s="1">
        <v>79135732</v>
      </c>
      <c r="AP582" s="1">
        <v>29673187</v>
      </c>
      <c r="AQ582" s="1">
        <v>49462545</v>
      </c>
      <c r="AR582" s="1">
        <v>15827146</v>
      </c>
      <c r="AS582" s="1">
        <v>2374072</v>
      </c>
      <c r="AT582" s="3">
        <f t="shared" si="62"/>
        <v>97336950</v>
      </c>
    </row>
    <row r="583" spans="1:46" x14ac:dyDescent="0.2">
      <c r="A583" s="1" t="str">
        <f>"00674"</f>
        <v>00674</v>
      </c>
      <c r="B583" s="1" t="str">
        <f>"علي"</f>
        <v>علي</v>
      </c>
      <c r="C583" s="1" t="str">
        <f>"عدالت پور"</f>
        <v>عدالت پور</v>
      </c>
      <c r="D583" s="1" t="str">
        <f>"قراردادي کارگري"</f>
        <v>قراردادي کارگري</v>
      </c>
      <c r="E583" s="1" t="str">
        <f t="shared" si="61"/>
        <v>پروژه تعميرات نيروگاه بوشهر</v>
      </c>
      <c r="F583" s="1">
        <v>0</v>
      </c>
      <c r="G583" s="1">
        <v>13879080</v>
      </c>
      <c r="H583" s="1">
        <v>0</v>
      </c>
      <c r="I583" s="1">
        <v>5936724</v>
      </c>
      <c r="J583" s="1">
        <v>0</v>
      </c>
      <c r="K583" s="1">
        <v>0</v>
      </c>
      <c r="L583" s="1">
        <v>11521166</v>
      </c>
      <c r="M583" s="1">
        <v>2000000</v>
      </c>
      <c r="N583" s="1">
        <v>4166122</v>
      </c>
      <c r="O583" s="1">
        <v>0</v>
      </c>
      <c r="P583" s="1">
        <v>0</v>
      </c>
      <c r="Q583" s="1">
        <v>0</v>
      </c>
      <c r="R583" s="1">
        <v>170940</v>
      </c>
      <c r="S583" s="1">
        <v>0</v>
      </c>
      <c r="T583" s="1">
        <v>2640000</v>
      </c>
      <c r="U583" s="1">
        <v>0</v>
      </c>
      <c r="V583" s="1">
        <v>11436686</v>
      </c>
      <c r="W583" s="1">
        <v>4000000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63666350</v>
      </c>
      <c r="AP583" s="1">
        <v>8022152</v>
      </c>
      <c r="AQ583" s="1">
        <v>55644198</v>
      </c>
      <c r="AR583" s="1">
        <v>12699082</v>
      </c>
      <c r="AS583" s="1">
        <v>1904862</v>
      </c>
      <c r="AT583" s="3">
        <f t="shared" si="62"/>
        <v>78270294</v>
      </c>
    </row>
    <row r="584" spans="1:46" x14ac:dyDescent="0.2">
      <c r="A584" s="1" t="str">
        <f>"00675"</f>
        <v>00675</v>
      </c>
      <c r="B584" s="1" t="str">
        <f>"قاسم"</f>
        <v>قاسم</v>
      </c>
      <c r="C584" s="1" t="str">
        <f>"علوي"</f>
        <v>علوي</v>
      </c>
      <c r="D584" s="1" t="str">
        <f>"قراردادي کارگري"</f>
        <v>قراردادي کارگري</v>
      </c>
      <c r="E584" s="1" t="str">
        <f t="shared" si="61"/>
        <v>پروژه تعميرات نيروگاه بوشهر</v>
      </c>
      <c r="F584" s="1">
        <v>0</v>
      </c>
      <c r="G584" s="1">
        <v>11457328</v>
      </c>
      <c r="H584" s="1">
        <v>0</v>
      </c>
      <c r="I584" s="1">
        <v>5840712</v>
      </c>
      <c r="J584" s="1">
        <v>0</v>
      </c>
      <c r="K584" s="1">
        <v>0</v>
      </c>
      <c r="L584" s="1">
        <v>11521166</v>
      </c>
      <c r="M584" s="1">
        <v>2000000</v>
      </c>
      <c r="N584" s="1">
        <v>4098746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2640000</v>
      </c>
      <c r="U584" s="1">
        <v>0</v>
      </c>
      <c r="V584" s="1">
        <v>11343437</v>
      </c>
      <c r="W584" s="1">
        <v>4000000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1835427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62524432</v>
      </c>
      <c r="AP584" s="1">
        <v>8374650</v>
      </c>
      <c r="AQ584" s="1">
        <v>54149782</v>
      </c>
      <c r="AR584" s="1">
        <v>12137801</v>
      </c>
      <c r="AS584" s="1">
        <v>1820670</v>
      </c>
      <c r="AT584" s="3">
        <f t="shared" si="62"/>
        <v>76482903</v>
      </c>
    </row>
    <row r="585" spans="1:46" x14ac:dyDescent="0.2">
      <c r="A585" s="1" t="str">
        <f>"00676"</f>
        <v>00676</v>
      </c>
      <c r="B585" s="1" t="str">
        <f>"ياسين"</f>
        <v>ياسين</v>
      </c>
      <c r="C585" s="1" t="str">
        <f>"علوي راد"</f>
        <v>علوي راد</v>
      </c>
      <c r="D585" s="1" t="str">
        <f>"قراردادي کارگري"</f>
        <v>قراردادي کارگري</v>
      </c>
      <c r="E585" s="1" t="str">
        <f t="shared" si="61"/>
        <v>پروژه تعميرات نيروگاه بوشهر</v>
      </c>
      <c r="F585" s="1">
        <v>0</v>
      </c>
      <c r="G585" s="1">
        <v>10241024</v>
      </c>
      <c r="H585" s="1">
        <v>0</v>
      </c>
      <c r="I585" s="1">
        <v>5771370</v>
      </c>
      <c r="J585" s="1">
        <v>0</v>
      </c>
      <c r="K585" s="1">
        <v>0</v>
      </c>
      <c r="L585" s="1">
        <v>11521166</v>
      </c>
      <c r="M585" s="1">
        <v>2000000</v>
      </c>
      <c r="N585" s="1">
        <v>4050085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2640000</v>
      </c>
      <c r="U585" s="1">
        <v>0</v>
      </c>
      <c r="V585" s="1">
        <v>11276090</v>
      </c>
      <c r="W585" s="1">
        <v>4000000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4355667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63550563</v>
      </c>
      <c r="AP585" s="1">
        <v>12741106</v>
      </c>
      <c r="AQ585" s="1">
        <v>50809457</v>
      </c>
      <c r="AR585" s="1">
        <v>12710113</v>
      </c>
      <c r="AS585" s="1">
        <v>1906517</v>
      </c>
      <c r="AT585" s="3">
        <f t="shared" si="62"/>
        <v>78167193</v>
      </c>
    </row>
    <row r="586" spans="1:46" x14ac:dyDescent="0.2">
      <c r="A586" s="1" t="str">
        <f>"00677"</f>
        <v>00677</v>
      </c>
      <c r="B586" s="1" t="str">
        <f>"رضا"</f>
        <v>رضا</v>
      </c>
      <c r="C586" s="1" t="str">
        <f>"ابراهيمي"</f>
        <v>ابراهيمي</v>
      </c>
      <c r="D586" s="1" t="str">
        <f>"قراردادي کارگري"</f>
        <v>قراردادي کارگري</v>
      </c>
      <c r="E586" s="1" t="str">
        <f t="shared" si="61"/>
        <v>پروژه تعميرات نيروگاه بوشهر</v>
      </c>
      <c r="F586" s="1">
        <v>0</v>
      </c>
      <c r="G586" s="1">
        <v>7462187</v>
      </c>
      <c r="H586" s="1">
        <v>0</v>
      </c>
      <c r="I586" s="1">
        <v>8834106</v>
      </c>
      <c r="J586" s="1">
        <v>0</v>
      </c>
      <c r="K586" s="1">
        <v>0</v>
      </c>
      <c r="L586" s="1">
        <v>11331151</v>
      </c>
      <c r="M586" s="1">
        <v>2000000</v>
      </c>
      <c r="N586" s="1">
        <v>5707710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2640000</v>
      </c>
      <c r="U586" s="1">
        <v>0</v>
      </c>
      <c r="V586" s="1">
        <v>13710805</v>
      </c>
      <c r="W586" s="1">
        <v>4000000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66459259</v>
      </c>
      <c r="AP586" s="1">
        <v>12317767</v>
      </c>
      <c r="AQ586" s="1">
        <v>54141492</v>
      </c>
      <c r="AR586" s="1">
        <v>13291852</v>
      </c>
      <c r="AS586" s="1">
        <v>1993778</v>
      </c>
      <c r="AT586" s="3">
        <f t="shared" si="62"/>
        <v>81744889</v>
      </c>
    </row>
    <row r="587" spans="1:46" x14ac:dyDescent="0.2">
      <c r="A587" s="1" t="str">
        <f>"00680"</f>
        <v>00680</v>
      </c>
      <c r="B587" s="1" t="str">
        <f>"سجاد"</f>
        <v>سجاد</v>
      </c>
      <c r="C587" s="1" t="str">
        <f>"ارمي"</f>
        <v>ارمي</v>
      </c>
      <c r="D587" s="1" t="str">
        <f>"قراردادي کارگري"</f>
        <v>قراردادي کارگري</v>
      </c>
      <c r="E587" s="1" t="str">
        <f t="shared" si="61"/>
        <v>پروژه تعميرات نيروگاه بوشهر</v>
      </c>
      <c r="F587" s="1">
        <v>0</v>
      </c>
      <c r="G587" s="1">
        <v>8656513</v>
      </c>
      <c r="H587" s="1">
        <v>0</v>
      </c>
      <c r="I587" s="1">
        <v>5362432</v>
      </c>
      <c r="J587" s="1">
        <v>0</v>
      </c>
      <c r="K587" s="1">
        <v>0</v>
      </c>
      <c r="L587" s="1">
        <v>11521166</v>
      </c>
      <c r="M587" s="1">
        <v>2000000</v>
      </c>
      <c r="N587" s="1">
        <v>4342050</v>
      </c>
      <c r="O587" s="1">
        <v>0</v>
      </c>
      <c r="P587" s="1">
        <v>0</v>
      </c>
      <c r="Q587" s="1">
        <v>0</v>
      </c>
      <c r="R587" s="1">
        <v>730750</v>
      </c>
      <c r="S587" s="1">
        <v>0</v>
      </c>
      <c r="T587" s="1">
        <v>2640000</v>
      </c>
      <c r="U587" s="1">
        <v>0</v>
      </c>
      <c r="V587" s="1">
        <v>11416174</v>
      </c>
      <c r="W587" s="1">
        <v>4000000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4421331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63340312</v>
      </c>
      <c r="AP587" s="1">
        <v>13455908</v>
      </c>
      <c r="AQ587" s="1">
        <v>49884404</v>
      </c>
      <c r="AR587" s="1">
        <v>12521912</v>
      </c>
      <c r="AS587" s="1">
        <v>1878287</v>
      </c>
      <c r="AT587" s="3">
        <f t="shared" si="62"/>
        <v>77740511</v>
      </c>
    </row>
    <row r="588" spans="1:46" x14ac:dyDescent="0.2">
      <c r="A588" s="1" t="str">
        <f>"00681"</f>
        <v>00681</v>
      </c>
      <c r="B588" s="1" t="str">
        <f>"علي"</f>
        <v>علي</v>
      </c>
      <c r="C588" s="1" t="str">
        <f>"اسمعيلي"</f>
        <v>اسمعيلي</v>
      </c>
      <c r="D588" s="1" t="str">
        <f>"قراردادي بهره بردار"</f>
        <v>قراردادي بهره بردار</v>
      </c>
      <c r="E588" s="1" t="str">
        <f>"پروژه بهره برداري نيروگاه بوشهر"</f>
        <v>پروژه بهره برداري نيروگاه بوشهر</v>
      </c>
      <c r="F588" s="1">
        <v>16140942</v>
      </c>
      <c r="G588" s="1">
        <v>9768511</v>
      </c>
      <c r="H588" s="1">
        <v>0</v>
      </c>
      <c r="I588" s="1">
        <v>12490408</v>
      </c>
      <c r="J588" s="1">
        <v>0</v>
      </c>
      <c r="K588" s="1">
        <v>4620000</v>
      </c>
      <c r="L588" s="1">
        <v>0</v>
      </c>
      <c r="M588" s="1">
        <v>1000000</v>
      </c>
      <c r="N588" s="1">
        <v>3026144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4840341</v>
      </c>
      <c r="W588" s="1">
        <v>4000000</v>
      </c>
      <c r="X588" s="1">
        <v>2343040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2377683</v>
      </c>
      <c r="AF588" s="1">
        <v>1835427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14368234</v>
      </c>
      <c r="AM588" s="1">
        <v>0</v>
      </c>
      <c r="AN588" s="1">
        <v>0</v>
      </c>
      <c r="AO588" s="1">
        <v>76810730</v>
      </c>
      <c r="AP588" s="1">
        <v>28008102</v>
      </c>
      <c r="AQ588" s="1">
        <v>48802628</v>
      </c>
      <c r="AR588" s="1">
        <v>14995061</v>
      </c>
      <c r="AS588" s="1">
        <v>2249259</v>
      </c>
      <c r="AT588" s="3">
        <f t="shared" si="62"/>
        <v>94055050</v>
      </c>
    </row>
    <row r="589" spans="1:46" x14ac:dyDescent="0.2">
      <c r="A589" s="1" t="str">
        <f>"00682"</f>
        <v>00682</v>
      </c>
      <c r="B589" s="1" t="str">
        <f>"محمد"</f>
        <v>محمد</v>
      </c>
      <c r="C589" s="1" t="str">
        <f>"افتخار"</f>
        <v>افتخار</v>
      </c>
      <c r="D589" s="1" t="str">
        <f>"قراردادي کارگري"</f>
        <v>قراردادي کارگري</v>
      </c>
      <c r="E589" s="1" t="str">
        <f t="shared" ref="E589:E602" si="63">"پروژه تعميرات نيروگاه بوشهر"</f>
        <v>پروژه تعميرات نيروگاه بوشهر</v>
      </c>
      <c r="F589" s="1">
        <v>0</v>
      </c>
      <c r="G589" s="1">
        <v>5025514</v>
      </c>
      <c r="H589" s="1">
        <v>0</v>
      </c>
      <c r="I589" s="1">
        <v>6378876</v>
      </c>
      <c r="J589" s="1">
        <v>0</v>
      </c>
      <c r="K589" s="1">
        <v>0</v>
      </c>
      <c r="L589" s="1">
        <v>11521166</v>
      </c>
      <c r="M589" s="1">
        <v>2000000</v>
      </c>
      <c r="N589" s="1">
        <v>4937211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2640000</v>
      </c>
      <c r="U589" s="1">
        <v>0</v>
      </c>
      <c r="V589" s="1">
        <v>12293744</v>
      </c>
      <c r="W589" s="1">
        <v>4000000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3670854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61848065</v>
      </c>
      <c r="AP589" s="1">
        <v>12323217</v>
      </c>
      <c r="AQ589" s="1">
        <v>49524848</v>
      </c>
      <c r="AR589" s="1">
        <v>11635442</v>
      </c>
      <c r="AS589" s="1">
        <v>1745316</v>
      </c>
      <c r="AT589" s="3">
        <f t="shared" si="62"/>
        <v>75228823</v>
      </c>
    </row>
    <row r="590" spans="1:46" x14ac:dyDescent="0.2">
      <c r="A590" s="1" t="str">
        <f>"00684"</f>
        <v>00684</v>
      </c>
      <c r="B590" s="1" t="str">
        <f>"مسعود"</f>
        <v>مسعود</v>
      </c>
      <c r="C590" s="1" t="str">
        <f>"اميني"</f>
        <v>اميني</v>
      </c>
      <c r="D590" s="1" t="str">
        <f>"قراردادي بهره بردار"</f>
        <v>قراردادي بهره بردار</v>
      </c>
      <c r="E590" s="1" t="str">
        <f t="shared" si="63"/>
        <v>پروژه تعميرات نيروگاه بوشهر</v>
      </c>
      <c r="F590" s="1">
        <v>13654425</v>
      </c>
      <c r="G590" s="1">
        <v>0</v>
      </c>
      <c r="H590" s="1">
        <v>0</v>
      </c>
      <c r="I590" s="1">
        <v>12442704</v>
      </c>
      <c r="J590" s="1">
        <v>0</v>
      </c>
      <c r="K590" s="1">
        <v>4620000</v>
      </c>
      <c r="L590" s="1">
        <v>0</v>
      </c>
      <c r="M590" s="1">
        <v>1000000</v>
      </c>
      <c r="N590" s="1">
        <v>2451246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3313570</v>
      </c>
      <c r="W590" s="1">
        <v>4000000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1925979</v>
      </c>
      <c r="AF590" s="1">
        <v>1835427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2661353</v>
      </c>
      <c r="AM590" s="1">
        <v>0</v>
      </c>
      <c r="AN590" s="1">
        <v>0</v>
      </c>
      <c r="AO590" s="1">
        <v>47904704</v>
      </c>
      <c r="AP590" s="1">
        <v>8440035</v>
      </c>
      <c r="AQ590" s="1">
        <v>39464669</v>
      </c>
      <c r="AR590" s="1">
        <v>9213855</v>
      </c>
      <c r="AS590" s="1">
        <v>1382078</v>
      </c>
      <c r="AT590" s="3">
        <f t="shared" si="62"/>
        <v>58500637</v>
      </c>
    </row>
    <row r="591" spans="1:46" x14ac:dyDescent="0.2">
      <c r="A591" s="1" t="str">
        <f>"00685"</f>
        <v>00685</v>
      </c>
      <c r="B591" s="1" t="str">
        <f>"مهران"</f>
        <v>مهران</v>
      </c>
      <c r="C591" s="1" t="str">
        <f>"اميني"</f>
        <v>اميني</v>
      </c>
      <c r="D591" s="1" t="str">
        <f t="shared" ref="D591:D602" si="64">"قراردادي کارگري"</f>
        <v>قراردادي کارگري</v>
      </c>
      <c r="E591" s="1" t="str">
        <f t="shared" si="63"/>
        <v>پروژه تعميرات نيروگاه بوشهر</v>
      </c>
      <c r="F591" s="1">
        <v>0</v>
      </c>
      <c r="G591" s="1">
        <v>1600268</v>
      </c>
      <c r="H591" s="1">
        <v>0</v>
      </c>
      <c r="I591" s="1">
        <v>10265928</v>
      </c>
      <c r="J591" s="1">
        <v>0</v>
      </c>
      <c r="K591" s="1">
        <v>0</v>
      </c>
      <c r="L591" s="1">
        <v>11331151</v>
      </c>
      <c r="M591" s="1">
        <v>2000000</v>
      </c>
      <c r="N591" s="1">
        <v>6596581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2640000</v>
      </c>
      <c r="U591" s="1">
        <v>0</v>
      </c>
      <c r="V591" s="1">
        <v>16132976</v>
      </c>
      <c r="W591" s="1">
        <v>4000000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1835427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68770919</v>
      </c>
      <c r="AP591" s="1">
        <v>11531228</v>
      </c>
      <c r="AQ591" s="1">
        <v>57239691</v>
      </c>
      <c r="AR591" s="1">
        <v>13387098</v>
      </c>
      <c r="AS591" s="1">
        <v>2008065</v>
      </c>
      <c r="AT591" s="3">
        <f t="shared" si="62"/>
        <v>84166082</v>
      </c>
    </row>
    <row r="592" spans="1:46" x14ac:dyDescent="0.2">
      <c r="A592" s="1" t="str">
        <f>"00686"</f>
        <v>00686</v>
      </c>
      <c r="B592" s="1" t="str">
        <f>"مهدي"</f>
        <v>مهدي</v>
      </c>
      <c r="C592" s="1" t="str">
        <f>"باغباني"</f>
        <v>باغباني</v>
      </c>
      <c r="D592" s="1" t="str">
        <f t="shared" si="64"/>
        <v>قراردادي کارگري</v>
      </c>
      <c r="E592" s="1" t="str">
        <f t="shared" si="63"/>
        <v>پروژه تعميرات نيروگاه بوشهر</v>
      </c>
      <c r="F592" s="1">
        <v>0</v>
      </c>
      <c r="G592" s="1">
        <v>0</v>
      </c>
      <c r="H592" s="1">
        <v>0</v>
      </c>
      <c r="I592" s="1">
        <v>6983167</v>
      </c>
      <c r="J592" s="1">
        <v>0</v>
      </c>
      <c r="K592" s="1">
        <v>0</v>
      </c>
      <c r="L592" s="1">
        <v>11521166</v>
      </c>
      <c r="M592" s="1">
        <v>2000000</v>
      </c>
      <c r="N592" s="1">
        <v>5397618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2640000</v>
      </c>
      <c r="U592" s="1">
        <v>0</v>
      </c>
      <c r="V592" s="1">
        <v>13876757</v>
      </c>
      <c r="W592" s="1">
        <v>4000000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3670854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60210095</v>
      </c>
      <c r="AP592" s="1">
        <v>10922140</v>
      </c>
      <c r="AQ592" s="1">
        <v>49287955</v>
      </c>
      <c r="AR592" s="1">
        <v>11307848</v>
      </c>
      <c r="AS592" s="1">
        <v>1696177</v>
      </c>
      <c r="AT592" s="3">
        <f t="shared" si="62"/>
        <v>73214120</v>
      </c>
    </row>
    <row r="593" spans="1:46" x14ac:dyDescent="0.2">
      <c r="A593" s="1" t="str">
        <f>"00687"</f>
        <v>00687</v>
      </c>
      <c r="B593" s="1" t="str">
        <f>"احسان"</f>
        <v>احسان</v>
      </c>
      <c r="C593" s="1" t="str">
        <f>"بختياري فرد"</f>
        <v>بختياري فرد</v>
      </c>
      <c r="D593" s="1" t="str">
        <f t="shared" si="64"/>
        <v>قراردادي کارگري</v>
      </c>
      <c r="E593" s="1" t="str">
        <f t="shared" si="63"/>
        <v>پروژه تعميرات نيروگاه بوشهر</v>
      </c>
      <c r="F593" s="1">
        <v>0</v>
      </c>
      <c r="G593" s="1">
        <v>2823900</v>
      </c>
      <c r="H593" s="1">
        <v>0</v>
      </c>
      <c r="I593" s="1">
        <v>7503231</v>
      </c>
      <c r="J593" s="1">
        <v>0</v>
      </c>
      <c r="K593" s="1">
        <v>0</v>
      </c>
      <c r="L593" s="1">
        <v>11545706</v>
      </c>
      <c r="M593" s="1">
        <v>2000000</v>
      </c>
      <c r="N593" s="1">
        <v>5521141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2640000</v>
      </c>
      <c r="U593" s="1">
        <v>0</v>
      </c>
      <c r="V593" s="1">
        <v>9473983</v>
      </c>
      <c r="W593" s="1">
        <v>4000000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3670854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59599970</v>
      </c>
      <c r="AP593" s="1">
        <v>6736199</v>
      </c>
      <c r="AQ593" s="1">
        <v>52863771</v>
      </c>
      <c r="AR593" s="1">
        <v>11185823</v>
      </c>
      <c r="AS593" s="1">
        <v>1677873</v>
      </c>
      <c r="AT593" s="3">
        <f t="shared" si="62"/>
        <v>72463666</v>
      </c>
    </row>
    <row r="594" spans="1:46" x14ac:dyDescent="0.2">
      <c r="A594" s="1" t="str">
        <f>"00688"</f>
        <v>00688</v>
      </c>
      <c r="B594" s="1" t="str">
        <f>"محمد"</f>
        <v>محمد</v>
      </c>
      <c r="C594" s="1" t="str">
        <f>"برگهي"</f>
        <v>برگهي</v>
      </c>
      <c r="D594" s="1" t="str">
        <f t="shared" si="64"/>
        <v>قراردادي کارگري</v>
      </c>
      <c r="E594" s="1" t="str">
        <f t="shared" si="63"/>
        <v>پروژه تعميرات نيروگاه بوشهر</v>
      </c>
      <c r="F594" s="1">
        <v>0</v>
      </c>
      <c r="G594" s="1">
        <v>10924466</v>
      </c>
      <c r="H594" s="1">
        <v>0</v>
      </c>
      <c r="I594" s="1">
        <v>5443366</v>
      </c>
      <c r="J594" s="1">
        <v>0</v>
      </c>
      <c r="K594" s="1">
        <v>0</v>
      </c>
      <c r="L594" s="1">
        <v>11555082</v>
      </c>
      <c r="M594" s="1">
        <v>2000000</v>
      </c>
      <c r="N594" s="1">
        <v>4035112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2640000</v>
      </c>
      <c r="U594" s="1">
        <v>0</v>
      </c>
      <c r="V594" s="1">
        <v>12040594</v>
      </c>
      <c r="W594" s="1">
        <v>4000000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4305041</v>
      </c>
      <c r="AE594" s="1">
        <v>0</v>
      </c>
      <c r="AF594" s="1">
        <v>3670854</v>
      </c>
      <c r="AG594" s="1">
        <v>0</v>
      </c>
      <c r="AH594" s="1">
        <v>0</v>
      </c>
      <c r="AI594" s="1">
        <v>0</v>
      </c>
      <c r="AJ594" s="1">
        <v>7359641</v>
      </c>
      <c r="AK594" s="1">
        <v>0</v>
      </c>
      <c r="AL594" s="1">
        <v>0</v>
      </c>
      <c r="AM594" s="1">
        <v>0</v>
      </c>
      <c r="AN594" s="1">
        <v>0</v>
      </c>
      <c r="AO594" s="1">
        <v>75640869</v>
      </c>
      <c r="AP594" s="1">
        <v>18678958</v>
      </c>
      <c r="AQ594" s="1">
        <v>56961911</v>
      </c>
      <c r="AR594" s="1">
        <v>14394003</v>
      </c>
      <c r="AS594" s="1">
        <v>2159100</v>
      </c>
      <c r="AT594" s="3">
        <f t="shared" si="62"/>
        <v>92193972</v>
      </c>
    </row>
    <row r="595" spans="1:46" x14ac:dyDescent="0.2">
      <c r="A595" s="1" t="str">
        <f>"00689"</f>
        <v>00689</v>
      </c>
      <c r="B595" s="1" t="str">
        <f>"فرشيد"</f>
        <v>فرشيد</v>
      </c>
      <c r="C595" s="1" t="str">
        <f>"بوشهريان"</f>
        <v>بوشهريان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0</v>
      </c>
      <c r="G595" s="1">
        <v>5644908</v>
      </c>
      <c r="H595" s="1">
        <v>0</v>
      </c>
      <c r="I595" s="1">
        <v>5566785</v>
      </c>
      <c r="J595" s="1">
        <v>0</v>
      </c>
      <c r="K595" s="1">
        <v>0</v>
      </c>
      <c r="L595" s="1">
        <v>11572430</v>
      </c>
      <c r="M595" s="1">
        <v>2000000</v>
      </c>
      <c r="N595" s="1">
        <v>4418083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2640000</v>
      </c>
      <c r="U595" s="1">
        <v>0</v>
      </c>
      <c r="V595" s="1">
        <v>11709908</v>
      </c>
      <c r="W595" s="1">
        <v>4000000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5506281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61894561</v>
      </c>
      <c r="AP595" s="1">
        <v>6701519</v>
      </c>
      <c r="AQ595" s="1">
        <v>55193042</v>
      </c>
      <c r="AR595" s="1">
        <v>11277656</v>
      </c>
      <c r="AS595" s="1">
        <v>1691648</v>
      </c>
      <c r="AT595" s="3">
        <f t="shared" si="62"/>
        <v>74863865</v>
      </c>
    </row>
    <row r="596" spans="1:46" x14ac:dyDescent="0.2">
      <c r="A596" s="1" t="str">
        <f>"00690"</f>
        <v>00690</v>
      </c>
      <c r="B596" s="1" t="str">
        <f>"بهروز"</f>
        <v>بهروز</v>
      </c>
      <c r="C596" s="1" t="str">
        <f>"پرويز"</f>
        <v>پرويز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0</v>
      </c>
      <c r="G596" s="1">
        <v>7360369</v>
      </c>
      <c r="H596" s="1">
        <v>0</v>
      </c>
      <c r="I596" s="1">
        <v>5243093</v>
      </c>
      <c r="J596" s="1">
        <v>0</v>
      </c>
      <c r="K596" s="1">
        <v>0</v>
      </c>
      <c r="L596" s="1">
        <v>11521166</v>
      </c>
      <c r="M596" s="1">
        <v>2000000</v>
      </c>
      <c r="N596" s="1">
        <v>4181095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2640000</v>
      </c>
      <c r="U596" s="1">
        <v>0</v>
      </c>
      <c r="V596" s="1">
        <v>11228619</v>
      </c>
      <c r="W596" s="1">
        <v>4000000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56118423</v>
      </c>
      <c r="AP596" s="1">
        <v>14150016</v>
      </c>
      <c r="AQ596" s="1">
        <v>41968407</v>
      </c>
      <c r="AR596" s="1">
        <v>11223685</v>
      </c>
      <c r="AS596" s="1">
        <v>1683553</v>
      </c>
      <c r="AT596" s="3">
        <f t="shared" si="62"/>
        <v>69025661</v>
      </c>
    </row>
    <row r="597" spans="1:46" x14ac:dyDescent="0.2">
      <c r="A597" s="1" t="str">
        <f>"00691"</f>
        <v>00691</v>
      </c>
      <c r="B597" s="1" t="str">
        <f>"محمود"</f>
        <v>محمود</v>
      </c>
      <c r="C597" s="1" t="str">
        <f>"تمجيدي"</f>
        <v>تمجيدي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0</v>
      </c>
      <c r="G597" s="1">
        <v>0</v>
      </c>
      <c r="H597" s="1">
        <v>0</v>
      </c>
      <c r="I597" s="1">
        <v>6727861</v>
      </c>
      <c r="J597" s="1">
        <v>0</v>
      </c>
      <c r="K597" s="1">
        <v>0</v>
      </c>
      <c r="L597" s="1">
        <v>11521166</v>
      </c>
      <c r="M597" s="1">
        <v>2000000</v>
      </c>
      <c r="N597" s="1">
        <v>5131854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2640000</v>
      </c>
      <c r="U597" s="1">
        <v>0</v>
      </c>
      <c r="V597" s="1">
        <v>13569334</v>
      </c>
      <c r="W597" s="1">
        <v>4000000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3670854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59011592</v>
      </c>
      <c r="AP597" s="1">
        <v>5677626</v>
      </c>
      <c r="AQ597" s="1">
        <v>53333966</v>
      </c>
      <c r="AR597" s="1">
        <v>11068148</v>
      </c>
      <c r="AS597" s="1">
        <v>1660222</v>
      </c>
      <c r="AT597" s="3">
        <f t="shared" si="62"/>
        <v>71739962</v>
      </c>
    </row>
    <row r="598" spans="1:46" x14ac:dyDescent="0.2">
      <c r="A598" s="1" t="str">
        <f>"00692"</f>
        <v>00692</v>
      </c>
      <c r="B598" s="1" t="str">
        <f>"محمد"</f>
        <v>محمد</v>
      </c>
      <c r="C598" s="1" t="str">
        <f>"تيموري"</f>
        <v>تيموري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0</v>
      </c>
      <c r="G598" s="1">
        <v>9403109</v>
      </c>
      <c r="H598" s="1">
        <v>0</v>
      </c>
      <c r="I598" s="1">
        <v>9118574</v>
      </c>
      <c r="J598" s="1">
        <v>0</v>
      </c>
      <c r="K598" s="1">
        <v>0</v>
      </c>
      <c r="L598" s="1">
        <v>11331151</v>
      </c>
      <c r="M598" s="1">
        <v>2000000</v>
      </c>
      <c r="N598" s="1">
        <v>6003999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2640000</v>
      </c>
      <c r="U598" s="1">
        <v>0</v>
      </c>
      <c r="V598" s="1">
        <v>9880024</v>
      </c>
      <c r="W598" s="1">
        <v>4000000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3670854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69305209</v>
      </c>
      <c r="AP598" s="1">
        <v>13479834</v>
      </c>
      <c r="AQ598" s="1">
        <v>55825375</v>
      </c>
      <c r="AR598" s="1">
        <v>13126871</v>
      </c>
      <c r="AS598" s="1">
        <v>1969031</v>
      </c>
      <c r="AT598" s="3">
        <f t="shared" si="62"/>
        <v>84401111</v>
      </c>
    </row>
    <row r="599" spans="1:46" x14ac:dyDescent="0.2">
      <c r="A599" s="1" t="str">
        <f>"00693"</f>
        <v>00693</v>
      </c>
      <c r="B599" s="1" t="str">
        <f>"قاسم"</f>
        <v>قاسم</v>
      </c>
      <c r="C599" s="1" t="str">
        <f>"جالبوتي"</f>
        <v>جالبوتي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0</v>
      </c>
      <c r="G599" s="1">
        <v>3723986</v>
      </c>
      <c r="H599" s="1">
        <v>0</v>
      </c>
      <c r="I599" s="1">
        <v>6277885</v>
      </c>
      <c r="J599" s="1">
        <v>0</v>
      </c>
      <c r="K599" s="1">
        <v>0</v>
      </c>
      <c r="L599" s="1">
        <v>11521166</v>
      </c>
      <c r="M599" s="1">
        <v>2000000</v>
      </c>
      <c r="N599" s="1">
        <v>4589097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2640000</v>
      </c>
      <c r="U599" s="1">
        <v>0</v>
      </c>
      <c r="V599" s="1">
        <v>12871065</v>
      </c>
      <c r="W599" s="1">
        <v>4000000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3670854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60013339</v>
      </c>
      <c r="AP599" s="1">
        <v>12765348</v>
      </c>
      <c r="AQ599" s="1">
        <v>47247991</v>
      </c>
      <c r="AR599" s="1">
        <v>11268497</v>
      </c>
      <c r="AS599" s="1">
        <v>1690275</v>
      </c>
      <c r="AT599" s="3">
        <f t="shared" si="62"/>
        <v>72972111</v>
      </c>
    </row>
    <row r="600" spans="1:46" x14ac:dyDescent="0.2">
      <c r="A600" s="1" t="str">
        <f>"00695"</f>
        <v>00695</v>
      </c>
      <c r="B600" s="1" t="str">
        <f>"جليل"</f>
        <v>جليل</v>
      </c>
      <c r="C600" s="1" t="str">
        <f>"جمالي"</f>
        <v>جمالي</v>
      </c>
      <c r="D600" s="1" t="str">
        <f t="shared" si="64"/>
        <v>قراردادي کارگري</v>
      </c>
      <c r="E600" s="1" t="str">
        <f t="shared" si="63"/>
        <v>پروژه تعميرات نيروگاه بوشهر</v>
      </c>
      <c r="F600" s="1">
        <v>0</v>
      </c>
      <c r="G600" s="1">
        <v>9349952</v>
      </c>
      <c r="H600" s="1">
        <v>0</v>
      </c>
      <c r="I600" s="1">
        <v>9030690</v>
      </c>
      <c r="J600" s="1">
        <v>0</v>
      </c>
      <c r="K600" s="1">
        <v>0</v>
      </c>
      <c r="L600" s="1">
        <v>11331151</v>
      </c>
      <c r="M600" s="1">
        <v>2000000</v>
      </c>
      <c r="N600" s="1">
        <v>6020460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2640000</v>
      </c>
      <c r="U600" s="1">
        <v>0</v>
      </c>
      <c r="V600" s="1">
        <v>9651545</v>
      </c>
      <c r="W600" s="1">
        <v>4000000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1835427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67147586</v>
      </c>
      <c r="AP600" s="1">
        <v>9128225</v>
      </c>
      <c r="AQ600" s="1">
        <v>58019361</v>
      </c>
      <c r="AR600" s="1">
        <v>13062432</v>
      </c>
      <c r="AS600" s="1">
        <v>1959365</v>
      </c>
      <c r="AT600" s="3">
        <f t="shared" si="62"/>
        <v>82169383</v>
      </c>
    </row>
    <row r="601" spans="1:46" x14ac:dyDescent="0.2">
      <c r="A601" s="1" t="str">
        <f>"00697"</f>
        <v>00697</v>
      </c>
      <c r="B601" s="1" t="str">
        <f>"افضل"</f>
        <v>افضل</v>
      </c>
      <c r="C601" s="1" t="str">
        <f>"حسن پور"</f>
        <v>حسن پور</v>
      </c>
      <c r="D601" s="1" t="str">
        <f t="shared" si="64"/>
        <v>قراردادي کارگري</v>
      </c>
      <c r="E601" s="1" t="str">
        <f t="shared" si="63"/>
        <v>پروژه تعميرات نيروگاه بوشهر</v>
      </c>
      <c r="F601" s="1">
        <v>0</v>
      </c>
      <c r="G601" s="1">
        <v>3908700</v>
      </c>
      <c r="H601" s="1">
        <v>0</v>
      </c>
      <c r="I601" s="1">
        <v>8724831</v>
      </c>
      <c r="J601" s="1">
        <v>0</v>
      </c>
      <c r="K601" s="1">
        <v>0</v>
      </c>
      <c r="L601" s="1">
        <v>11331151</v>
      </c>
      <c r="M601" s="1">
        <v>2000000</v>
      </c>
      <c r="N601" s="1">
        <v>5744744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2640000</v>
      </c>
      <c r="U601" s="1">
        <v>0</v>
      </c>
      <c r="V601" s="1">
        <v>18819734</v>
      </c>
      <c r="W601" s="1">
        <v>4000000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5485818</v>
      </c>
      <c r="AE601" s="1">
        <v>0</v>
      </c>
      <c r="AF601" s="1">
        <v>3670854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77097228</v>
      </c>
      <c r="AP601" s="1">
        <v>11294186</v>
      </c>
      <c r="AQ601" s="1">
        <v>65803042</v>
      </c>
      <c r="AR601" s="1">
        <v>14685275</v>
      </c>
      <c r="AS601" s="1">
        <v>2202791</v>
      </c>
      <c r="AT601" s="3">
        <f t="shared" si="62"/>
        <v>93985294</v>
      </c>
    </row>
    <row r="602" spans="1:46" x14ac:dyDescent="0.2">
      <c r="A602" s="1" t="str">
        <f>"00698"</f>
        <v>00698</v>
      </c>
      <c r="B602" s="1" t="str">
        <f>"سيدعلي"</f>
        <v>سيدعلي</v>
      </c>
      <c r="C602" s="1" t="str">
        <f>"حسيني ملائي"</f>
        <v>حسيني ملائي</v>
      </c>
      <c r="D602" s="1" t="str">
        <f t="shared" si="64"/>
        <v>قراردادي کارگري</v>
      </c>
      <c r="E602" s="1" t="str">
        <f t="shared" si="63"/>
        <v>پروژه تعميرات نيروگاه بوشهر</v>
      </c>
      <c r="F602" s="1">
        <v>0</v>
      </c>
      <c r="G602" s="1">
        <v>10732525</v>
      </c>
      <c r="H602" s="1">
        <v>0</v>
      </c>
      <c r="I602" s="1">
        <v>8466414</v>
      </c>
      <c r="J602" s="1">
        <v>0</v>
      </c>
      <c r="K602" s="1">
        <v>0</v>
      </c>
      <c r="L602" s="1">
        <v>11521166</v>
      </c>
      <c r="M602" s="1">
        <v>2000000</v>
      </c>
      <c r="N602" s="1">
        <v>6030209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2640000</v>
      </c>
      <c r="U602" s="1">
        <v>0</v>
      </c>
      <c r="V602" s="1">
        <v>14671446</v>
      </c>
      <c r="W602" s="1">
        <v>4000000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1871573</v>
      </c>
      <c r="AD602" s="1">
        <v>0</v>
      </c>
      <c r="AE602" s="1">
        <v>0</v>
      </c>
      <c r="AF602" s="1">
        <v>3670854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77363095</v>
      </c>
      <c r="AP602" s="1">
        <v>14886907</v>
      </c>
      <c r="AQ602" s="1">
        <v>62476188</v>
      </c>
      <c r="AR602" s="1">
        <v>14738448</v>
      </c>
      <c r="AS602" s="1">
        <v>2210767</v>
      </c>
      <c r="AT602" s="3">
        <f t="shared" si="62"/>
        <v>94312310</v>
      </c>
    </row>
    <row r="603" spans="1:46" x14ac:dyDescent="0.2">
      <c r="A603" s="1" t="str">
        <f>"00699"</f>
        <v>00699</v>
      </c>
      <c r="B603" s="1" t="str">
        <f>"حسن"</f>
        <v>حسن</v>
      </c>
      <c r="C603" s="1" t="str">
        <f>"حيدريان"</f>
        <v>حيدريان</v>
      </c>
      <c r="D603" s="1" t="str">
        <f>"قراردادي بهره بردار"</f>
        <v>قراردادي بهره بردار</v>
      </c>
      <c r="E603" s="1" t="str">
        <f>"پروژه بهره برداري نيروگاه بوشهر"</f>
        <v>پروژه بهره برداري نيروگاه بوشهر</v>
      </c>
      <c r="F603" s="1">
        <v>14903982</v>
      </c>
      <c r="G603" s="1">
        <v>3296238</v>
      </c>
      <c r="H603" s="1">
        <v>0</v>
      </c>
      <c r="I603" s="1">
        <v>11175790</v>
      </c>
      <c r="J603" s="1">
        <v>0</v>
      </c>
      <c r="K603" s="1">
        <v>4620000</v>
      </c>
      <c r="L603" s="1">
        <v>0</v>
      </c>
      <c r="M603" s="1">
        <v>1000000</v>
      </c>
      <c r="N603" s="1">
        <v>2593207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9272141</v>
      </c>
      <c r="W603" s="1">
        <v>4000000</v>
      </c>
      <c r="X603" s="1">
        <v>2163481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2037519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11920036</v>
      </c>
      <c r="AM603" s="1">
        <v>0</v>
      </c>
      <c r="AN603" s="1">
        <v>0</v>
      </c>
      <c r="AO603" s="1">
        <v>66982394</v>
      </c>
      <c r="AP603" s="1">
        <v>8687943</v>
      </c>
      <c r="AQ603" s="1">
        <v>58294451</v>
      </c>
      <c r="AR603" s="1">
        <v>13396479</v>
      </c>
      <c r="AS603" s="1">
        <v>2009472</v>
      </c>
      <c r="AT603" s="3">
        <f t="shared" si="62"/>
        <v>82388345</v>
      </c>
    </row>
    <row r="604" spans="1:46" x14ac:dyDescent="0.2">
      <c r="A604" s="1" t="str">
        <f>"00700"</f>
        <v>00700</v>
      </c>
      <c r="B604" s="1" t="str">
        <f>"مصطفي"</f>
        <v>مصطفي</v>
      </c>
      <c r="C604" s="1" t="str">
        <f>"خاتومه"</f>
        <v>خاتومه</v>
      </c>
      <c r="D604" s="1" t="str">
        <f>"قراردادي کارگري"</f>
        <v>قراردادي کارگري</v>
      </c>
      <c r="E604" s="1" t="str">
        <f t="shared" ref="E604:E613" si="65">"پروژه تعميرات نيروگاه بوشهر"</f>
        <v>پروژه تعميرات نيروگاه بوشهر</v>
      </c>
      <c r="F604" s="1">
        <v>0</v>
      </c>
      <c r="G604" s="1">
        <v>5528889</v>
      </c>
      <c r="H604" s="1">
        <v>0</v>
      </c>
      <c r="I604" s="1">
        <v>4754784</v>
      </c>
      <c r="J604" s="1">
        <v>0</v>
      </c>
      <c r="K604" s="1">
        <v>0</v>
      </c>
      <c r="L604" s="1">
        <v>11523851</v>
      </c>
      <c r="M604" s="1">
        <v>2000000</v>
      </c>
      <c r="N604" s="1">
        <v>4102488</v>
      </c>
      <c r="O604" s="1">
        <v>0</v>
      </c>
      <c r="P604" s="1">
        <v>0</v>
      </c>
      <c r="Q604" s="1">
        <v>0</v>
      </c>
      <c r="R604" s="1">
        <v>1043447</v>
      </c>
      <c r="S604" s="1">
        <v>0</v>
      </c>
      <c r="T604" s="1">
        <v>2640000</v>
      </c>
      <c r="U604" s="1">
        <v>0</v>
      </c>
      <c r="V604" s="1">
        <v>11000273</v>
      </c>
      <c r="W604" s="1">
        <v>4000000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4226378</v>
      </c>
      <c r="AE604" s="1">
        <v>0</v>
      </c>
      <c r="AF604" s="1">
        <v>1835427</v>
      </c>
      <c r="AG604" s="1">
        <v>0</v>
      </c>
      <c r="AH604" s="1">
        <v>0</v>
      </c>
      <c r="AI604" s="1">
        <v>0</v>
      </c>
      <c r="AJ604" s="1">
        <v>7076977</v>
      </c>
      <c r="AK604" s="1">
        <v>0</v>
      </c>
      <c r="AL604" s="1">
        <v>0</v>
      </c>
      <c r="AM604" s="1">
        <v>0</v>
      </c>
      <c r="AN604" s="1">
        <v>0</v>
      </c>
      <c r="AO604" s="1">
        <v>67527243</v>
      </c>
      <c r="AP604" s="1">
        <v>10560663</v>
      </c>
      <c r="AQ604" s="1">
        <v>56966580</v>
      </c>
      <c r="AR604" s="1">
        <v>12929674</v>
      </c>
      <c r="AS604" s="1">
        <v>1939451</v>
      </c>
      <c r="AT604" s="3">
        <f t="shared" si="62"/>
        <v>82396368</v>
      </c>
    </row>
    <row r="605" spans="1:46" x14ac:dyDescent="0.2">
      <c r="A605" s="1" t="str">
        <f>"00701"</f>
        <v>00701</v>
      </c>
      <c r="B605" s="1" t="str">
        <f>"رضا"</f>
        <v>رضا</v>
      </c>
      <c r="C605" s="1" t="str">
        <f>"خدري"</f>
        <v>خدري</v>
      </c>
      <c r="D605" s="1" t="str">
        <f>"قراردادي کارگري"</f>
        <v>قراردادي کارگري</v>
      </c>
      <c r="E605" s="1" t="str">
        <f t="shared" si="65"/>
        <v>پروژه تعميرات نيروگاه بوشهر</v>
      </c>
      <c r="F605" s="1">
        <v>0</v>
      </c>
      <c r="G605" s="1">
        <v>4280602</v>
      </c>
      <c r="H605" s="1">
        <v>0</v>
      </c>
      <c r="I605" s="1">
        <v>8845508</v>
      </c>
      <c r="J605" s="1">
        <v>0</v>
      </c>
      <c r="K605" s="1">
        <v>0</v>
      </c>
      <c r="L605" s="1">
        <v>11331151</v>
      </c>
      <c r="M605" s="1">
        <v>2000000</v>
      </c>
      <c r="N605" s="1">
        <v>5897004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2640000</v>
      </c>
      <c r="U605" s="1">
        <v>0</v>
      </c>
      <c r="V605" s="1">
        <v>9532721</v>
      </c>
      <c r="W605" s="1">
        <v>4000000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59583870</v>
      </c>
      <c r="AP605" s="1">
        <v>8942442</v>
      </c>
      <c r="AQ605" s="1">
        <v>50641428</v>
      </c>
      <c r="AR605" s="1">
        <v>11916774</v>
      </c>
      <c r="AS605" s="1">
        <v>1787516</v>
      </c>
      <c r="AT605" s="3">
        <f t="shared" si="62"/>
        <v>73288160</v>
      </c>
    </row>
    <row r="606" spans="1:46" x14ac:dyDescent="0.2">
      <c r="A606" s="1" t="str">
        <f>"00702"</f>
        <v>00702</v>
      </c>
      <c r="B606" s="1" t="str">
        <f>"عبدالرسول"</f>
        <v>عبدالرسول</v>
      </c>
      <c r="C606" s="1" t="str">
        <f>"خدري"</f>
        <v>خدري</v>
      </c>
      <c r="D606" s="1" t="str">
        <f>"قراردادي کارگري"</f>
        <v>قراردادي کارگري</v>
      </c>
      <c r="E606" s="1" t="str">
        <f t="shared" si="65"/>
        <v>پروژه تعميرات نيروگاه بوشهر</v>
      </c>
      <c r="F606" s="1">
        <v>0</v>
      </c>
      <c r="G606" s="1">
        <v>5908218</v>
      </c>
      <c r="H606" s="1">
        <v>0</v>
      </c>
      <c r="I606" s="1">
        <v>4734332</v>
      </c>
      <c r="J606" s="1">
        <v>0</v>
      </c>
      <c r="K606" s="1">
        <v>0</v>
      </c>
      <c r="L606" s="1">
        <v>11572430</v>
      </c>
      <c r="M606" s="1">
        <v>2000000</v>
      </c>
      <c r="N606" s="1">
        <v>3945277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2640000</v>
      </c>
      <c r="U606" s="1">
        <v>0</v>
      </c>
      <c r="V606" s="1">
        <v>10408701</v>
      </c>
      <c r="W606" s="1">
        <v>4000000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5506281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58112633</v>
      </c>
      <c r="AP606" s="1">
        <v>7616249</v>
      </c>
      <c r="AQ606" s="1">
        <v>50496384</v>
      </c>
      <c r="AR606" s="1">
        <v>10521270</v>
      </c>
      <c r="AS606" s="1">
        <v>1578191</v>
      </c>
      <c r="AT606" s="3">
        <f t="shared" si="62"/>
        <v>70212094</v>
      </c>
    </row>
    <row r="607" spans="1:46" x14ac:dyDescent="0.2">
      <c r="A607" s="1" t="str">
        <f>"00703"</f>
        <v>00703</v>
      </c>
      <c r="B607" s="1" t="str">
        <f>"محمدحسين"</f>
        <v>محمدحسين</v>
      </c>
      <c r="C607" s="1" t="str">
        <f>"دريابگرد"</f>
        <v>دريابگرد</v>
      </c>
      <c r="D607" s="1" t="str">
        <f>"قراردادي بهره بردار"</f>
        <v>قراردادي بهره بردار</v>
      </c>
      <c r="E607" s="1" t="str">
        <f t="shared" si="65"/>
        <v>پروژه تعميرات نيروگاه بوشهر</v>
      </c>
      <c r="F607" s="1">
        <v>15916727</v>
      </c>
      <c r="G607" s="1">
        <v>0</v>
      </c>
      <c r="H607" s="1">
        <v>0</v>
      </c>
      <c r="I607" s="1">
        <v>11219330</v>
      </c>
      <c r="J607" s="1">
        <v>0</v>
      </c>
      <c r="K607" s="1">
        <v>3465000</v>
      </c>
      <c r="L607" s="1">
        <v>0</v>
      </c>
      <c r="M607" s="1">
        <v>1000000</v>
      </c>
      <c r="N607" s="1">
        <v>2947668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9174582</v>
      </c>
      <c r="W607" s="1">
        <v>4000000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2316024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9302896</v>
      </c>
      <c r="AM607" s="1">
        <v>0</v>
      </c>
      <c r="AN607" s="1">
        <v>0</v>
      </c>
      <c r="AO607" s="1">
        <v>59342227</v>
      </c>
      <c r="AP607" s="1">
        <v>14761072</v>
      </c>
      <c r="AQ607" s="1">
        <v>44581155</v>
      </c>
      <c r="AR607" s="1">
        <v>11868445</v>
      </c>
      <c r="AS607" s="1">
        <v>1780267</v>
      </c>
      <c r="AT607" s="3">
        <f t="shared" si="62"/>
        <v>72990939</v>
      </c>
    </row>
    <row r="608" spans="1:46" x14ac:dyDescent="0.2">
      <c r="A608" s="1" t="str">
        <f>"00704"</f>
        <v>00704</v>
      </c>
      <c r="B608" s="1" t="str">
        <f>"وحيد"</f>
        <v>وحيد</v>
      </c>
      <c r="C608" s="1" t="str">
        <f>"زنده بودي"</f>
        <v>زنده بودي</v>
      </c>
      <c r="D608" s="1" t="str">
        <f t="shared" ref="D608:D613" si="66">"قراردادي کارگري"</f>
        <v>قراردادي کارگري</v>
      </c>
      <c r="E608" s="1" t="str">
        <f t="shared" si="65"/>
        <v>پروژه تعميرات نيروگاه بوشهر</v>
      </c>
      <c r="F608" s="1">
        <v>0</v>
      </c>
      <c r="G608" s="1">
        <v>551850</v>
      </c>
      <c r="H608" s="1">
        <v>0</v>
      </c>
      <c r="I608" s="1">
        <v>6114950</v>
      </c>
      <c r="J608" s="1">
        <v>0</v>
      </c>
      <c r="K608" s="1">
        <v>0</v>
      </c>
      <c r="L608" s="1">
        <v>11521166</v>
      </c>
      <c r="M608" s="1">
        <v>2000000</v>
      </c>
      <c r="N608" s="1">
        <v>4532950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2640000</v>
      </c>
      <c r="U608" s="1">
        <v>0</v>
      </c>
      <c r="V608" s="1">
        <v>8320876</v>
      </c>
      <c r="W608" s="1">
        <v>4000000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1835427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50129825</v>
      </c>
      <c r="AP608" s="1">
        <v>5684729</v>
      </c>
      <c r="AQ608" s="1">
        <v>44445096</v>
      </c>
      <c r="AR608" s="1">
        <v>9658880</v>
      </c>
      <c r="AS608" s="1">
        <v>1448832</v>
      </c>
      <c r="AT608" s="3">
        <f t="shared" si="62"/>
        <v>61237537</v>
      </c>
    </row>
    <row r="609" spans="1:46" x14ac:dyDescent="0.2">
      <c r="A609" s="1" t="str">
        <f>"00705"</f>
        <v>00705</v>
      </c>
      <c r="B609" s="1" t="str">
        <f>"امين"</f>
        <v>امين</v>
      </c>
      <c r="C609" s="1" t="str">
        <f>"زيارتي"</f>
        <v>زيارتي</v>
      </c>
      <c r="D609" s="1" t="str">
        <f t="shared" si="66"/>
        <v>قراردادي کارگري</v>
      </c>
      <c r="E609" s="1" t="str">
        <f t="shared" si="65"/>
        <v>پروژه تعميرات نيروگاه بوشهر</v>
      </c>
      <c r="F609" s="1">
        <v>0</v>
      </c>
      <c r="G609" s="1">
        <v>30545320</v>
      </c>
      <c r="H609" s="1">
        <v>0</v>
      </c>
      <c r="I609" s="1">
        <v>5818097</v>
      </c>
      <c r="J609" s="1">
        <v>0</v>
      </c>
      <c r="K609" s="1">
        <v>0</v>
      </c>
      <c r="L609" s="1">
        <v>11521166</v>
      </c>
      <c r="M609" s="1">
        <v>2000000</v>
      </c>
      <c r="N609" s="1">
        <v>4570382</v>
      </c>
      <c r="O609" s="1">
        <v>0</v>
      </c>
      <c r="P609" s="1">
        <v>0</v>
      </c>
      <c r="Q609" s="1">
        <v>0</v>
      </c>
      <c r="R609" s="1">
        <v>181837</v>
      </c>
      <c r="S609" s="1">
        <v>0</v>
      </c>
      <c r="T609" s="1">
        <v>2640000</v>
      </c>
      <c r="U609" s="1">
        <v>0</v>
      </c>
      <c r="V609" s="1">
        <v>12693713</v>
      </c>
      <c r="W609" s="1">
        <v>4000000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3909801</v>
      </c>
      <c r="AK609" s="1">
        <v>0</v>
      </c>
      <c r="AL609" s="1">
        <v>0</v>
      </c>
      <c r="AM609" s="1">
        <v>0</v>
      </c>
      <c r="AN609" s="1">
        <v>0</v>
      </c>
      <c r="AO609" s="1">
        <v>86564043</v>
      </c>
      <c r="AP609" s="1">
        <v>13135099</v>
      </c>
      <c r="AQ609" s="1">
        <v>73428944</v>
      </c>
      <c r="AR609" s="1">
        <v>17276441</v>
      </c>
      <c r="AS609" s="1">
        <v>2591466</v>
      </c>
      <c r="AT609" s="3">
        <f t="shared" si="62"/>
        <v>106431950</v>
      </c>
    </row>
    <row r="610" spans="1:46" x14ac:dyDescent="0.2">
      <c r="A610" s="1" t="str">
        <f>"00706"</f>
        <v>00706</v>
      </c>
      <c r="B610" s="1" t="str">
        <f>"اميد"</f>
        <v>اميد</v>
      </c>
      <c r="C610" s="1" t="str">
        <f>"شکيبايي"</f>
        <v>شکيبايي</v>
      </c>
      <c r="D610" s="1" t="str">
        <f t="shared" si="66"/>
        <v>قراردادي کارگري</v>
      </c>
      <c r="E610" s="1" t="str">
        <f t="shared" si="65"/>
        <v>پروژه تعميرات نيروگاه بوشهر</v>
      </c>
      <c r="F610" s="1">
        <v>0</v>
      </c>
      <c r="G610" s="1">
        <v>10100324</v>
      </c>
      <c r="H610" s="1">
        <v>0</v>
      </c>
      <c r="I610" s="1">
        <v>6252283</v>
      </c>
      <c r="J610" s="1">
        <v>0</v>
      </c>
      <c r="K610" s="1">
        <v>0</v>
      </c>
      <c r="L610" s="1">
        <v>11521166</v>
      </c>
      <c r="M610" s="1">
        <v>2000000</v>
      </c>
      <c r="N610" s="1">
        <v>4446858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2640000</v>
      </c>
      <c r="U610" s="1">
        <v>0</v>
      </c>
      <c r="V610" s="1">
        <v>11429494</v>
      </c>
      <c r="W610" s="1">
        <v>4000000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3670854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64510010</v>
      </c>
      <c r="AP610" s="1">
        <v>9252268</v>
      </c>
      <c r="AQ610" s="1">
        <v>55257742</v>
      </c>
      <c r="AR610" s="1">
        <v>12167831</v>
      </c>
      <c r="AS610" s="1">
        <v>1825175</v>
      </c>
      <c r="AT610" s="3">
        <f t="shared" si="62"/>
        <v>78503016</v>
      </c>
    </row>
    <row r="611" spans="1:46" x14ac:dyDescent="0.2">
      <c r="A611" s="1" t="str">
        <f>"00707"</f>
        <v>00707</v>
      </c>
      <c r="B611" s="1" t="str">
        <f>"حسين"</f>
        <v>حسين</v>
      </c>
      <c r="C611" s="1" t="str">
        <f>"غلام پور"</f>
        <v>غلام پور</v>
      </c>
      <c r="D611" s="1" t="str">
        <f t="shared" si="66"/>
        <v>قراردادي کارگري</v>
      </c>
      <c r="E611" s="1" t="str">
        <f t="shared" si="65"/>
        <v>پروژه تعميرات نيروگاه بوشهر</v>
      </c>
      <c r="F611" s="1">
        <v>0</v>
      </c>
      <c r="G611" s="1">
        <v>3174945</v>
      </c>
      <c r="H611" s="1">
        <v>0</v>
      </c>
      <c r="I611" s="1">
        <v>9023809</v>
      </c>
      <c r="J611" s="1">
        <v>0</v>
      </c>
      <c r="K611" s="1">
        <v>0</v>
      </c>
      <c r="L611" s="1">
        <v>11331151</v>
      </c>
      <c r="M611" s="1">
        <v>2000000</v>
      </c>
      <c r="N611" s="1">
        <v>5522527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2640000</v>
      </c>
      <c r="U611" s="1">
        <v>0</v>
      </c>
      <c r="V611" s="1">
        <v>13622492</v>
      </c>
      <c r="W611" s="1">
        <v>4000000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1835427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63643153</v>
      </c>
      <c r="AP611" s="1">
        <v>7277202</v>
      </c>
      <c r="AQ611" s="1">
        <v>56365951</v>
      </c>
      <c r="AR611" s="1">
        <v>12361545</v>
      </c>
      <c r="AS611" s="1">
        <v>1854232</v>
      </c>
      <c r="AT611" s="3">
        <f t="shared" si="62"/>
        <v>77858930</v>
      </c>
    </row>
    <row r="612" spans="1:46" x14ac:dyDescent="0.2">
      <c r="A612" s="1" t="str">
        <f>"00708"</f>
        <v>00708</v>
      </c>
      <c r="B612" s="1" t="str">
        <f>"محمود"</f>
        <v>محمود</v>
      </c>
      <c r="C612" s="1" t="str">
        <f>"محمدي"</f>
        <v>محمدي</v>
      </c>
      <c r="D612" s="1" t="str">
        <f t="shared" si="66"/>
        <v>قراردادي کارگري</v>
      </c>
      <c r="E612" s="1" t="str">
        <f t="shared" si="65"/>
        <v>پروژه تعميرات نيروگاه بوشهر</v>
      </c>
      <c r="F612" s="1">
        <v>0</v>
      </c>
      <c r="G612" s="1">
        <v>4120047</v>
      </c>
      <c r="H612" s="1">
        <v>0</v>
      </c>
      <c r="I612" s="1">
        <v>7240407</v>
      </c>
      <c r="J612" s="1">
        <v>0</v>
      </c>
      <c r="K612" s="1">
        <v>0</v>
      </c>
      <c r="L612" s="1">
        <v>11521166</v>
      </c>
      <c r="M612" s="1">
        <v>2000000</v>
      </c>
      <c r="N612" s="1">
        <v>5479967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2640000</v>
      </c>
      <c r="U612" s="1">
        <v>0</v>
      </c>
      <c r="V612" s="1">
        <v>14070816</v>
      </c>
      <c r="W612" s="1">
        <v>4000000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3670854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65086694</v>
      </c>
      <c r="AP612" s="1">
        <v>9346268</v>
      </c>
      <c r="AQ612" s="1">
        <v>55740426</v>
      </c>
      <c r="AR612" s="1">
        <v>12283168</v>
      </c>
      <c r="AS612" s="1">
        <v>1842475</v>
      </c>
      <c r="AT612" s="3">
        <f t="shared" si="62"/>
        <v>79212337</v>
      </c>
    </row>
    <row r="613" spans="1:46" x14ac:dyDescent="0.2">
      <c r="A613" s="1" t="str">
        <f>"00709"</f>
        <v>00709</v>
      </c>
      <c r="B613" s="1" t="str">
        <f>"سالار"</f>
        <v>سالار</v>
      </c>
      <c r="C613" s="1" t="str">
        <f>"نيکنام"</f>
        <v>نيکنام</v>
      </c>
      <c r="D613" s="1" t="str">
        <f t="shared" si="66"/>
        <v>قراردادي کارگري</v>
      </c>
      <c r="E613" s="1" t="str">
        <f t="shared" si="65"/>
        <v>پروژه تعميرات نيروگاه بوشهر</v>
      </c>
      <c r="F613" s="1">
        <v>0</v>
      </c>
      <c r="G613" s="1">
        <v>1740898</v>
      </c>
      <c r="H613" s="1">
        <v>0</v>
      </c>
      <c r="I613" s="1">
        <v>5530986</v>
      </c>
      <c r="J613" s="1">
        <v>0</v>
      </c>
      <c r="K613" s="1">
        <v>0</v>
      </c>
      <c r="L613" s="1">
        <v>11521166</v>
      </c>
      <c r="M613" s="1">
        <v>2000000</v>
      </c>
      <c r="N613" s="1">
        <v>4158636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2640000</v>
      </c>
      <c r="U613" s="1">
        <v>0</v>
      </c>
      <c r="V613" s="1">
        <v>12006146</v>
      </c>
      <c r="W613" s="1">
        <v>4000000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51499240</v>
      </c>
      <c r="AP613" s="1">
        <v>6986845</v>
      </c>
      <c r="AQ613" s="1">
        <v>44512395</v>
      </c>
      <c r="AR613" s="1">
        <v>10299848</v>
      </c>
      <c r="AS613" s="1">
        <v>1544977</v>
      </c>
      <c r="AT613" s="3">
        <f t="shared" si="62"/>
        <v>63344065</v>
      </c>
    </row>
    <row r="614" spans="1:46" x14ac:dyDescent="0.2">
      <c r="A614" s="1" t="str">
        <f>"00712"</f>
        <v>00712</v>
      </c>
      <c r="B614" s="1" t="str">
        <f>"محسن"</f>
        <v>محسن</v>
      </c>
      <c r="C614" s="1" t="str">
        <f>"خورشيدي"</f>
        <v>خورشيدي</v>
      </c>
      <c r="D614" s="1" t="str">
        <f>"قراردادي بهره بردار"</f>
        <v>قراردادي بهره بردار</v>
      </c>
      <c r="E614" s="1" t="str">
        <f>"پروژه بهره برداري نيروگاه بوشهر"</f>
        <v>پروژه بهره برداري نيروگاه بوشهر</v>
      </c>
      <c r="F614" s="1">
        <v>22544917</v>
      </c>
      <c r="G614" s="1">
        <v>6288412</v>
      </c>
      <c r="H614" s="1">
        <v>0</v>
      </c>
      <c r="I614" s="1">
        <v>16031773</v>
      </c>
      <c r="J614" s="1">
        <v>0</v>
      </c>
      <c r="K614" s="1">
        <v>5500000</v>
      </c>
      <c r="L614" s="1">
        <v>0</v>
      </c>
      <c r="M614" s="1">
        <v>1000000</v>
      </c>
      <c r="N614" s="1">
        <v>3592222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9275061</v>
      </c>
      <c r="W614" s="1">
        <v>4000000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2822460</v>
      </c>
      <c r="AF614" s="1">
        <v>1835427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5144090</v>
      </c>
      <c r="AM614" s="1">
        <v>0</v>
      </c>
      <c r="AN614" s="1">
        <v>0</v>
      </c>
      <c r="AO614" s="1">
        <v>78034362</v>
      </c>
      <c r="AP614" s="1">
        <v>37094841</v>
      </c>
      <c r="AQ614" s="1">
        <v>40939521</v>
      </c>
      <c r="AR614" s="1">
        <v>15239787</v>
      </c>
      <c r="AS614" s="1">
        <v>2285968</v>
      </c>
      <c r="AT614" s="3">
        <f t="shared" si="62"/>
        <v>95560117</v>
      </c>
    </row>
    <row r="615" spans="1:46" x14ac:dyDescent="0.2">
      <c r="A615" s="1" t="str">
        <f>"00713"</f>
        <v>00713</v>
      </c>
      <c r="B615" s="1" t="str">
        <f>"جعفر"</f>
        <v>جعفر</v>
      </c>
      <c r="C615" s="1" t="str">
        <f>"حيدري"</f>
        <v>حيدري</v>
      </c>
      <c r="D615" s="1" t="str">
        <f>"قراردادي کارگري"</f>
        <v>قراردادي کارگري</v>
      </c>
      <c r="E615" s="1" t="str">
        <f>"پروژه تعميرات نيروگاه بوشهر"</f>
        <v>پروژه تعميرات نيروگاه بوشهر</v>
      </c>
      <c r="F615" s="1">
        <v>0</v>
      </c>
      <c r="G615" s="1">
        <v>2383871</v>
      </c>
      <c r="H615" s="1">
        <v>0</v>
      </c>
      <c r="I615" s="1">
        <v>6562792</v>
      </c>
      <c r="J615" s="1">
        <v>0</v>
      </c>
      <c r="K615" s="1">
        <v>0</v>
      </c>
      <c r="L615" s="1">
        <v>11521166</v>
      </c>
      <c r="M615" s="1">
        <v>2000000</v>
      </c>
      <c r="N615" s="1">
        <v>4667704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2640000</v>
      </c>
      <c r="U615" s="1">
        <v>0</v>
      </c>
      <c r="V615" s="1">
        <v>16640931</v>
      </c>
      <c r="W615" s="1">
        <v>4000000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7341708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66626809</v>
      </c>
      <c r="AP615" s="1">
        <v>10705242</v>
      </c>
      <c r="AQ615" s="1">
        <v>55921567</v>
      </c>
      <c r="AR615" s="1">
        <v>11857020</v>
      </c>
      <c r="AS615" s="1">
        <v>1778553</v>
      </c>
      <c r="AT615" s="3">
        <f t="shared" si="62"/>
        <v>80262382</v>
      </c>
    </row>
    <row r="616" spans="1:46" x14ac:dyDescent="0.2">
      <c r="A616" s="1" t="str">
        <f>"00714"</f>
        <v>00714</v>
      </c>
      <c r="B616" s="1" t="str">
        <f>"محمد"</f>
        <v>محمد</v>
      </c>
      <c r="C616" s="1" t="str">
        <f>"حيدري"</f>
        <v>حيدري</v>
      </c>
      <c r="D616" s="1" t="str">
        <f>"قراردادي کارگري"</f>
        <v>قراردادي کارگري</v>
      </c>
      <c r="E616" s="1" t="str">
        <f>"پروژه تعميرات نيروگاه بوشهر"</f>
        <v>پروژه تعميرات نيروگاه بوشهر</v>
      </c>
      <c r="F616" s="1">
        <v>0</v>
      </c>
      <c r="G616" s="1">
        <v>2758209</v>
      </c>
      <c r="H616" s="1">
        <v>0</v>
      </c>
      <c r="I616" s="1">
        <v>6607930</v>
      </c>
      <c r="J616" s="1">
        <v>0</v>
      </c>
      <c r="K616" s="1">
        <v>0</v>
      </c>
      <c r="L616" s="1">
        <v>11521166</v>
      </c>
      <c r="M616" s="1">
        <v>2000000</v>
      </c>
      <c r="N616" s="1">
        <v>4862348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2640000</v>
      </c>
      <c r="U616" s="1">
        <v>0</v>
      </c>
      <c r="V616" s="1">
        <v>16690569</v>
      </c>
      <c r="W616" s="1">
        <v>4000000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3670854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63928757</v>
      </c>
      <c r="AP616" s="1">
        <v>8487924</v>
      </c>
      <c r="AQ616" s="1">
        <v>55440833</v>
      </c>
      <c r="AR616" s="1">
        <v>12051581</v>
      </c>
      <c r="AS616" s="1">
        <v>1807737</v>
      </c>
      <c r="AT616" s="3">
        <f t="shared" si="62"/>
        <v>77788075</v>
      </c>
    </row>
    <row r="617" spans="1:46" x14ac:dyDescent="0.2">
      <c r="A617" s="1" t="str">
        <f>"00715"</f>
        <v>00715</v>
      </c>
      <c r="B617" s="1" t="str">
        <f>"احمد"</f>
        <v>احمد</v>
      </c>
      <c r="C617" s="1" t="str">
        <f>"حيدري"</f>
        <v>حيدري</v>
      </c>
      <c r="D617" s="1" t="str">
        <f>"قراردادي کارگري"</f>
        <v>قراردادي کارگري</v>
      </c>
      <c r="E617" s="1" t="str">
        <f>"پروژه تعميرات نيروگاه بوشهر"</f>
        <v>پروژه تعميرات نيروگاه بوشهر</v>
      </c>
      <c r="F617" s="1">
        <v>0</v>
      </c>
      <c r="G617" s="1">
        <v>0</v>
      </c>
      <c r="H617" s="1">
        <v>0</v>
      </c>
      <c r="I617" s="1">
        <v>8234478</v>
      </c>
      <c r="J617" s="1">
        <v>0</v>
      </c>
      <c r="K617" s="1">
        <v>0</v>
      </c>
      <c r="L617" s="1">
        <v>11521166</v>
      </c>
      <c r="M617" s="1">
        <v>2000000</v>
      </c>
      <c r="N617" s="1">
        <v>5895456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2640000</v>
      </c>
      <c r="U617" s="1">
        <v>0</v>
      </c>
      <c r="V617" s="1">
        <v>18910660</v>
      </c>
      <c r="W617" s="1">
        <v>4000000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1835427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66164860</v>
      </c>
      <c r="AP617" s="1">
        <v>13516040</v>
      </c>
      <c r="AQ617" s="1">
        <v>52648820</v>
      </c>
      <c r="AR617" s="1">
        <v>12865887</v>
      </c>
      <c r="AS617" s="1">
        <v>1929883</v>
      </c>
      <c r="AT617" s="3">
        <f t="shared" si="62"/>
        <v>80960630</v>
      </c>
    </row>
    <row r="618" spans="1:46" x14ac:dyDescent="0.2">
      <c r="A618" s="1" t="str">
        <f>"00716"</f>
        <v>00716</v>
      </c>
      <c r="B618" s="1" t="str">
        <f>"شهربانو"</f>
        <v>شهربانو</v>
      </c>
      <c r="C618" s="1" t="str">
        <f>"قايدزاده مخبلندي"</f>
        <v>قايدزاده مخبلندي</v>
      </c>
      <c r="D618" s="1" t="str">
        <f>"قراردادي بهره بردار"</f>
        <v>قراردادي بهره بردار</v>
      </c>
      <c r="E618" s="1" t="str">
        <f>"پروژه بهره برداري نيروگاه بوشهر"</f>
        <v>پروژه بهره برداري نيروگاه بوشهر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7592003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7592003</v>
      </c>
      <c r="AP618" s="1">
        <v>7592003</v>
      </c>
      <c r="AQ618" s="1">
        <v>0</v>
      </c>
      <c r="AR618" s="1">
        <v>0</v>
      </c>
      <c r="AS618" s="1">
        <v>0</v>
      </c>
      <c r="AT618" s="3">
        <f t="shared" si="62"/>
        <v>7592003</v>
      </c>
    </row>
    <row r="619" spans="1:46" x14ac:dyDescent="0.2">
      <c r="A619" s="1" t="str">
        <f>"00717"</f>
        <v>00717</v>
      </c>
      <c r="B619" s="1" t="str">
        <f>"شاپور"</f>
        <v>شاپور</v>
      </c>
      <c r="C619" s="1" t="str">
        <f>"دشتيان"</f>
        <v>دشتيان</v>
      </c>
      <c r="D619" s="1" t="str">
        <f t="shared" ref="D619:D633" si="67">"قراردادي کارگري"</f>
        <v>قراردادي کارگري</v>
      </c>
      <c r="E619" s="1" t="str">
        <f t="shared" ref="E619:E643" si="68">"پروژه تعميرات نيروگاه بوشهر"</f>
        <v>پروژه تعميرات نيروگاه بوشهر</v>
      </c>
      <c r="F619" s="1">
        <v>0</v>
      </c>
      <c r="G619" s="1">
        <v>10281312</v>
      </c>
      <c r="H619" s="1">
        <v>0</v>
      </c>
      <c r="I619" s="1">
        <v>12597056</v>
      </c>
      <c r="J619" s="1">
        <v>0</v>
      </c>
      <c r="K619" s="1">
        <v>0</v>
      </c>
      <c r="L619" s="1">
        <v>11331151</v>
      </c>
      <c r="M619" s="1">
        <v>2000000</v>
      </c>
      <c r="N619" s="1">
        <v>8094495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2640000</v>
      </c>
      <c r="U619" s="1">
        <v>0</v>
      </c>
      <c r="V619" s="1">
        <v>11080474</v>
      </c>
      <c r="W619" s="1">
        <v>4000000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1835427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79037090</v>
      </c>
      <c r="AP619" s="1">
        <v>14215944</v>
      </c>
      <c r="AQ619" s="1">
        <v>64821146</v>
      </c>
      <c r="AR619" s="1">
        <v>15440333</v>
      </c>
      <c r="AS619" s="1">
        <v>2316050</v>
      </c>
      <c r="AT619" s="3">
        <f t="shared" si="62"/>
        <v>96793473</v>
      </c>
    </row>
    <row r="620" spans="1:46" x14ac:dyDescent="0.2">
      <c r="A620" s="1" t="str">
        <f>"00718"</f>
        <v>00718</v>
      </c>
      <c r="B620" s="1" t="str">
        <f>"احسان"</f>
        <v>احسان</v>
      </c>
      <c r="C620" s="1" t="str">
        <f>"صالحي"</f>
        <v>صالحي</v>
      </c>
      <c r="D620" s="1" t="str">
        <f t="shared" si="67"/>
        <v>قراردادي کارگري</v>
      </c>
      <c r="E620" s="1" t="str">
        <f t="shared" si="68"/>
        <v>پروژه تعميرات نيروگاه بوشهر</v>
      </c>
      <c r="F620" s="1">
        <v>0</v>
      </c>
      <c r="G620" s="1">
        <v>6521205</v>
      </c>
      <c r="H620" s="1">
        <v>0</v>
      </c>
      <c r="I620" s="1">
        <v>7127910</v>
      </c>
      <c r="J620" s="1">
        <v>0</v>
      </c>
      <c r="K620" s="1">
        <v>0</v>
      </c>
      <c r="L620" s="1">
        <v>11521166</v>
      </c>
      <c r="M620" s="1">
        <v>2000000</v>
      </c>
      <c r="N620" s="1">
        <v>5210460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2640000</v>
      </c>
      <c r="U620" s="1">
        <v>0</v>
      </c>
      <c r="V620" s="1">
        <v>17582140</v>
      </c>
      <c r="W620" s="1">
        <v>4000000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5063912</v>
      </c>
      <c r="AE620" s="1">
        <v>0</v>
      </c>
      <c r="AF620" s="1">
        <v>3670854</v>
      </c>
      <c r="AG620" s="1">
        <v>0</v>
      </c>
      <c r="AH620" s="1">
        <v>0</v>
      </c>
      <c r="AI620" s="1">
        <v>0</v>
      </c>
      <c r="AJ620" s="1">
        <v>6955952</v>
      </c>
      <c r="AK620" s="1">
        <v>0</v>
      </c>
      <c r="AL620" s="1">
        <v>0</v>
      </c>
      <c r="AM620" s="1">
        <v>0</v>
      </c>
      <c r="AN620" s="1">
        <v>0</v>
      </c>
      <c r="AO620" s="1">
        <v>82193474</v>
      </c>
      <c r="AP620" s="1">
        <v>16405095</v>
      </c>
      <c r="AQ620" s="1">
        <v>65788379</v>
      </c>
      <c r="AR620" s="1">
        <v>15704524</v>
      </c>
      <c r="AS620" s="1">
        <v>2355679</v>
      </c>
      <c r="AT620" s="3">
        <f t="shared" si="62"/>
        <v>100253677</v>
      </c>
    </row>
    <row r="621" spans="1:46" x14ac:dyDescent="0.2">
      <c r="A621" s="1" t="str">
        <f>"00719"</f>
        <v>00719</v>
      </c>
      <c r="B621" s="1" t="str">
        <f>"روح اله"</f>
        <v>روح اله</v>
      </c>
      <c r="C621" s="1" t="str">
        <f>"احمدي"</f>
        <v>احمدي</v>
      </c>
      <c r="D621" s="1" t="str">
        <f t="shared" si="67"/>
        <v>قراردادي کارگري</v>
      </c>
      <c r="E621" s="1" t="str">
        <f t="shared" si="68"/>
        <v>پروژه تعميرات نيروگاه بوشهر</v>
      </c>
      <c r="F621" s="1">
        <v>0</v>
      </c>
      <c r="G621" s="1">
        <v>5391112</v>
      </c>
      <c r="H621" s="1">
        <v>0</v>
      </c>
      <c r="I621" s="1">
        <v>4628003</v>
      </c>
      <c r="J621" s="1">
        <v>0</v>
      </c>
      <c r="K621" s="1">
        <v>0</v>
      </c>
      <c r="L621" s="1">
        <v>11572430</v>
      </c>
      <c r="M621" s="1">
        <v>2000000</v>
      </c>
      <c r="N621" s="1">
        <v>3793445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2640000</v>
      </c>
      <c r="U621" s="1">
        <v>0</v>
      </c>
      <c r="V621" s="1">
        <v>14863538</v>
      </c>
      <c r="W621" s="1">
        <v>4000000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4137115</v>
      </c>
      <c r="AE621" s="1">
        <v>0</v>
      </c>
      <c r="AF621" s="1">
        <v>3670854</v>
      </c>
      <c r="AG621" s="1">
        <v>0</v>
      </c>
      <c r="AH621" s="1">
        <v>0</v>
      </c>
      <c r="AI621" s="1">
        <v>0</v>
      </c>
      <c r="AJ621" s="1">
        <v>5750519</v>
      </c>
      <c r="AK621" s="1">
        <v>0</v>
      </c>
      <c r="AL621" s="1">
        <v>0</v>
      </c>
      <c r="AM621" s="1">
        <v>0</v>
      </c>
      <c r="AN621" s="1">
        <v>0</v>
      </c>
      <c r="AO621" s="1">
        <v>70033906</v>
      </c>
      <c r="AP621" s="1">
        <v>10390264</v>
      </c>
      <c r="AQ621" s="1">
        <v>59643642</v>
      </c>
      <c r="AR621" s="1">
        <v>13272610</v>
      </c>
      <c r="AS621" s="1">
        <v>1990892</v>
      </c>
      <c r="AT621" s="3">
        <f t="shared" si="62"/>
        <v>85297408</v>
      </c>
    </row>
    <row r="622" spans="1:46" x14ac:dyDescent="0.2">
      <c r="A622" s="1" t="str">
        <f>"00720"</f>
        <v>00720</v>
      </c>
      <c r="B622" s="1" t="str">
        <f>"علي کرم"</f>
        <v>علي کرم</v>
      </c>
      <c r="C622" s="1" t="str">
        <f>"جعفري"</f>
        <v>جعفري</v>
      </c>
      <c r="D622" s="1" t="str">
        <f t="shared" si="67"/>
        <v>قراردادي کارگري</v>
      </c>
      <c r="E622" s="1" t="str">
        <f t="shared" si="68"/>
        <v>پروژه تعميرات نيروگاه بوشهر</v>
      </c>
      <c r="F622" s="1">
        <v>0</v>
      </c>
      <c r="G622" s="1">
        <v>2950024</v>
      </c>
      <c r="H622" s="1">
        <v>0</v>
      </c>
      <c r="I622" s="1">
        <v>6079533</v>
      </c>
      <c r="J622" s="1">
        <v>0</v>
      </c>
      <c r="K622" s="1">
        <v>0</v>
      </c>
      <c r="L622" s="1">
        <v>11572430</v>
      </c>
      <c r="M622" s="1">
        <v>2000000</v>
      </c>
      <c r="N622" s="1">
        <v>4383224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2640000</v>
      </c>
      <c r="U622" s="1">
        <v>0</v>
      </c>
      <c r="V622" s="1">
        <v>16087858</v>
      </c>
      <c r="W622" s="1">
        <v>4000000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4554497</v>
      </c>
      <c r="AE622" s="1">
        <v>0</v>
      </c>
      <c r="AF622" s="1">
        <v>5506281</v>
      </c>
      <c r="AG622" s="1">
        <v>0</v>
      </c>
      <c r="AH622" s="1">
        <v>0</v>
      </c>
      <c r="AI622" s="1">
        <v>0</v>
      </c>
      <c r="AJ622" s="1">
        <v>4195590</v>
      </c>
      <c r="AK622" s="1">
        <v>0</v>
      </c>
      <c r="AL622" s="1">
        <v>0</v>
      </c>
      <c r="AM622" s="1">
        <v>0</v>
      </c>
      <c r="AN622" s="1">
        <v>0</v>
      </c>
      <c r="AO622" s="1">
        <v>72297564</v>
      </c>
      <c r="AP622" s="1">
        <v>12364648</v>
      </c>
      <c r="AQ622" s="1">
        <v>59932916</v>
      </c>
      <c r="AR622" s="1">
        <v>13358257</v>
      </c>
      <c r="AS622" s="1">
        <v>2003738</v>
      </c>
      <c r="AT622" s="3">
        <f t="shared" si="62"/>
        <v>87659559</v>
      </c>
    </row>
    <row r="623" spans="1:46" x14ac:dyDescent="0.2">
      <c r="A623" s="1" t="str">
        <f>"00721"</f>
        <v>00721</v>
      </c>
      <c r="B623" s="1" t="str">
        <f>"بهنام"</f>
        <v>بهنام</v>
      </c>
      <c r="C623" s="1" t="str">
        <f>"حسين آبادي چاه عربي"</f>
        <v>حسين آبادي چاه عربي</v>
      </c>
      <c r="D623" s="1" t="str">
        <f t="shared" si="67"/>
        <v>قراردادي کارگري</v>
      </c>
      <c r="E623" s="1" t="str">
        <f t="shared" si="68"/>
        <v>پروژه تعميرات نيروگاه بوشهر</v>
      </c>
      <c r="F623" s="1">
        <v>0</v>
      </c>
      <c r="G623" s="1">
        <v>6908200</v>
      </c>
      <c r="H623" s="1">
        <v>0</v>
      </c>
      <c r="I623" s="1">
        <v>7720061</v>
      </c>
      <c r="J623" s="1">
        <v>0</v>
      </c>
      <c r="K623" s="1">
        <v>0</v>
      </c>
      <c r="L623" s="1">
        <v>11521166</v>
      </c>
      <c r="M623" s="1">
        <v>2000000</v>
      </c>
      <c r="N623" s="1">
        <v>5760703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2640000</v>
      </c>
      <c r="U623" s="1">
        <v>0</v>
      </c>
      <c r="V623" s="1">
        <v>18513113</v>
      </c>
      <c r="W623" s="1">
        <v>4000000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5381288</v>
      </c>
      <c r="AE623" s="1">
        <v>0</v>
      </c>
      <c r="AF623" s="1">
        <v>3670854</v>
      </c>
      <c r="AG623" s="1">
        <v>0</v>
      </c>
      <c r="AH623" s="1">
        <v>0</v>
      </c>
      <c r="AI623" s="1">
        <v>0</v>
      </c>
      <c r="AJ623" s="1">
        <v>7368747</v>
      </c>
      <c r="AK623" s="1">
        <v>0</v>
      </c>
      <c r="AL623" s="1">
        <v>0</v>
      </c>
      <c r="AM623" s="1">
        <v>0</v>
      </c>
      <c r="AN623" s="1">
        <v>0</v>
      </c>
      <c r="AO623" s="1">
        <v>86357458</v>
      </c>
      <c r="AP623" s="1">
        <v>12813401</v>
      </c>
      <c r="AQ623" s="1">
        <v>73544057</v>
      </c>
      <c r="AR623" s="1">
        <v>16537321</v>
      </c>
      <c r="AS623" s="1">
        <v>2480598</v>
      </c>
      <c r="AT623" s="3">
        <f t="shared" si="62"/>
        <v>105375377</v>
      </c>
    </row>
    <row r="624" spans="1:46" x14ac:dyDescent="0.2">
      <c r="A624" s="1" t="str">
        <f>"00722"</f>
        <v>00722</v>
      </c>
      <c r="B624" s="1" t="str">
        <f>"امير"</f>
        <v>امير</v>
      </c>
      <c r="C624" s="1" t="str">
        <f>"داس زرين"</f>
        <v>داس زرين</v>
      </c>
      <c r="D624" s="1" t="str">
        <f t="shared" si="67"/>
        <v>قراردادي کارگري</v>
      </c>
      <c r="E624" s="1" t="str">
        <f t="shared" si="68"/>
        <v>پروژه تعميرات نيروگاه بوشهر</v>
      </c>
      <c r="F624" s="1">
        <v>0</v>
      </c>
      <c r="G624" s="1">
        <v>7880198</v>
      </c>
      <c r="H624" s="1">
        <v>0</v>
      </c>
      <c r="I624" s="1">
        <v>5619212</v>
      </c>
      <c r="J624" s="1">
        <v>0</v>
      </c>
      <c r="K624" s="1">
        <v>0</v>
      </c>
      <c r="L624" s="1">
        <v>11539967</v>
      </c>
      <c r="M624" s="1">
        <v>2000000</v>
      </c>
      <c r="N624" s="1">
        <v>4162379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2640000</v>
      </c>
      <c r="U624" s="1">
        <v>0</v>
      </c>
      <c r="V624" s="1">
        <v>15543449</v>
      </c>
      <c r="W624" s="1">
        <v>4000000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4368903</v>
      </c>
      <c r="AE624" s="1">
        <v>0</v>
      </c>
      <c r="AF624" s="1">
        <v>1835427</v>
      </c>
      <c r="AG624" s="1">
        <v>0</v>
      </c>
      <c r="AH624" s="1">
        <v>0</v>
      </c>
      <c r="AI624" s="1">
        <v>0</v>
      </c>
      <c r="AJ624" s="1">
        <v>6051992</v>
      </c>
      <c r="AK624" s="1">
        <v>0</v>
      </c>
      <c r="AL624" s="1">
        <v>0</v>
      </c>
      <c r="AM624" s="1">
        <v>0</v>
      </c>
      <c r="AN624" s="1">
        <v>0</v>
      </c>
      <c r="AO624" s="1">
        <v>73445988</v>
      </c>
      <c r="AP624" s="1">
        <v>16525347</v>
      </c>
      <c r="AQ624" s="1">
        <v>56920641</v>
      </c>
      <c r="AR624" s="1">
        <v>14322112</v>
      </c>
      <c r="AS624" s="1">
        <v>2148317</v>
      </c>
      <c r="AT624" s="3">
        <f t="shared" si="62"/>
        <v>89916417</v>
      </c>
    </row>
    <row r="625" spans="1:46" x14ac:dyDescent="0.2">
      <c r="A625" s="1" t="str">
        <f>"00723"</f>
        <v>00723</v>
      </c>
      <c r="B625" s="1" t="str">
        <f>"غلامرضا"</f>
        <v>غلامرضا</v>
      </c>
      <c r="C625" s="1" t="str">
        <f>"شاکري"</f>
        <v>شاکري</v>
      </c>
      <c r="D625" s="1" t="str">
        <f t="shared" si="67"/>
        <v>قراردادي کارگري</v>
      </c>
      <c r="E625" s="1" t="str">
        <f t="shared" si="68"/>
        <v>پروژه تعميرات نيروگاه بوشهر</v>
      </c>
      <c r="F625" s="1">
        <v>0</v>
      </c>
      <c r="G625" s="1">
        <v>7090723</v>
      </c>
      <c r="H625" s="1">
        <v>0</v>
      </c>
      <c r="I625" s="1">
        <v>8674639</v>
      </c>
      <c r="J625" s="1">
        <v>0</v>
      </c>
      <c r="K625" s="1">
        <v>0</v>
      </c>
      <c r="L625" s="1">
        <v>11521166</v>
      </c>
      <c r="M625" s="1">
        <v>2000000</v>
      </c>
      <c r="N625" s="1">
        <v>6565480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2640000</v>
      </c>
      <c r="U625" s="1">
        <v>0</v>
      </c>
      <c r="V625" s="1">
        <v>19955596</v>
      </c>
      <c r="W625" s="1">
        <v>4000000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5873044</v>
      </c>
      <c r="AE625" s="1">
        <v>0</v>
      </c>
      <c r="AF625" s="1">
        <v>1835427</v>
      </c>
      <c r="AG625" s="1">
        <v>0</v>
      </c>
      <c r="AH625" s="1">
        <v>0</v>
      </c>
      <c r="AI625" s="1">
        <v>0</v>
      </c>
      <c r="AJ625" s="1">
        <v>5338897</v>
      </c>
      <c r="AK625" s="1">
        <v>0</v>
      </c>
      <c r="AL625" s="1">
        <v>0</v>
      </c>
      <c r="AM625" s="1">
        <v>0</v>
      </c>
      <c r="AN625" s="1">
        <v>0</v>
      </c>
      <c r="AO625" s="1">
        <v>87887314</v>
      </c>
      <c r="AP625" s="1">
        <v>16144235</v>
      </c>
      <c r="AQ625" s="1">
        <v>71743079</v>
      </c>
      <c r="AR625" s="1">
        <v>17210377</v>
      </c>
      <c r="AS625" s="1">
        <v>2581557</v>
      </c>
      <c r="AT625" s="3">
        <f t="shared" si="62"/>
        <v>107679248</v>
      </c>
    </row>
    <row r="626" spans="1:46" x14ac:dyDescent="0.2">
      <c r="A626" s="1" t="str">
        <f>"00724"</f>
        <v>00724</v>
      </c>
      <c r="B626" s="1" t="str">
        <f>"محسن"</f>
        <v>محسن</v>
      </c>
      <c r="C626" s="1" t="str">
        <f>"شيخياني"</f>
        <v>شيخياني</v>
      </c>
      <c r="D626" s="1" t="str">
        <f t="shared" si="67"/>
        <v>قراردادي کارگري</v>
      </c>
      <c r="E626" s="1" t="str">
        <f t="shared" si="68"/>
        <v>پروژه تعميرات نيروگاه بوشهر</v>
      </c>
      <c r="F626" s="1">
        <v>0</v>
      </c>
      <c r="G626" s="1">
        <v>9251341</v>
      </c>
      <c r="H626" s="1">
        <v>0</v>
      </c>
      <c r="I626" s="1">
        <v>6913147</v>
      </c>
      <c r="J626" s="1">
        <v>0</v>
      </c>
      <c r="K626" s="1">
        <v>0</v>
      </c>
      <c r="L626" s="1">
        <v>11521166</v>
      </c>
      <c r="M626" s="1">
        <v>2000000</v>
      </c>
      <c r="N626" s="1">
        <v>5086937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2640000</v>
      </c>
      <c r="U626" s="1">
        <v>0</v>
      </c>
      <c r="V626" s="1">
        <v>17302050</v>
      </c>
      <c r="W626" s="1">
        <v>4000000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4968426</v>
      </c>
      <c r="AE626" s="1">
        <v>0</v>
      </c>
      <c r="AF626" s="1">
        <v>5506281</v>
      </c>
      <c r="AG626" s="1">
        <v>0</v>
      </c>
      <c r="AH626" s="1">
        <v>0</v>
      </c>
      <c r="AI626" s="1">
        <v>0</v>
      </c>
      <c r="AJ626" s="1">
        <v>6831759</v>
      </c>
      <c r="AK626" s="1">
        <v>0</v>
      </c>
      <c r="AL626" s="1">
        <v>0</v>
      </c>
      <c r="AM626" s="1">
        <v>0</v>
      </c>
      <c r="AN626" s="1">
        <v>0</v>
      </c>
      <c r="AO626" s="1">
        <v>85622699</v>
      </c>
      <c r="AP626" s="1">
        <v>13728004</v>
      </c>
      <c r="AQ626" s="1">
        <v>71894695</v>
      </c>
      <c r="AR626" s="1">
        <v>16023284</v>
      </c>
      <c r="AS626" s="1">
        <v>2403493</v>
      </c>
      <c r="AT626" s="3">
        <f t="shared" si="62"/>
        <v>104049476</v>
      </c>
    </row>
    <row r="627" spans="1:46" x14ac:dyDescent="0.2">
      <c r="A627" s="1" t="str">
        <f>"00725"</f>
        <v>00725</v>
      </c>
      <c r="B627" s="1" t="str">
        <f>"سيد مهدي"</f>
        <v>سيد مهدي</v>
      </c>
      <c r="C627" s="1" t="str">
        <f>"عسکري"</f>
        <v>عسکري</v>
      </c>
      <c r="D627" s="1" t="str">
        <f t="shared" si="67"/>
        <v>قراردادي کارگري</v>
      </c>
      <c r="E627" s="1" t="str">
        <f t="shared" si="68"/>
        <v>پروژه تعميرات نيروگاه بوشهر</v>
      </c>
      <c r="F627" s="1">
        <v>0</v>
      </c>
      <c r="G627" s="1">
        <v>23279806</v>
      </c>
      <c r="H627" s="1">
        <v>0</v>
      </c>
      <c r="I627" s="1">
        <v>7394182</v>
      </c>
      <c r="J627" s="1">
        <v>0</v>
      </c>
      <c r="K627" s="1">
        <v>0</v>
      </c>
      <c r="L627" s="1">
        <v>11572430</v>
      </c>
      <c r="M627" s="1">
        <v>2000000</v>
      </c>
      <c r="N627" s="1">
        <v>5405104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2640000</v>
      </c>
      <c r="U627" s="1">
        <v>0</v>
      </c>
      <c r="V627" s="1">
        <v>13171355</v>
      </c>
      <c r="W627" s="1">
        <v>4000000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79732575</v>
      </c>
      <c r="AP627" s="1">
        <v>9772410</v>
      </c>
      <c r="AQ627" s="1">
        <v>69960165</v>
      </c>
      <c r="AR627" s="1">
        <v>15946515</v>
      </c>
      <c r="AS627" s="1">
        <v>2391977</v>
      </c>
      <c r="AT627" s="3">
        <f t="shared" si="62"/>
        <v>98071067</v>
      </c>
    </row>
    <row r="628" spans="1:46" x14ac:dyDescent="0.2">
      <c r="A628" s="1" t="str">
        <f>"00726"</f>
        <v>00726</v>
      </c>
      <c r="B628" s="1" t="str">
        <f>"مهدي"</f>
        <v>مهدي</v>
      </c>
      <c r="C628" s="1" t="str">
        <f>"زارعي ونوول"</f>
        <v>زارعي ونوول</v>
      </c>
      <c r="D628" s="1" t="str">
        <f t="shared" si="67"/>
        <v>قراردادي کارگري</v>
      </c>
      <c r="E628" s="1" t="str">
        <f t="shared" si="68"/>
        <v>پروژه تعميرات نيروگاه بوشهر</v>
      </c>
      <c r="F628" s="1">
        <v>0</v>
      </c>
      <c r="G628" s="1">
        <v>4426174</v>
      </c>
      <c r="H628" s="1">
        <v>0</v>
      </c>
      <c r="I628" s="1">
        <v>7507470</v>
      </c>
      <c r="J628" s="1">
        <v>0</v>
      </c>
      <c r="K628" s="1">
        <v>0</v>
      </c>
      <c r="L628" s="1">
        <v>11521166</v>
      </c>
      <c r="M628" s="1">
        <v>2000000</v>
      </c>
      <c r="N628" s="1">
        <v>5682096</v>
      </c>
      <c r="O628" s="1">
        <v>0</v>
      </c>
      <c r="P628" s="1">
        <v>0</v>
      </c>
      <c r="Q628" s="1">
        <v>0</v>
      </c>
      <c r="R628" s="1">
        <v>87124</v>
      </c>
      <c r="S628" s="1">
        <v>0</v>
      </c>
      <c r="T628" s="1">
        <v>2640000</v>
      </c>
      <c r="U628" s="1">
        <v>0</v>
      </c>
      <c r="V628" s="1">
        <v>9368031</v>
      </c>
      <c r="W628" s="1">
        <v>4000000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3670854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61627873</v>
      </c>
      <c r="AP628" s="1">
        <v>15835885</v>
      </c>
      <c r="AQ628" s="1">
        <v>45791988</v>
      </c>
      <c r="AR628" s="1">
        <v>11573979</v>
      </c>
      <c r="AS628" s="1">
        <v>1736097</v>
      </c>
      <c r="AT628" s="3">
        <f t="shared" si="62"/>
        <v>74937949</v>
      </c>
    </row>
    <row r="629" spans="1:46" x14ac:dyDescent="0.2">
      <c r="A629" s="1" t="str">
        <f>"00727"</f>
        <v>00727</v>
      </c>
      <c r="B629" s="1" t="str">
        <f>"عبدالناصر"</f>
        <v>عبدالناصر</v>
      </c>
      <c r="C629" s="1" t="str">
        <f>"بچاچري نژاد"</f>
        <v>بچاچري نژاد</v>
      </c>
      <c r="D629" s="1" t="str">
        <f t="shared" si="67"/>
        <v>قراردادي کارگري</v>
      </c>
      <c r="E629" s="1" t="str">
        <f t="shared" si="68"/>
        <v>پروژه تعميرات نيروگاه بوشهر</v>
      </c>
      <c r="F629" s="1">
        <v>0</v>
      </c>
      <c r="G629" s="1">
        <v>3044064</v>
      </c>
      <c r="H629" s="1">
        <v>0</v>
      </c>
      <c r="I629" s="1">
        <v>6286136</v>
      </c>
      <c r="J629" s="1">
        <v>0</v>
      </c>
      <c r="K629" s="1">
        <v>0</v>
      </c>
      <c r="L629" s="1">
        <v>11572430</v>
      </c>
      <c r="M629" s="1">
        <v>2000000</v>
      </c>
      <c r="N629" s="1">
        <v>4353279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2640000</v>
      </c>
      <c r="U629" s="1">
        <v>0</v>
      </c>
      <c r="V629" s="1">
        <v>12655661</v>
      </c>
      <c r="W629" s="1">
        <v>4000000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4572461</v>
      </c>
      <c r="AE629" s="1">
        <v>0</v>
      </c>
      <c r="AF629" s="1">
        <v>7341708</v>
      </c>
      <c r="AG629" s="1">
        <v>0</v>
      </c>
      <c r="AH629" s="1">
        <v>0</v>
      </c>
      <c r="AI629" s="1">
        <v>0</v>
      </c>
      <c r="AJ629" s="1">
        <v>7792804</v>
      </c>
      <c r="AK629" s="1">
        <v>0</v>
      </c>
      <c r="AL629" s="1">
        <v>0</v>
      </c>
      <c r="AM629" s="1">
        <v>0</v>
      </c>
      <c r="AN629" s="1">
        <v>0</v>
      </c>
      <c r="AO629" s="1">
        <v>74529773</v>
      </c>
      <c r="AP629" s="1">
        <v>11158556</v>
      </c>
      <c r="AQ629" s="1">
        <v>63371217</v>
      </c>
      <c r="AR629" s="1">
        <v>13437613</v>
      </c>
      <c r="AS629" s="1">
        <v>2015642</v>
      </c>
      <c r="AT629" s="3">
        <f t="shared" si="62"/>
        <v>89983028</v>
      </c>
    </row>
    <row r="630" spans="1:46" x14ac:dyDescent="0.2">
      <c r="A630" s="1" t="str">
        <f>"00728"</f>
        <v>00728</v>
      </c>
      <c r="B630" s="1" t="str">
        <f>"مهدي"</f>
        <v>مهدي</v>
      </c>
      <c r="C630" s="1" t="str">
        <f>"آبسته"</f>
        <v>آبسته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0</v>
      </c>
      <c r="G630" s="1">
        <v>58495012</v>
      </c>
      <c r="H630" s="1">
        <v>0</v>
      </c>
      <c r="I630" s="1">
        <v>5524159</v>
      </c>
      <c r="J630" s="1">
        <v>0</v>
      </c>
      <c r="K630" s="1">
        <v>0</v>
      </c>
      <c r="L630" s="1">
        <v>11521166</v>
      </c>
      <c r="M630" s="1">
        <v>2000000</v>
      </c>
      <c r="N630" s="1">
        <v>4095003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2640000</v>
      </c>
      <c r="U630" s="1">
        <v>0</v>
      </c>
      <c r="V630" s="1">
        <v>12116687</v>
      </c>
      <c r="W630" s="1">
        <v>4000000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4338125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7413229</v>
      </c>
      <c r="AK630" s="1">
        <v>0</v>
      </c>
      <c r="AL630" s="1">
        <v>0</v>
      </c>
      <c r="AM630" s="1">
        <v>0</v>
      </c>
      <c r="AN630" s="1">
        <v>0</v>
      </c>
      <c r="AO630" s="1">
        <v>119923886</v>
      </c>
      <c r="AP630" s="1">
        <v>18439561</v>
      </c>
      <c r="AQ630" s="1">
        <v>101484325</v>
      </c>
      <c r="AR630" s="1">
        <v>23984777</v>
      </c>
      <c r="AS630" s="1">
        <v>3597717</v>
      </c>
      <c r="AT630" s="3">
        <f t="shared" si="62"/>
        <v>147506380</v>
      </c>
    </row>
    <row r="631" spans="1:46" x14ac:dyDescent="0.2">
      <c r="A631" s="1" t="str">
        <f>"00729"</f>
        <v>00729</v>
      </c>
      <c r="B631" s="1" t="str">
        <f>"مصطفي"</f>
        <v>مصطفي</v>
      </c>
      <c r="C631" s="1" t="str">
        <f>"ايرج زاده"</f>
        <v>ايرج زاده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0</v>
      </c>
      <c r="G631" s="1">
        <v>38529673</v>
      </c>
      <c r="H631" s="1">
        <v>0</v>
      </c>
      <c r="I631" s="1">
        <v>5849603</v>
      </c>
      <c r="J631" s="1">
        <v>0</v>
      </c>
      <c r="K631" s="1">
        <v>0</v>
      </c>
      <c r="L631" s="1">
        <v>11521166</v>
      </c>
      <c r="M631" s="1">
        <v>2000000</v>
      </c>
      <c r="N631" s="1">
        <v>4398197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2640000</v>
      </c>
      <c r="U631" s="1">
        <v>0</v>
      </c>
      <c r="V631" s="1">
        <v>12532311</v>
      </c>
      <c r="W631" s="1">
        <v>4000000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4518831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7705935</v>
      </c>
      <c r="AK631" s="1">
        <v>0</v>
      </c>
      <c r="AL631" s="1">
        <v>0</v>
      </c>
      <c r="AM631" s="1">
        <v>0</v>
      </c>
      <c r="AN631" s="1">
        <v>0</v>
      </c>
      <c r="AO631" s="1">
        <v>102052291</v>
      </c>
      <c r="AP631" s="1">
        <v>13594124</v>
      </c>
      <c r="AQ631" s="1">
        <v>88458167</v>
      </c>
      <c r="AR631" s="1">
        <v>20410458</v>
      </c>
      <c r="AS631" s="1">
        <v>3061569</v>
      </c>
      <c r="AT631" s="3">
        <f t="shared" si="62"/>
        <v>125524318</v>
      </c>
    </row>
    <row r="632" spans="1:46" x14ac:dyDescent="0.2">
      <c r="A632" s="1" t="str">
        <f>"00731"</f>
        <v>00731</v>
      </c>
      <c r="B632" s="1" t="str">
        <f>"امير"</f>
        <v>امير</v>
      </c>
      <c r="C632" s="1" t="str">
        <f>"جمالي نژاد"</f>
        <v>جمالي نژاد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0</v>
      </c>
      <c r="G632" s="1">
        <v>71662997</v>
      </c>
      <c r="H632" s="1">
        <v>0</v>
      </c>
      <c r="I632" s="1">
        <v>7519411</v>
      </c>
      <c r="J632" s="1">
        <v>0</v>
      </c>
      <c r="K632" s="1">
        <v>0</v>
      </c>
      <c r="L632" s="1">
        <v>11521166</v>
      </c>
      <c r="M632" s="1">
        <v>2000000</v>
      </c>
      <c r="N632" s="1">
        <v>5610977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2640000</v>
      </c>
      <c r="U632" s="1">
        <v>0</v>
      </c>
      <c r="V632" s="1">
        <v>14297583</v>
      </c>
      <c r="W632" s="1">
        <v>4000000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5286341</v>
      </c>
      <c r="AE632" s="1">
        <v>0</v>
      </c>
      <c r="AF632" s="1">
        <v>3670854</v>
      </c>
      <c r="AG632" s="1">
        <v>0</v>
      </c>
      <c r="AH632" s="1">
        <v>0</v>
      </c>
      <c r="AI632" s="1">
        <v>0</v>
      </c>
      <c r="AJ632" s="1">
        <v>8949135</v>
      </c>
      <c r="AK632" s="1">
        <v>0</v>
      </c>
      <c r="AL632" s="1">
        <v>0</v>
      </c>
      <c r="AM632" s="1">
        <v>0</v>
      </c>
      <c r="AN632" s="1">
        <v>0</v>
      </c>
      <c r="AO632" s="1">
        <v>147749183</v>
      </c>
      <c r="AP632" s="1">
        <v>23774236</v>
      </c>
      <c r="AQ632" s="1">
        <v>123974947</v>
      </c>
      <c r="AR632" s="1">
        <v>27080511</v>
      </c>
      <c r="AS632" s="1">
        <v>4062077</v>
      </c>
      <c r="AT632" s="3">
        <f t="shared" si="62"/>
        <v>178891771</v>
      </c>
    </row>
    <row r="633" spans="1:46" x14ac:dyDescent="0.2">
      <c r="A633" s="1" t="str">
        <f>"00732"</f>
        <v>00732</v>
      </c>
      <c r="B633" s="1" t="str">
        <f>"محمد امين"</f>
        <v>محمد امين</v>
      </c>
      <c r="C633" s="1" t="str">
        <f>"جوي"</f>
        <v>جوي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0</v>
      </c>
      <c r="G633" s="1">
        <v>43177660</v>
      </c>
      <c r="H633" s="1">
        <v>0</v>
      </c>
      <c r="I633" s="1">
        <v>6168219</v>
      </c>
      <c r="J633" s="1">
        <v>0</v>
      </c>
      <c r="K633" s="1">
        <v>0</v>
      </c>
      <c r="L633" s="1">
        <v>11521166</v>
      </c>
      <c r="M633" s="1">
        <v>2000000</v>
      </c>
      <c r="N633" s="1">
        <v>4637759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2640000</v>
      </c>
      <c r="U633" s="1">
        <v>0</v>
      </c>
      <c r="V633" s="1">
        <v>12881916</v>
      </c>
      <c r="W633" s="1">
        <v>4000000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4670833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100509294</v>
      </c>
      <c r="AP633" s="1">
        <v>31385322</v>
      </c>
      <c r="AQ633" s="1">
        <v>69123972</v>
      </c>
      <c r="AR633" s="1">
        <v>20101859</v>
      </c>
      <c r="AS633" s="1">
        <v>3015279</v>
      </c>
      <c r="AT633" s="3">
        <f t="shared" si="62"/>
        <v>123626432</v>
      </c>
    </row>
    <row r="634" spans="1:46" x14ac:dyDescent="0.2">
      <c r="A634" s="1" t="str">
        <f>"00733"</f>
        <v>00733</v>
      </c>
      <c r="B634" s="1" t="str">
        <f>"محمد"</f>
        <v>محمد</v>
      </c>
      <c r="C634" s="1" t="str">
        <f>"چم کوري"</f>
        <v>چم کوري</v>
      </c>
      <c r="D634" s="1" t="str">
        <f>"قراردادي بهره بردار"</f>
        <v>قراردادي بهره بردار</v>
      </c>
      <c r="E634" s="1" t="str">
        <f t="shared" si="68"/>
        <v>پروژه تعميرات نيروگاه بوشهر</v>
      </c>
      <c r="F634" s="1">
        <v>16846336</v>
      </c>
      <c r="G634" s="1">
        <v>103926747</v>
      </c>
      <c r="H634" s="1">
        <v>0</v>
      </c>
      <c r="I634" s="1">
        <v>13742924</v>
      </c>
      <c r="J634" s="1">
        <v>0</v>
      </c>
      <c r="K634" s="1">
        <v>4620000</v>
      </c>
      <c r="L634" s="1">
        <v>0</v>
      </c>
      <c r="M634" s="1">
        <v>1000000</v>
      </c>
      <c r="N634" s="1">
        <v>3273032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15977717</v>
      </c>
      <c r="W634" s="1">
        <v>4000000</v>
      </c>
      <c r="X634" s="1">
        <v>2445436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2571667</v>
      </c>
      <c r="AF634" s="1">
        <v>3670854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7948589</v>
      </c>
      <c r="AM634" s="1">
        <v>0</v>
      </c>
      <c r="AN634" s="1">
        <v>0</v>
      </c>
      <c r="AO634" s="1">
        <v>180023302</v>
      </c>
      <c r="AP634" s="1">
        <v>77720078</v>
      </c>
      <c r="AQ634" s="1">
        <v>102303224</v>
      </c>
      <c r="AR634" s="1">
        <v>26552511</v>
      </c>
      <c r="AS634" s="1">
        <v>3982877</v>
      </c>
      <c r="AT634" s="3">
        <f t="shared" si="62"/>
        <v>210558690</v>
      </c>
    </row>
    <row r="635" spans="1:46" x14ac:dyDescent="0.2">
      <c r="A635" s="1" t="str">
        <f>"00734"</f>
        <v>00734</v>
      </c>
      <c r="B635" s="1" t="str">
        <f>"حسين"</f>
        <v>حسين</v>
      </c>
      <c r="C635" s="1" t="str">
        <f>"حيدريان"</f>
        <v>حيدريان</v>
      </c>
      <c r="D635" s="1" t="str">
        <f t="shared" ref="D635:D643" si="69">"قراردادي کارگري"</f>
        <v>قراردادي کارگري</v>
      </c>
      <c r="E635" s="1" t="str">
        <f t="shared" si="68"/>
        <v>پروژه تعميرات نيروگاه بوشهر</v>
      </c>
      <c r="F635" s="1">
        <v>0</v>
      </c>
      <c r="G635" s="1">
        <v>62581590</v>
      </c>
      <c r="H635" s="1">
        <v>0</v>
      </c>
      <c r="I635" s="1">
        <v>5750035</v>
      </c>
      <c r="J635" s="1">
        <v>0</v>
      </c>
      <c r="K635" s="1">
        <v>0</v>
      </c>
      <c r="L635" s="1">
        <v>11521166</v>
      </c>
      <c r="M635" s="1">
        <v>2000000</v>
      </c>
      <c r="N635" s="1">
        <v>4323334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2640000</v>
      </c>
      <c r="U635" s="1">
        <v>0</v>
      </c>
      <c r="V635" s="1">
        <v>12423060</v>
      </c>
      <c r="W635" s="1">
        <v>4000000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4471331</v>
      </c>
      <c r="AE635" s="1">
        <v>0</v>
      </c>
      <c r="AF635" s="1">
        <v>1835427</v>
      </c>
      <c r="AG635" s="1">
        <v>0</v>
      </c>
      <c r="AH635" s="1">
        <v>0</v>
      </c>
      <c r="AI635" s="1">
        <v>0</v>
      </c>
      <c r="AJ635" s="1">
        <v>7628994</v>
      </c>
      <c r="AK635" s="1">
        <v>0</v>
      </c>
      <c r="AL635" s="1">
        <v>0</v>
      </c>
      <c r="AM635" s="1">
        <v>0</v>
      </c>
      <c r="AN635" s="1">
        <v>0</v>
      </c>
      <c r="AO635" s="1">
        <v>127389273</v>
      </c>
      <c r="AP635" s="1">
        <v>30741088</v>
      </c>
      <c r="AQ635" s="1">
        <v>96648185</v>
      </c>
      <c r="AR635" s="1">
        <v>25110769</v>
      </c>
      <c r="AS635" s="1">
        <v>3766615</v>
      </c>
      <c r="AT635" s="3">
        <f t="shared" si="62"/>
        <v>156266657</v>
      </c>
    </row>
    <row r="636" spans="1:46" x14ac:dyDescent="0.2">
      <c r="A636" s="1" t="str">
        <f>"00735"</f>
        <v>00735</v>
      </c>
      <c r="B636" s="1" t="str">
        <f>"هادي"</f>
        <v>هادي</v>
      </c>
      <c r="C636" s="1" t="str">
        <f>"خبازي"</f>
        <v>خبازي</v>
      </c>
      <c r="D636" s="1" t="str">
        <f t="shared" si="69"/>
        <v>قراردادي کارگري</v>
      </c>
      <c r="E636" s="1" t="str">
        <f t="shared" si="68"/>
        <v>پروژه تعميرات نيروگاه بوشهر</v>
      </c>
      <c r="F636" s="1">
        <v>0</v>
      </c>
      <c r="G636" s="1">
        <v>12901322</v>
      </c>
      <c r="H636" s="1">
        <v>0</v>
      </c>
      <c r="I636" s="1">
        <v>6053716</v>
      </c>
      <c r="J636" s="1">
        <v>0</v>
      </c>
      <c r="K636" s="1">
        <v>0</v>
      </c>
      <c r="L636" s="1">
        <v>11521166</v>
      </c>
      <c r="M636" s="1">
        <v>2000000</v>
      </c>
      <c r="N636" s="1">
        <v>4551666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2640000</v>
      </c>
      <c r="U636" s="1">
        <v>0</v>
      </c>
      <c r="V636" s="1">
        <v>12756277</v>
      </c>
      <c r="W636" s="1">
        <v>4000000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4616207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69688520</v>
      </c>
      <c r="AP636" s="1">
        <v>13668549</v>
      </c>
      <c r="AQ636" s="1">
        <v>56019971</v>
      </c>
      <c r="AR636" s="1">
        <v>13937704</v>
      </c>
      <c r="AS636" s="1">
        <v>2090656</v>
      </c>
      <c r="AT636" s="3">
        <f t="shared" si="62"/>
        <v>85716880</v>
      </c>
    </row>
    <row r="637" spans="1:46" x14ac:dyDescent="0.2">
      <c r="A637" s="1" t="str">
        <f>"00736"</f>
        <v>00736</v>
      </c>
      <c r="B637" s="1" t="str">
        <f>"امير"</f>
        <v>امير</v>
      </c>
      <c r="C637" s="1" t="str">
        <f>"روزرخ"</f>
        <v>روزرخ</v>
      </c>
      <c r="D637" s="1" t="str">
        <f t="shared" si="69"/>
        <v>قراردادي کارگري</v>
      </c>
      <c r="E637" s="1" t="str">
        <f t="shared" si="68"/>
        <v>پروژه تعميرات نيروگاه بوشهر</v>
      </c>
      <c r="F637" s="1">
        <v>0</v>
      </c>
      <c r="G637" s="1">
        <v>77737838</v>
      </c>
      <c r="H637" s="1">
        <v>0</v>
      </c>
      <c r="I637" s="1">
        <v>9752898</v>
      </c>
      <c r="J637" s="1">
        <v>0</v>
      </c>
      <c r="K637" s="1">
        <v>0</v>
      </c>
      <c r="L637" s="1">
        <v>11331151</v>
      </c>
      <c r="M637" s="1">
        <v>2000000</v>
      </c>
      <c r="N637" s="1">
        <v>6501932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2640000</v>
      </c>
      <c r="U637" s="1">
        <v>0</v>
      </c>
      <c r="V637" s="1">
        <v>15862101</v>
      </c>
      <c r="W637" s="1">
        <v>4000000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5966565</v>
      </c>
      <c r="AE637" s="1">
        <v>0</v>
      </c>
      <c r="AF637" s="1">
        <v>3670854</v>
      </c>
      <c r="AG637" s="1">
        <v>0</v>
      </c>
      <c r="AH637" s="1">
        <v>0</v>
      </c>
      <c r="AI637" s="1">
        <v>0</v>
      </c>
      <c r="AJ637" s="1">
        <v>10050953</v>
      </c>
      <c r="AK637" s="1">
        <v>0</v>
      </c>
      <c r="AL637" s="1">
        <v>0</v>
      </c>
      <c r="AM637" s="1">
        <v>0</v>
      </c>
      <c r="AN637" s="1">
        <v>0</v>
      </c>
      <c r="AO637" s="1">
        <v>161705414</v>
      </c>
      <c r="AP637" s="1">
        <v>29255600</v>
      </c>
      <c r="AQ637" s="1">
        <v>132449814</v>
      </c>
      <c r="AR637" s="1">
        <v>27080511</v>
      </c>
      <c r="AS637" s="1">
        <v>4062077</v>
      </c>
      <c r="AT637" s="3">
        <f t="shared" si="62"/>
        <v>192848002</v>
      </c>
    </row>
    <row r="638" spans="1:46" x14ac:dyDescent="0.2">
      <c r="A638" s="1" t="str">
        <f>"00737"</f>
        <v>00737</v>
      </c>
      <c r="B638" s="1" t="str">
        <f>"ماشاءاله"</f>
        <v>ماشاءاله</v>
      </c>
      <c r="C638" s="1" t="str">
        <f>"رفيعي"</f>
        <v>رفيعي</v>
      </c>
      <c r="D638" s="1" t="str">
        <f t="shared" si="69"/>
        <v>قراردادي کارگري</v>
      </c>
      <c r="E638" s="1" t="str">
        <f t="shared" si="68"/>
        <v>پروژه تعميرات نيروگاه بوشهر</v>
      </c>
      <c r="F638" s="1">
        <v>0</v>
      </c>
      <c r="G638" s="1">
        <v>15099783</v>
      </c>
      <c r="H638" s="1">
        <v>0</v>
      </c>
      <c r="I638" s="1">
        <v>9107594</v>
      </c>
      <c r="J638" s="1">
        <v>0</v>
      </c>
      <c r="K638" s="1">
        <v>0</v>
      </c>
      <c r="L638" s="1">
        <v>11521166</v>
      </c>
      <c r="M638" s="1">
        <v>2000000</v>
      </c>
      <c r="N638" s="1">
        <v>6520562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2640000</v>
      </c>
      <c r="U638" s="1">
        <v>0</v>
      </c>
      <c r="V638" s="1">
        <v>14039491</v>
      </c>
      <c r="W638" s="1">
        <v>4000000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5506281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82742437</v>
      </c>
      <c r="AP638" s="1">
        <v>24701286</v>
      </c>
      <c r="AQ638" s="1">
        <v>58041151</v>
      </c>
      <c r="AR638" s="1">
        <v>15447231</v>
      </c>
      <c r="AS638" s="1">
        <v>2317085</v>
      </c>
      <c r="AT638" s="3">
        <f t="shared" si="62"/>
        <v>100506753</v>
      </c>
    </row>
    <row r="639" spans="1:46" x14ac:dyDescent="0.2">
      <c r="A639" s="1" t="str">
        <f>"00738"</f>
        <v>00738</v>
      </c>
      <c r="B639" s="1" t="str">
        <f>"احمد"</f>
        <v>احمد</v>
      </c>
      <c r="C639" s="1" t="str">
        <f>"غلامي"</f>
        <v>غلامي</v>
      </c>
      <c r="D639" s="1" t="str">
        <f t="shared" si="69"/>
        <v>قراردادي کارگري</v>
      </c>
      <c r="E639" s="1" t="str">
        <f t="shared" si="68"/>
        <v>پروژه تعميرات نيروگاه بوشهر</v>
      </c>
      <c r="F639" s="1">
        <v>0</v>
      </c>
      <c r="G639" s="1">
        <v>8784644</v>
      </c>
      <c r="H639" s="1">
        <v>0</v>
      </c>
      <c r="I639" s="1">
        <v>5993117</v>
      </c>
      <c r="J639" s="1">
        <v>0</v>
      </c>
      <c r="K639" s="1">
        <v>0</v>
      </c>
      <c r="L639" s="1">
        <v>11572430</v>
      </c>
      <c r="M639" s="1">
        <v>2000000</v>
      </c>
      <c r="N639" s="1">
        <v>4349537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2640000</v>
      </c>
      <c r="U639" s="1">
        <v>0</v>
      </c>
      <c r="V639" s="1">
        <v>15982927</v>
      </c>
      <c r="W639" s="1">
        <v>4000000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4518725</v>
      </c>
      <c r="AE639" s="1">
        <v>0</v>
      </c>
      <c r="AF639" s="1">
        <v>1835427</v>
      </c>
      <c r="AG639" s="1">
        <v>0</v>
      </c>
      <c r="AH639" s="1">
        <v>0</v>
      </c>
      <c r="AI639" s="1">
        <v>0</v>
      </c>
      <c r="AJ639" s="1">
        <v>6246858</v>
      </c>
      <c r="AK639" s="1">
        <v>0</v>
      </c>
      <c r="AL639" s="1">
        <v>0</v>
      </c>
      <c r="AM639" s="1">
        <v>0</v>
      </c>
      <c r="AN639" s="1">
        <v>0</v>
      </c>
      <c r="AO639" s="1">
        <v>76133415</v>
      </c>
      <c r="AP639" s="1">
        <v>21130174</v>
      </c>
      <c r="AQ639" s="1">
        <v>55003241</v>
      </c>
      <c r="AR639" s="1">
        <v>14859598</v>
      </c>
      <c r="AS639" s="1">
        <v>2228940</v>
      </c>
      <c r="AT639" s="3">
        <f t="shared" si="62"/>
        <v>93221953</v>
      </c>
    </row>
    <row r="640" spans="1:46" x14ac:dyDescent="0.2">
      <c r="A640" s="1" t="str">
        <f>"00739"</f>
        <v>00739</v>
      </c>
      <c r="B640" s="1" t="str">
        <f>"سعيد"</f>
        <v>سعيد</v>
      </c>
      <c r="C640" s="1" t="str">
        <f>"آقايي کردشامي"</f>
        <v>آقايي کردشامي</v>
      </c>
      <c r="D640" s="1" t="str">
        <f t="shared" si="69"/>
        <v>قراردادي کارگري</v>
      </c>
      <c r="E640" s="1" t="str">
        <f t="shared" si="68"/>
        <v>پروژه تعميرات نيروگاه بوشهر</v>
      </c>
      <c r="F640" s="1">
        <v>0</v>
      </c>
      <c r="G640" s="1">
        <v>2385992</v>
      </c>
      <c r="H640" s="1">
        <v>0</v>
      </c>
      <c r="I640" s="1">
        <v>6201077</v>
      </c>
      <c r="J640" s="1">
        <v>0</v>
      </c>
      <c r="K640" s="1">
        <v>0</v>
      </c>
      <c r="L640" s="1">
        <v>11521166</v>
      </c>
      <c r="M640" s="1">
        <v>2000000</v>
      </c>
      <c r="N640" s="1">
        <v>4532950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2640000</v>
      </c>
      <c r="U640" s="1">
        <v>0</v>
      </c>
      <c r="V640" s="1">
        <v>11398348</v>
      </c>
      <c r="W640" s="1">
        <v>4000000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3670854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56962993</v>
      </c>
      <c r="AP640" s="1">
        <v>16114749</v>
      </c>
      <c r="AQ640" s="1">
        <v>40848244</v>
      </c>
      <c r="AR640" s="1">
        <v>10658428</v>
      </c>
      <c r="AS640" s="1">
        <v>1598764</v>
      </c>
      <c r="AT640" s="3">
        <f t="shared" si="62"/>
        <v>69220185</v>
      </c>
    </row>
    <row r="641" spans="1:46" x14ac:dyDescent="0.2">
      <c r="A641" s="1" t="str">
        <f>"00740"</f>
        <v>00740</v>
      </c>
      <c r="B641" s="1" t="str">
        <f>"محمد"</f>
        <v>محمد</v>
      </c>
      <c r="C641" s="1" t="str">
        <f>"ماهيني"</f>
        <v>ماهيني</v>
      </c>
      <c r="D641" s="1" t="str">
        <f t="shared" si="69"/>
        <v>قراردادي کارگري</v>
      </c>
      <c r="E641" s="1" t="str">
        <f t="shared" si="68"/>
        <v>پروژه تعميرات نيروگاه بوشهر</v>
      </c>
      <c r="F641" s="1">
        <v>0</v>
      </c>
      <c r="G641" s="1">
        <v>7383152</v>
      </c>
      <c r="H641" s="1">
        <v>0</v>
      </c>
      <c r="I641" s="1">
        <v>6464789</v>
      </c>
      <c r="J641" s="1">
        <v>0</v>
      </c>
      <c r="K641" s="1">
        <v>0</v>
      </c>
      <c r="L641" s="1">
        <v>11521166</v>
      </c>
      <c r="M641" s="1">
        <v>2000000</v>
      </c>
      <c r="N641" s="1">
        <v>4536694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2640000</v>
      </c>
      <c r="U641" s="1">
        <v>0</v>
      </c>
      <c r="V641" s="1">
        <v>3734236</v>
      </c>
      <c r="W641" s="1">
        <v>4000000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50899755</v>
      </c>
      <c r="AP641" s="1">
        <v>6210432</v>
      </c>
      <c r="AQ641" s="1">
        <v>44689323</v>
      </c>
      <c r="AR641" s="1">
        <v>10179951</v>
      </c>
      <c r="AS641" s="1">
        <v>1526993</v>
      </c>
      <c r="AT641" s="3">
        <f t="shared" si="62"/>
        <v>62606699</v>
      </c>
    </row>
    <row r="642" spans="1:46" x14ac:dyDescent="0.2">
      <c r="A642" s="1" t="str">
        <f>"00742"</f>
        <v>00742</v>
      </c>
      <c r="B642" s="1" t="str">
        <f>"امير"</f>
        <v>امير</v>
      </c>
      <c r="C642" s="1" t="str">
        <f>"رستمي پور"</f>
        <v>رستمي پور</v>
      </c>
      <c r="D642" s="1" t="str">
        <f t="shared" si="69"/>
        <v>قراردادي کارگري</v>
      </c>
      <c r="E642" s="1" t="str">
        <f t="shared" si="68"/>
        <v>پروژه تعميرات نيروگاه بوشهر</v>
      </c>
      <c r="F642" s="1">
        <v>0</v>
      </c>
      <c r="G642" s="1">
        <v>0</v>
      </c>
      <c r="H642" s="1">
        <v>0</v>
      </c>
      <c r="I642" s="1">
        <v>5913184</v>
      </c>
      <c r="J642" s="1">
        <v>0</v>
      </c>
      <c r="K642" s="1">
        <v>0</v>
      </c>
      <c r="L642" s="1">
        <v>11521166</v>
      </c>
      <c r="M642" s="1">
        <v>2000000</v>
      </c>
      <c r="N642" s="1">
        <v>4095003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2640000</v>
      </c>
      <c r="U642" s="1">
        <v>0</v>
      </c>
      <c r="V642" s="1">
        <v>3550986</v>
      </c>
      <c r="W642" s="1">
        <v>4000000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41500844</v>
      </c>
      <c r="AP642" s="1">
        <v>6321743</v>
      </c>
      <c r="AQ642" s="1">
        <v>35179101</v>
      </c>
      <c r="AR642" s="1">
        <v>8300169</v>
      </c>
      <c r="AS642" s="1">
        <v>1245025</v>
      </c>
      <c r="AT642" s="3">
        <f t="shared" si="62"/>
        <v>51046038</v>
      </c>
    </row>
    <row r="643" spans="1:46" x14ac:dyDescent="0.2">
      <c r="A643" s="1" t="str">
        <f>"00743"</f>
        <v>00743</v>
      </c>
      <c r="B643" s="1" t="str">
        <f>"حسين"</f>
        <v>حسين</v>
      </c>
      <c r="C643" s="1" t="str">
        <f>"جباري فرد"</f>
        <v>جباري فرد</v>
      </c>
      <c r="D643" s="1" t="str">
        <f t="shared" si="69"/>
        <v>قراردادي کارگري</v>
      </c>
      <c r="E643" s="1" t="str">
        <f t="shared" si="68"/>
        <v>پروژه تعميرات نيروگاه بوشهر</v>
      </c>
      <c r="F643" s="1">
        <v>0</v>
      </c>
      <c r="G643" s="1">
        <v>5999700</v>
      </c>
      <c r="H643" s="1">
        <v>0</v>
      </c>
      <c r="I643" s="1">
        <v>6165445</v>
      </c>
      <c r="J643" s="1">
        <v>0</v>
      </c>
      <c r="K643" s="1">
        <v>0</v>
      </c>
      <c r="L643" s="1">
        <v>11521166</v>
      </c>
      <c r="M643" s="1">
        <v>2000000</v>
      </c>
      <c r="N643" s="1">
        <v>4570382</v>
      </c>
      <c r="O643" s="1">
        <v>0</v>
      </c>
      <c r="P643" s="1">
        <v>0</v>
      </c>
      <c r="Q643" s="1">
        <v>0</v>
      </c>
      <c r="R643" s="1">
        <v>335152</v>
      </c>
      <c r="S643" s="1">
        <v>0</v>
      </c>
      <c r="T643" s="1">
        <v>2640000</v>
      </c>
      <c r="U643" s="1">
        <v>0</v>
      </c>
      <c r="V643" s="1">
        <v>7706699</v>
      </c>
      <c r="W643" s="1">
        <v>4000000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1835427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55457698</v>
      </c>
      <c r="AP643" s="1">
        <v>7468143</v>
      </c>
      <c r="AQ643" s="1">
        <v>47989555</v>
      </c>
      <c r="AR643" s="1">
        <v>10657424</v>
      </c>
      <c r="AS643" s="1">
        <v>1598614</v>
      </c>
      <c r="AT643" s="3">
        <f t="shared" ref="AT643:AT706" si="70">AO643+AR643+AS643</f>
        <v>67713736</v>
      </c>
    </row>
    <row r="644" spans="1:46" x14ac:dyDescent="0.2">
      <c r="A644" s="1" t="str">
        <f>"00744"</f>
        <v>00744</v>
      </c>
      <c r="B644" s="1" t="str">
        <f>"منصور"</f>
        <v>منصور</v>
      </c>
      <c r="C644" s="1" t="str">
        <f>"صفايان آزاد"</f>
        <v>صفايان آزاد</v>
      </c>
      <c r="D644" s="1" t="str">
        <f>"قراردادي بهره بردار"</f>
        <v>قراردادي بهره بردار</v>
      </c>
      <c r="E644" s="1" t="str">
        <f>"پروژه بهره برداري نيروگاه بوشهر"</f>
        <v>پروژه بهره برداري نيروگاه بوشهر</v>
      </c>
      <c r="F644" s="1">
        <v>16161096</v>
      </c>
      <c r="G644" s="1">
        <v>9748644</v>
      </c>
      <c r="H644" s="1">
        <v>0</v>
      </c>
      <c r="I644" s="1">
        <v>11978947</v>
      </c>
      <c r="J644" s="1">
        <v>0</v>
      </c>
      <c r="K644" s="1">
        <v>4620000</v>
      </c>
      <c r="L644" s="1">
        <v>0</v>
      </c>
      <c r="M644" s="1">
        <v>1000000</v>
      </c>
      <c r="N644" s="1">
        <v>2755448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14765338</v>
      </c>
      <c r="W644" s="1">
        <v>4000000</v>
      </c>
      <c r="X644" s="1">
        <v>2345966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2164995</v>
      </c>
      <c r="AF644" s="1">
        <v>3670854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9737596</v>
      </c>
      <c r="AM644" s="1">
        <v>0</v>
      </c>
      <c r="AN644" s="1">
        <v>0</v>
      </c>
      <c r="AO644" s="1">
        <v>82948884</v>
      </c>
      <c r="AP644" s="1">
        <v>28613851</v>
      </c>
      <c r="AQ644" s="1">
        <v>54335033</v>
      </c>
      <c r="AR644" s="1">
        <v>15855606</v>
      </c>
      <c r="AS644" s="1">
        <v>2378341</v>
      </c>
      <c r="AT644" s="3">
        <f t="shared" si="70"/>
        <v>101182831</v>
      </c>
    </row>
    <row r="645" spans="1:46" x14ac:dyDescent="0.2">
      <c r="A645" s="1" t="str">
        <f>"00745"</f>
        <v>00745</v>
      </c>
      <c r="B645" s="1" t="str">
        <f>"بهروز"</f>
        <v>بهروز</v>
      </c>
      <c r="C645" s="1" t="str">
        <f>"بحراني"</f>
        <v>بحراني</v>
      </c>
      <c r="D645" s="1" t="str">
        <f>"قراردادي بهره بردار"</f>
        <v>قراردادي بهره بردار</v>
      </c>
      <c r="E645" s="1" t="str">
        <f>"پروژه تعميرات نيروگاه بوشهر"</f>
        <v>پروژه تعميرات نيروگاه بوشهر</v>
      </c>
      <c r="F645" s="1">
        <v>22028468</v>
      </c>
      <c r="G645" s="1">
        <v>13888502</v>
      </c>
      <c r="H645" s="1">
        <v>0</v>
      </c>
      <c r="I645" s="1">
        <v>17990931</v>
      </c>
      <c r="J645" s="1">
        <v>0</v>
      </c>
      <c r="K645" s="1">
        <v>5500000</v>
      </c>
      <c r="L645" s="1">
        <v>0</v>
      </c>
      <c r="M645" s="1">
        <v>1000000</v>
      </c>
      <c r="N645" s="1">
        <v>3847928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16325206</v>
      </c>
      <c r="W645" s="1">
        <v>4000000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3023372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7076923</v>
      </c>
      <c r="AM645" s="1">
        <v>0</v>
      </c>
      <c r="AN645" s="1">
        <v>0</v>
      </c>
      <c r="AO645" s="1">
        <v>94681330</v>
      </c>
      <c r="AP645" s="1">
        <v>23697846</v>
      </c>
      <c r="AQ645" s="1">
        <v>70983484</v>
      </c>
      <c r="AR645" s="1">
        <v>18936266</v>
      </c>
      <c r="AS645" s="1">
        <v>2840440</v>
      </c>
      <c r="AT645" s="3">
        <f t="shared" si="70"/>
        <v>116458036</v>
      </c>
    </row>
    <row r="646" spans="1:46" x14ac:dyDescent="0.2">
      <c r="A646" s="1" t="str">
        <f>"00746"</f>
        <v>00746</v>
      </c>
      <c r="B646" s="1" t="str">
        <f>"عبدالکريم"</f>
        <v>عبدالکريم</v>
      </c>
      <c r="C646" s="1" t="str">
        <f>"اسفندياري"</f>
        <v>اسفندياري</v>
      </c>
      <c r="D646" s="1" t="str">
        <f>"قراردادي کارگري"</f>
        <v>قراردادي کارگري</v>
      </c>
      <c r="E646" s="1" t="str">
        <f>"پروژه تعميرات نيروگاه بوشهر"</f>
        <v>پروژه تعميرات نيروگاه بوشهر</v>
      </c>
      <c r="F646" s="1">
        <v>0</v>
      </c>
      <c r="G646" s="1">
        <v>1912355</v>
      </c>
      <c r="H646" s="1">
        <v>0</v>
      </c>
      <c r="I646" s="1">
        <v>7752491</v>
      </c>
      <c r="J646" s="1">
        <v>0</v>
      </c>
      <c r="K646" s="1">
        <v>0</v>
      </c>
      <c r="L646" s="1">
        <v>11521166</v>
      </c>
      <c r="M646" s="1">
        <v>2000000</v>
      </c>
      <c r="N646" s="1">
        <v>5704556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2640000</v>
      </c>
      <c r="U646" s="1">
        <v>0</v>
      </c>
      <c r="V646" s="1">
        <v>18456046</v>
      </c>
      <c r="W646" s="1">
        <v>4000000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5361834</v>
      </c>
      <c r="AE646" s="1">
        <v>0</v>
      </c>
      <c r="AF646" s="1">
        <v>5506281</v>
      </c>
      <c r="AG646" s="1">
        <v>0</v>
      </c>
      <c r="AH646" s="1">
        <v>0</v>
      </c>
      <c r="AI646" s="1">
        <v>0</v>
      </c>
      <c r="AJ646" s="1">
        <v>7343444</v>
      </c>
      <c r="AK646" s="1">
        <v>0</v>
      </c>
      <c r="AL646" s="1">
        <v>0</v>
      </c>
      <c r="AM646" s="1">
        <v>0</v>
      </c>
      <c r="AN646" s="1">
        <v>0</v>
      </c>
      <c r="AO646" s="1">
        <v>82965521</v>
      </c>
      <c r="AP646" s="1">
        <v>13613684</v>
      </c>
      <c r="AQ646" s="1">
        <v>69351837</v>
      </c>
      <c r="AR646" s="1">
        <v>15491848</v>
      </c>
      <c r="AS646" s="1">
        <v>2323777</v>
      </c>
      <c r="AT646" s="3">
        <f t="shared" si="70"/>
        <v>100781146</v>
      </c>
    </row>
    <row r="647" spans="1:46" x14ac:dyDescent="0.2">
      <c r="A647" s="1" t="str">
        <f>"00747"</f>
        <v>00747</v>
      </c>
      <c r="B647" s="1" t="str">
        <f>"محراب"</f>
        <v>محراب</v>
      </c>
      <c r="C647" s="1" t="str">
        <f>"احمدي زاده"</f>
        <v>احمدي زاده</v>
      </c>
      <c r="D647" s="1" t="str">
        <f>"قراردادي کارگري"</f>
        <v>قراردادي کارگري</v>
      </c>
      <c r="E647" s="1" t="str">
        <f>"پروژه تعميرات نيروگاه بوشهر"</f>
        <v>پروژه تعميرات نيروگاه بوشهر</v>
      </c>
      <c r="F647" s="1">
        <v>0</v>
      </c>
      <c r="G647" s="1">
        <v>971637</v>
      </c>
      <c r="H647" s="1">
        <v>0</v>
      </c>
      <c r="I647" s="1">
        <v>8070522</v>
      </c>
      <c r="J647" s="1">
        <v>0</v>
      </c>
      <c r="K647" s="1">
        <v>0</v>
      </c>
      <c r="L647" s="1">
        <v>11331151</v>
      </c>
      <c r="M647" s="1">
        <v>2000000</v>
      </c>
      <c r="N647" s="1">
        <v>5448455</v>
      </c>
      <c r="O647" s="1">
        <v>0</v>
      </c>
      <c r="P647" s="1">
        <v>0</v>
      </c>
      <c r="Q647" s="1">
        <v>0</v>
      </c>
      <c r="R647" s="1">
        <v>786565</v>
      </c>
      <c r="S647" s="1">
        <v>0</v>
      </c>
      <c r="T647" s="1">
        <v>2640000</v>
      </c>
      <c r="U647" s="1">
        <v>0</v>
      </c>
      <c r="V647" s="1">
        <v>10832320</v>
      </c>
      <c r="W647" s="1">
        <v>4000000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1835427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58131929</v>
      </c>
      <c r="AP647" s="1">
        <v>9304923</v>
      </c>
      <c r="AQ647" s="1">
        <v>48827006</v>
      </c>
      <c r="AR647" s="1">
        <v>11101987</v>
      </c>
      <c r="AS647" s="1">
        <v>1665298</v>
      </c>
      <c r="AT647" s="3">
        <f t="shared" si="70"/>
        <v>70899214</v>
      </c>
    </row>
    <row r="648" spans="1:46" x14ac:dyDescent="0.2">
      <c r="A648" s="1" t="str">
        <f>"00748"</f>
        <v>00748</v>
      </c>
      <c r="B648" s="1" t="str">
        <f>"يعقوب"</f>
        <v>يعقوب</v>
      </c>
      <c r="C648" s="1" t="str">
        <f>"افراز"</f>
        <v>افراز</v>
      </c>
      <c r="D648" s="1" t="str">
        <f>"قراردادي بهره بردار"</f>
        <v>قراردادي بهره بردار</v>
      </c>
      <c r="E648" s="1" t="str">
        <f>"پروژه بهره برداري نيروگاه بوشهر"</f>
        <v>پروژه بهره برداري نيروگاه بوشهر</v>
      </c>
      <c r="F648" s="1">
        <v>14669690</v>
      </c>
      <c r="G648" s="1">
        <v>34718834</v>
      </c>
      <c r="H648" s="1">
        <v>0</v>
      </c>
      <c r="I648" s="1">
        <v>10477669</v>
      </c>
      <c r="J648" s="1">
        <v>0</v>
      </c>
      <c r="K648" s="1">
        <v>4620000</v>
      </c>
      <c r="L648" s="1">
        <v>0</v>
      </c>
      <c r="M648" s="1">
        <v>1000000</v>
      </c>
      <c r="N648" s="1">
        <v>2511205</v>
      </c>
      <c r="O648" s="1">
        <v>0</v>
      </c>
      <c r="P648" s="1">
        <v>0</v>
      </c>
      <c r="Q648" s="1">
        <v>0</v>
      </c>
      <c r="R648" s="1">
        <v>3148131</v>
      </c>
      <c r="S648" s="1">
        <v>0</v>
      </c>
      <c r="T648" s="1">
        <v>0</v>
      </c>
      <c r="U648" s="1">
        <v>0</v>
      </c>
      <c r="V648" s="1">
        <v>3727390</v>
      </c>
      <c r="W648" s="1">
        <v>4000000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1973090</v>
      </c>
      <c r="AF648" s="1">
        <v>3670854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7642246</v>
      </c>
      <c r="AM648" s="1">
        <v>0</v>
      </c>
      <c r="AN648" s="1">
        <v>0</v>
      </c>
      <c r="AO648" s="1">
        <v>92159109</v>
      </c>
      <c r="AP648" s="1">
        <v>36766820</v>
      </c>
      <c r="AQ648" s="1">
        <v>55392289</v>
      </c>
      <c r="AR648" s="1">
        <v>17068025</v>
      </c>
      <c r="AS648" s="1">
        <v>2560204</v>
      </c>
      <c r="AT648" s="3">
        <f t="shared" si="70"/>
        <v>111787338</v>
      </c>
    </row>
    <row r="649" spans="1:46" x14ac:dyDescent="0.2">
      <c r="A649" s="1" t="str">
        <f>"00749"</f>
        <v>00749</v>
      </c>
      <c r="B649" s="1" t="str">
        <f>"عليرضا"</f>
        <v>عليرضا</v>
      </c>
      <c r="C649" s="1" t="str">
        <f>"بدره"</f>
        <v>بدره</v>
      </c>
      <c r="D649" s="1" t="str">
        <f t="shared" ref="D649:D658" si="71">"قراردادي کارگري"</f>
        <v>قراردادي کارگري</v>
      </c>
      <c r="E649" s="1" t="str">
        <f t="shared" ref="E649:E658" si="72">"پروژه تعميرات نيروگاه بوشهر"</f>
        <v>پروژه تعميرات نيروگاه بوشهر</v>
      </c>
      <c r="F649" s="1">
        <v>0</v>
      </c>
      <c r="G649" s="1">
        <v>6931113</v>
      </c>
      <c r="H649" s="1">
        <v>0</v>
      </c>
      <c r="I649" s="1">
        <v>5678631</v>
      </c>
      <c r="J649" s="1">
        <v>0</v>
      </c>
      <c r="K649" s="1">
        <v>0</v>
      </c>
      <c r="L649" s="1">
        <v>11521166</v>
      </c>
      <c r="M649" s="1">
        <v>2000000</v>
      </c>
      <c r="N649" s="1">
        <v>4038856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2640000</v>
      </c>
      <c r="U649" s="1">
        <v>0</v>
      </c>
      <c r="V649" s="1">
        <v>8865900</v>
      </c>
      <c r="W649" s="1">
        <v>4000000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1835427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55184918</v>
      </c>
      <c r="AP649" s="1">
        <v>8348691</v>
      </c>
      <c r="AQ649" s="1">
        <v>46836227</v>
      </c>
      <c r="AR649" s="1">
        <v>10669898</v>
      </c>
      <c r="AS649" s="1">
        <v>1600485</v>
      </c>
      <c r="AT649" s="3">
        <f t="shared" si="70"/>
        <v>67455301</v>
      </c>
    </row>
    <row r="650" spans="1:46" x14ac:dyDescent="0.2">
      <c r="A650" s="1" t="str">
        <f>"00750"</f>
        <v>00750</v>
      </c>
      <c r="B650" s="1" t="str">
        <f>"ابوالفضل"</f>
        <v>ابوالفضل</v>
      </c>
      <c r="C650" s="1" t="str">
        <f>"جمالي"</f>
        <v>جمالي</v>
      </c>
      <c r="D650" s="1" t="str">
        <f t="shared" si="71"/>
        <v>قراردادي کارگري</v>
      </c>
      <c r="E650" s="1" t="str">
        <f t="shared" si="72"/>
        <v>پروژه تعميرات نيروگاه بوشهر</v>
      </c>
      <c r="F650" s="1">
        <v>0</v>
      </c>
      <c r="G650" s="1">
        <v>0</v>
      </c>
      <c r="H650" s="1">
        <v>0</v>
      </c>
      <c r="I650" s="1">
        <v>9545648</v>
      </c>
      <c r="J650" s="1">
        <v>0</v>
      </c>
      <c r="K650" s="1">
        <v>0</v>
      </c>
      <c r="L650" s="1">
        <v>11331151</v>
      </c>
      <c r="M650" s="1">
        <v>2000000</v>
      </c>
      <c r="N650" s="1">
        <v>6444319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2640000</v>
      </c>
      <c r="U650" s="1">
        <v>0</v>
      </c>
      <c r="V650" s="1">
        <v>10945013</v>
      </c>
      <c r="W650" s="1">
        <v>4000000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58989231</v>
      </c>
      <c r="AP650" s="1">
        <v>17965185</v>
      </c>
      <c r="AQ650" s="1">
        <v>41024046</v>
      </c>
      <c r="AR650" s="1">
        <v>11797846</v>
      </c>
      <c r="AS650" s="1">
        <v>1769677</v>
      </c>
      <c r="AT650" s="3">
        <f t="shared" si="70"/>
        <v>72556754</v>
      </c>
    </row>
    <row r="651" spans="1:46" x14ac:dyDescent="0.2">
      <c r="A651" s="1" t="str">
        <f>"00751"</f>
        <v>00751</v>
      </c>
      <c r="B651" s="1" t="str">
        <f>"علي اصغر"</f>
        <v>علي اصغر</v>
      </c>
      <c r="C651" s="1" t="str">
        <f>"رستمي پور"</f>
        <v>رستمي پور</v>
      </c>
      <c r="D651" s="1" t="str">
        <f t="shared" si="71"/>
        <v>قراردادي کارگري</v>
      </c>
      <c r="E651" s="1" t="str">
        <f t="shared" si="72"/>
        <v>پروژه تعميرات نيروگاه بوشهر</v>
      </c>
      <c r="F651" s="1">
        <v>0</v>
      </c>
      <c r="G651" s="1">
        <v>5443419</v>
      </c>
      <c r="H651" s="1">
        <v>0</v>
      </c>
      <c r="I651" s="1">
        <v>9812310</v>
      </c>
      <c r="J651" s="1">
        <v>0</v>
      </c>
      <c r="K651" s="1">
        <v>0</v>
      </c>
      <c r="L651" s="1">
        <v>11331151</v>
      </c>
      <c r="M651" s="1">
        <v>2000000</v>
      </c>
      <c r="N651" s="1">
        <v>6460780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2640000</v>
      </c>
      <c r="U651" s="1">
        <v>0</v>
      </c>
      <c r="V651" s="1">
        <v>11709142</v>
      </c>
      <c r="W651" s="1">
        <v>4000000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3670854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69181619</v>
      </c>
      <c r="AP651" s="1">
        <v>11223340</v>
      </c>
      <c r="AQ651" s="1">
        <v>57958279</v>
      </c>
      <c r="AR651" s="1">
        <v>13102153</v>
      </c>
      <c r="AS651" s="1">
        <v>1965323</v>
      </c>
      <c r="AT651" s="3">
        <f t="shared" si="70"/>
        <v>84249095</v>
      </c>
    </row>
    <row r="652" spans="1:46" x14ac:dyDescent="0.2">
      <c r="A652" s="1" t="str">
        <f>"00752"</f>
        <v>00752</v>
      </c>
      <c r="B652" s="1" t="str">
        <f>"سجاد"</f>
        <v>سجاد</v>
      </c>
      <c r="C652" s="1" t="str">
        <f>"رضائيان"</f>
        <v>رضائيان</v>
      </c>
      <c r="D652" s="1" t="str">
        <f t="shared" si="71"/>
        <v>قراردادي کارگري</v>
      </c>
      <c r="E652" s="1" t="str">
        <f t="shared" si="72"/>
        <v>پروژه تعميرات نيروگاه بوشهر</v>
      </c>
      <c r="F652" s="1">
        <v>0</v>
      </c>
      <c r="G652" s="1">
        <v>6539540</v>
      </c>
      <c r="H652" s="1">
        <v>0</v>
      </c>
      <c r="I652" s="1">
        <v>9205841</v>
      </c>
      <c r="J652" s="1">
        <v>0</v>
      </c>
      <c r="K652" s="1">
        <v>0</v>
      </c>
      <c r="L652" s="1">
        <v>11331151</v>
      </c>
      <c r="M652" s="1">
        <v>2000000</v>
      </c>
      <c r="N652" s="1">
        <v>5987539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2640000</v>
      </c>
      <c r="U652" s="1">
        <v>0</v>
      </c>
      <c r="V652" s="1">
        <v>13734739</v>
      </c>
      <c r="W652" s="1">
        <v>4000000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3670854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70336299</v>
      </c>
      <c r="AP652" s="1">
        <v>11806671</v>
      </c>
      <c r="AQ652" s="1">
        <v>58529628</v>
      </c>
      <c r="AR652" s="1">
        <v>13333089</v>
      </c>
      <c r="AS652" s="1">
        <v>1999963</v>
      </c>
      <c r="AT652" s="3">
        <f t="shared" si="70"/>
        <v>85669351</v>
      </c>
    </row>
    <row r="653" spans="1:46" x14ac:dyDescent="0.2">
      <c r="A653" s="1" t="str">
        <f>"00753"</f>
        <v>00753</v>
      </c>
      <c r="B653" s="1" t="str">
        <f>"احمد"</f>
        <v>احمد</v>
      </c>
      <c r="C653" s="1" t="str">
        <f>"كرمي"</f>
        <v>كرمي</v>
      </c>
      <c r="D653" s="1" t="str">
        <f t="shared" si="71"/>
        <v>قراردادي کارگري</v>
      </c>
      <c r="E653" s="1" t="str">
        <f t="shared" si="72"/>
        <v>پروژه تعميرات نيروگاه بوشهر</v>
      </c>
      <c r="F653" s="1">
        <v>0</v>
      </c>
      <c r="G653" s="1">
        <v>7392724</v>
      </c>
      <c r="H653" s="1">
        <v>0</v>
      </c>
      <c r="I653" s="1">
        <v>7992438</v>
      </c>
      <c r="J653" s="1">
        <v>0</v>
      </c>
      <c r="K653" s="1">
        <v>0</v>
      </c>
      <c r="L653" s="1">
        <v>11331151</v>
      </c>
      <c r="M653" s="1">
        <v>2000000</v>
      </c>
      <c r="N653" s="1">
        <v>5464915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2640000</v>
      </c>
      <c r="U653" s="1">
        <v>0</v>
      </c>
      <c r="V653" s="1">
        <v>10514981</v>
      </c>
      <c r="W653" s="1">
        <v>4000000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1835427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63418351</v>
      </c>
      <c r="AP653" s="1">
        <v>8520360</v>
      </c>
      <c r="AQ653" s="1">
        <v>54897991</v>
      </c>
      <c r="AR653" s="1">
        <v>12316585</v>
      </c>
      <c r="AS653" s="1">
        <v>1847488</v>
      </c>
      <c r="AT653" s="3">
        <f t="shared" si="70"/>
        <v>77582424</v>
      </c>
    </row>
    <row r="654" spans="1:46" x14ac:dyDescent="0.2">
      <c r="A654" s="1" t="str">
        <f>"00754"</f>
        <v>00754</v>
      </c>
      <c r="B654" s="1" t="str">
        <f>"احمد"</f>
        <v>احمد</v>
      </c>
      <c r="C654" s="1" t="str">
        <f>"كره بندي"</f>
        <v>كره بندي</v>
      </c>
      <c r="D654" s="1" t="str">
        <f t="shared" si="71"/>
        <v>قراردادي کارگري</v>
      </c>
      <c r="E654" s="1" t="str">
        <f t="shared" si="72"/>
        <v>پروژه تعميرات نيروگاه بوشهر</v>
      </c>
      <c r="F654" s="1">
        <v>0</v>
      </c>
      <c r="G654" s="1">
        <v>9197452</v>
      </c>
      <c r="H654" s="1">
        <v>0</v>
      </c>
      <c r="I654" s="1">
        <v>8901062</v>
      </c>
      <c r="J654" s="1">
        <v>0</v>
      </c>
      <c r="K654" s="1">
        <v>0</v>
      </c>
      <c r="L654" s="1">
        <v>11331151</v>
      </c>
      <c r="M654" s="1">
        <v>2000000</v>
      </c>
      <c r="N654" s="1">
        <v>5934042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2640000</v>
      </c>
      <c r="U654" s="1">
        <v>0</v>
      </c>
      <c r="V654" s="1">
        <v>10981877</v>
      </c>
      <c r="W654" s="1">
        <v>4000000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66111912</v>
      </c>
      <c r="AP654" s="1">
        <v>8448642</v>
      </c>
      <c r="AQ654" s="1">
        <v>57663270</v>
      </c>
      <c r="AR654" s="1">
        <v>13222382</v>
      </c>
      <c r="AS654" s="1">
        <v>1983357</v>
      </c>
      <c r="AT654" s="3">
        <f t="shared" si="70"/>
        <v>81317651</v>
      </c>
    </row>
    <row r="655" spans="1:46" x14ac:dyDescent="0.2">
      <c r="A655" s="1" t="str">
        <f>"00755"</f>
        <v>00755</v>
      </c>
      <c r="B655" s="1" t="str">
        <f>"مجتبي"</f>
        <v>مجتبي</v>
      </c>
      <c r="C655" s="1" t="str">
        <f>"محمدي"</f>
        <v>محمدي</v>
      </c>
      <c r="D655" s="1" t="str">
        <f t="shared" si="71"/>
        <v>قراردادي کارگري</v>
      </c>
      <c r="E655" s="1" t="str">
        <f t="shared" si="72"/>
        <v>پروژه تعميرات نيروگاه بوشهر</v>
      </c>
      <c r="F655" s="1">
        <v>0</v>
      </c>
      <c r="G655" s="1">
        <v>7926811</v>
      </c>
      <c r="H655" s="1">
        <v>0</v>
      </c>
      <c r="I655" s="1">
        <v>5630160</v>
      </c>
      <c r="J655" s="1">
        <v>0</v>
      </c>
      <c r="K655" s="1">
        <v>0</v>
      </c>
      <c r="L655" s="1">
        <v>11331151</v>
      </c>
      <c r="M655" s="1">
        <v>2000000</v>
      </c>
      <c r="N655" s="1">
        <v>5004587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2640000</v>
      </c>
      <c r="U655" s="1">
        <v>0</v>
      </c>
      <c r="V655" s="1">
        <v>3754950</v>
      </c>
      <c r="W655" s="1">
        <v>4000000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3670854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55342114</v>
      </c>
      <c r="AP655" s="1">
        <v>11096465</v>
      </c>
      <c r="AQ655" s="1">
        <v>44245649</v>
      </c>
      <c r="AR655" s="1">
        <v>10334252</v>
      </c>
      <c r="AS655" s="1">
        <v>1550138</v>
      </c>
      <c r="AT655" s="3">
        <f t="shared" si="70"/>
        <v>67226504</v>
      </c>
    </row>
    <row r="656" spans="1:46" x14ac:dyDescent="0.2">
      <c r="A656" s="1" t="str">
        <f>"00756"</f>
        <v>00756</v>
      </c>
      <c r="B656" s="1" t="str">
        <f>"محمد مهدي"</f>
        <v>محمد مهدي</v>
      </c>
      <c r="C656" s="1" t="str">
        <f>"نعيمي محمد آبادي"</f>
        <v>نعيمي محمد آبادي</v>
      </c>
      <c r="D656" s="1" t="str">
        <f t="shared" si="71"/>
        <v>قراردادي کارگري</v>
      </c>
      <c r="E656" s="1" t="str">
        <f t="shared" si="72"/>
        <v>پروژه تعميرات نيروگاه بوشهر</v>
      </c>
      <c r="F656" s="1">
        <v>0</v>
      </c>
      <c r="G656" s="1">
        <v>12454869</v>
      </c>
      <c r="H656" s="1">
        <v>0</v>
      </c>
      <c r="I656" s="1">
        <v>9161551</v>
      </c>
      <c r="J656" s="1">
        <v>0</v>
      </c>
      <c r="K656" s="1">
        <v>0</v>
      </c>
      <c r="L656" s="1">
        <v>11331151</v>
      </c>
      <c r="M656" s="1">
        <v>2000000</v>
      </c>
      <c r="N656" s="1">
        <v>5958732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2640000</v>
      </c>
      <c r="U656" s="1">
        <v>0</v>
      </c>
      <c r="V656" s="1">
        <v>10079533</v>
      </c>
      <c r="W656" s="1">
        <v>4000000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1835427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70633886</v>
      </c>
      <c r="AP656" s="1">
        <v>12034892</v>
      </c>
      <c r="AQ656" s="1">
        <v>58598994</v>
      </c>
      <c r="AR656" s="1">
        <v>13759692</v>
      </c>
      <c r="AS656" s="1">
        <v>2063954</v>
      </c>
      <c r="AT656" s="3">
        <f t="shared" si="70"/>
        <v>86457532</v>
      </c>
    </row>
    <row r="657" spans="1:46" x14ac:dyDescent="0.2">
      <c r="A657" s="1" t="str">
        <f>"00757"</f>
        <v>00757</v>
      </c>
      <c r="B657" s="1" t="str">
        <f>"عباس"</f>
        <v>عباس</v>
      </c>
      <c r="C657" s="1" t="str">
        <f>"جوکار"</f>
        <v>جوکار</v>
      </c>
      <c r="D657" s="1" t="str">
        <f t="shared" si="71"/>
        <v>قراردادي کارگري</v>
      </c>
      <c r="E657" s="1" t="str">
        <f t="shared" si="72"/>
        <v>پروژه تعميرات نيروگاه بوشهر</v>
      </c>
      <c r="F657" s="1">
        <v>0</v>
      </c>
      <c r="G657" s="1">
        <v>0</v>
      </c>
      <c r="H657" s="1">
        <v>0</v>
      </c>
      <c r="I657" s="1">
        <v>7685036</v>
      </c>
      <c r="J657" s="1">
        <v>0</v>
      </c>
      <c r="K657" s="1">
        <v>0</v>
      </c>
      <c r="L657" s="1">
        <v>11331151</v>
      </c>
      <c r="M657" s="1">
        <v>2000000</v>
      </c>
      <c r="N657" s="1">
        <v>5464915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2640000</v>
      </c>
      <c r="U657" s="1">
        <v>0</v>
      </c>
      <c r="V657" s="1">
        <v>10231954</v>
      </c>
      <c r="W657" s="1">
        <v>4000000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53599771</v>
      </c>
      <c r="AP657" s="1">
        <v>16156805</v>
      </c>
      <c r="AQ657" s="1">
        <v>37442966</v>
      </c>
      <c r="AR657" s="1">
        <v>10719954</v>
      </c>
      <c r="AS657" s="1">
        <v>1607993</v>
      </c>
      <c r="AT657" s="3">
        <f t="shared" si="70"/>
        <v>65927718</v>
      </c>
    </row>
    <row r="658" spans="1:46" x14ac:dyDescent="0.2">
      <c r="A658" s="1" t="str">
        <f>"00758"</f>
        <v>00758</v>
      </c>
      <c r="B658" s="1" t="str">
        <f>"حسين"</f>
        <v>حسين</v>
      </c>
      <c r="C658" s="1" t="str">
        <f>"شنبدي"</f>
        <v>شنبدي</v>
      </c>
      <c r="D658" s="1" t="str">
        <f t="shared" si="71"/>
        <v>قراردادي کارگري</v>
      </c>
      <c r="E658" s="1" t="str">
        <f t="shared" si="72"/>
        <v>پروژه تعميرات نيروگاه بوشهر</v>
      </c>
      <c r="F658" s="1">
        <v>0</v>
      </c>
      <c r="G658" s="1">
        <v>6237511</v>
      </c>
      <c r="H658" s="1">
        <v>0</v>
      </c>
      <c r="I658" s="1">
        <v>6744429</v>
      </c>
      <c r="J658" s="1">
        <v>0</v>
      </c>
      <c r="K658" s="1">
        <v>0</v>
      </c>
      <c r="L658" s="1">
        <v>11521166</v>
      </c>
      <c r="M658" s="1">
        <v>2000000</v>
      </c>
      <c r="N658" s="1">
        <v>4828659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2640000</v>
      </c>
      <c r="U658" s="1">
        <v>0</v>
      </c>
      <c r="V658" s="1">
        <v>16899674</v>
      </c>
      <c r="W658" s="1">
        <v>4000000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4831252</v>
      </c>
      <c r="AE658" s="1">
        <v>0</v>
      </c>
      <c r="AF658" s="1">
        <v>3670854</v>
      </c>
      <c r="AG658" s="1">
        <v>0</v>
      </c>
      <c r="AH658" s="1">
        <v>0</v>
      </c>
      <c r="AI658" s="1">
        <v>0</v>
      </c>
      <c r="AJ658" s="1">
        <v>4435563</v>
      </c>
      <c r="AK658" s="1">
        <v>0</v>
      </c>
      <c r="AL658" s="1">
        <v>0</v>
      </c>
      <c r="AM658" s="1">
        <v>0</v>
      </c>
      <c r="AN658" s="1">
        <v>0</v>
      </c>
      <c r="AO658" s="1">
        <v>76923202</v>
      </c>
      <c r="AP658" s="1">
        <v>10606018</v>
      </c>
      <c r="AQ658" s="1">
        <v>66317184</v>
      </c>
      <c r="AR658" s="1">
        <v>14650470</v>
      </c>
      <c r="AS658" s="1">
        <v>2197570</v>
      </c>
      <c r="AT658" s="3">
        <f t="shared" si="70"/>
        <v>93771242</v>
      </c>
    </row>
    <row r="659" spans="1:46" x14ac:dyDescent="0.2">
      <c r="A659" s="1" t="str">
        <f>"00759"</f>
        <v>00759</v>
      </c>
      <c r="B659" s="1" t="str">
        <f>"داريوش"</f>
        <v>داريوش</v>
      </c>
      <c r="C659" s="1" t="str">
        <f>"گرگين"</f>
        <v>گرگين</v>
      </c>
      <c r="D659" s="1" t="str">
        <f>"قراردادي بهره بردار"</f>
        <v>قراردادي بهره بردار</v>
      </c>
      <c r="E659" s="1" t="str">
        <f>"پروژه بهره برداري نيروگاه بوشهر"</f>
        <v>پروژه بهره برداري نيروگاه بوشهر</v>
      </c>
      <c r="F659" s="1">
        <v>34682744</v>
      </c>
      <c r="G659" s="1">
        <v>5734178</v>
      </c>
      <c r="H659" s="1">
        <v>0</v>
      </c>
      <c r="I659" s="1">
        <v>27268902</v>
      </c>
      <c r="J659" s="1">
        <v>0</v>
      </c>
      <c r="K659" s="1">
        <v>5500000</v>
      </c>
      <c r="L659" s="1">
        <v>0</v>
      </c>
      <c r="M659" s="1">
        <v>1000000</v>
      </c>
      <c r="N659" s="1">
        <v>5228738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13773135</v>
      </c>
      <c r="W659" s="1">
        <v>4000000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4108295</v>
      </c>
      <c r="AF659" s="1">
        <v>5506281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5228738</v>
      </c>
      <c r="AM659" s="1">
        <v>0</v>
      </c>
      <c r="AN659" s="1">
        <v>0</v>
      </c>
      <c r="AO659" s="1">
        <v>112031011</v>
      </c>
      <c r="AP659" s="1">
        <v>42830881</v>
      </c>
      <c r="AQ659" s="1">
        <v>69200130</v>
      </c>
      <c r="AR659" s="1">
        <v>21304946</v>
      </c>
      <c r="AS659" s="1">
        <v>3195742</v>
      </c>
      <c r="AT659" s="3">
        <f t="shared" si="70"/>
        <v>136531699</v>
      </c>
    </row>
    <row r="660" spans="1:46" x14ac:dyDescent="0.2">
      <c r="A660" s="1" t="str">
        <f>"00760"</f>
        <v>00760</v>
      </c>
      <c r="B660" s="1" t="str">
        <f>"محمدرضا"</f>
        <v>محمدرضا</v>
      </c>
      <c r="C660" s="1" t="str">
        <f>"ميهن دوست"</f>
        <v>ميهن دوست</v>
      </c>
      <c r="D660" s="1" t="str">
        <f>"قراردادي کارگري"</f>
        <v>قراردادي کارگري</v>
      </c>
      <c r="E660" s="1" t="str">
        <f>"پروژه تعميرات نيروگاه بوشهر"</f>
        <v>پروژه تعميرات نيروگاه بوشهر</v>
      </c>
      <c r="F660" s="1">
        <v>0</v>
      </c>
      <c r="G660" s="1">
        <v>0</v>
      </c>
      <c r="H660" s="1">
        <v>0</v>
      </c>
      <c r="I660" s="1">
        <v>12162727</v>
      </c>
      <c r="J660" s="1">
        <v>0</v>
      </c>
      <c r="K660" s="1">
        <v>0</v>
      </c>
      <c r="L660" s="1">
        <v>11331151</v>
      </c>
      <c r="M660" s="1">
        <v>2000000</v>
      </c>
      <c r="N660" s="1">
        <v>6757071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2640000</v>
      </c>
      <c r="U660" s="1">
        <v>0</v>
      </c>
      <c r="V660" s="1">
        <v>4912046</v>
      </c>
      <c r="W660" s="1">
        <v>4000000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1835427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58307930</v>
      </c>
      <c r="AP660" s="1">
        <v>8594560</v>
      </c>
      <c r="AQ660" s="1">
        <v>49713370</v>
      </c>
      <c r="AR660" s="1">
        <v>11294501</v>
      </c>
      <c r="AS660" s="1">
        <v>1694175</v>
      </c>
      <c r="AT660" s="3">
        <f t="shared" si="70"/>
        <v>71296606</v>
      </c>
    </row>
    <row r="661" spans="1:46" x14ac:dyDescent="0.2">
      <c r="A661" s="1" t="str">
        <f>"00761"</f>
        <v>00761</v>
      </c>
      <c r="B661" s="1" t="str">
        <f>"محمود"</f>
        <v>محمود</v>
      </c>
      <c r="C661" s="1" t="str">
        <f>"كره بندي"</f>
        <v>كره بندي</v>
      </c>
      <c r="D661" s="1" t="str">
        <f>"قراردادي کارگري"</f>
        <v>قراردادي کارگري</v>
      </c>
      <c r="E661" s="1" t="str">
        <f>"پروژه تعميرات نيروگاه بوشهر"</f>
        <v>پروژه تعميرات نيروگاه بوشهر</v>
      </c>
      <c r="F661" s="1">
        <v>0</v>
      </c>
      <c r="G661" s="1">
        <v>16024660</v>
      </c>
      <c r="H661" s="1">
        <v>0</v>
      </c>
      <c r="I661" s="1">
        <v>6466192</v>
      </c>
      <c r="J661" s="1">
        <v>0</v>
      </c>
      <c r="K661" s="1">
        <v>0</v>
      </c>
      <c r="L661" s="1">
        <v>11572430</v>
      </c>
      <c r="M661" s="1">
        <v>2000000</v>
      </c>
      <c r="N661" s="1">
        <v>5214671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2640000</v>
      </c>
      <c r="U661" s="1">
        <v>0</v>
      </c>
      <c r="V661" s="1">
        <v>12662737</v>
      </c>
      <c r="W661" s="1">
        <v>4000000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5506281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3368264</v>
      </c>
      <c r="AO661" s="1">
        <v>79884577</v>
      </c>
      <c r="AP661" s="1">
        <v>16318671</v>
      </c>
      <c r="AQ661" s="1">
        <v>63565906</v>
      </c>
      <c r="AR661" s="1">
        <v>14875659</v>
      </c>
      <c r="AS661" s="1">
        <v>2231349</v>
      </c>
      <c r="AT661" s="3">
        <f t="shared" si="70"/>
        <v>96991585</v>
      </c>
    </row>
    <row r="662" spans="1:46" x14ac:dyDescent="0.2">
      <c r="A662" s="1" t="str">
        <f>"00762"</f>
        <v>00762</v>
      </c>
      <c r="B662" s="1" t="str">
        <f>"صديقه"</f>
        <v>صديقه</v>
      </c>
      <c r="C662" s="1" t="str">
        <f>"سالمي زاده"</f>
        <v>سالمي زاده</v>
      </c>
      <c r="D662" s="1" t="str">
        <f>"قراردادي بهره بردار"</f>
        <v>قراردادي بهره بردار</v>
      </c>
      <c r="E662" s="1" t="str">
        <f>"پروژه بهره برداري نيروگاه بوشهر"</f>
        <v>پروژه بهره برداري نيروگاه بوشهر</v>
      </c>
      <c r="F662" s="1">
        <v>27580931</v>
      </c>
      <c r="G662" s="1">
        <v>1032726</v>
      </c>
      <c r="H662" s="1">
        <v>0</v>
      </c>
      <c r="I662" s="1">
        <v>22604761</v>
      </c>
      <c r="J662" s="1">
        <v>0</v>
      </c>
      <c r="K662" s="1">
        <v>4125000</v>
      </c>
      <c r="L662" s="1">
        <v>0</v>
      </c>
      <c r="M662" s="1">
        <v>1000000</v>
      </c>
      <c r="N662" s="1">
        <v>4280864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9544700</v>
      </c>
      <c r="W662" s="1">
        <v>4000000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3363536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5801242</v>
      </c>
      <c r="AM662" s="1">
        <v>0</v>
      </c>
      <c r="AN662" s="1">
        <v>0</v>
      </c>
      <c r="AO662" s="1">
        <v>83333760</v>
      </c>
      <c r="AP662" s="1">
        <v>35561716</v>
      </c>
      <c r="AQ662" s="1">
        <v>47772044</v>
      </c>
      <c r="AR662" s="1">
        <v>16666752</v>
      </c>
      <c r="AS662" s="1">
        <v>2500013</v>
      </c>
      <c r="AT662" s="3">
        <f t="shared" si="70"/>
        <v>102500525</v>
      </c>
    </row>
    <row r="663" spans="1:46" x14ac:dyDescent="0.2">
      <c r="A663" s="1" t="str">
        <f>"00763"</f>
        <v>00763</v>
      </c>
      <c r="B663" s="1" t="str">
        <f>"داوود"</f>
        <v>داوود</v>
      </c>
      <c r="C663" s="1" t="str">
        <f>"حاجي نژاد"</f>
        <v>حاجي نژاد</v>
      </c>
      <c r="D663" s="1" t="str">
        <f>"قراردادي بهره بردار"</f>
        <v>قراردادي بهره بردار</v>
      </c>
      <c r="E663" s="1" t="str">
        <f>"پروژه بهره برداري نيروگاه بوشهر"</f>
        <v>پروژه بهره برداري نيروگاه بوشهر</v>
      </c>
      <c r="F663" s="1">
        <v>22413916</v>
      </c>
      <c r="G663" s="1">
        <v>13645790</v>
      </c>
      <c r="H663" s="1">
        <v>0</v>
      </c>
      <c r="I663" s="1">
        <v>18634976</v>
      </c>
      <c r="J663" s="1">
        <v>0</v>
      </c>
      <c r="K663" s="1">
        <v>5500000</v>
      </c>
      <c r="L663" s="1">
        <v>0</v>
      </c>
      <c r="M663" s="1">
        <v>1000000</v>
      </c>
      <c r="N663" s="1">
        <v>3982835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18871789</v>
      </c>
      <c r="W663" s="1">
        <v>4000000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3129370</v>
      </c>
      <c r="AF663" s="1">
        <v>3670854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7344167</v>
      </c>
      <c r="AM663" s="1">
        <v>0</v>
      </c>
      <c r="AN663" s="1">
        <v>0</v>
      </c>
      <c r="AO663" s="1">
        <v>102193697</v>
      </c>
      <c r="AP663" s="1">
        <v>34697971</v>
      </c>
      <c r="AQ663" s="1">
        <v>67495726</v>
      </c>
      <c r="AR663" s="1">
        <v>19704569</v>
      </c>
      <c r="AS663" s="1">
        <v>2955685</v>
      </c>
      <c r="AT663" s="3">
        <f t="shared" si="70"/>
        <v>124853951</v>
      </c>
    </row>
    <row r="664" spans="1:46" x14ac:dyDescent="0.2">
      <c r="A664" s="1" t="str">
        <f>"00765"</f>
        <v>00765</v>
      </c>
      <c r="B664" s="1" t="str">
        <f>"فرخ"</f>
        <v>فرخ</v>
      </c>
      <c r="C664" s="1" t="str">
        <f>"يگانه"</f>
        <v>يگانه</v>
      </c>
      <c r="D664" s="1" t="str">
        <f>"قراردادي کارگري"</f>
        <v>قراردادي کارگري</v>
      </c>
      <c r="E664" s="1" t="str">
        <f>"پروژه تعميرات نيروگاه بوشهر"</f>
        <v>پروژه تعميرات نيروگاه بوشهر</v>
      </c>
      <c r="F664" s="1">
        <v>0</v>
      </c>
      <c r="G664" s="1">
        <v>12379240</v>
      </c>
      <c r="H664" s="1">
        <v>0</v>
      </c>
      <c r="I664" s="1">
        <v>7981403</v>
      </c>
      <c r="J664" s="1">
        <v>0</v>
      </c>
      <c r="K664" s="1">
        <v>0</v>
      </c>
      <c r="L664" s="1">
        <v>11521166</v>
      </c>
      <c r="M664" s="1">
        <v>2000000</v>
      </c>
      <c r="N664" s="1">
        <v>5872998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2640000</v>
      </c>
      <c r="U664" s="1">
        <v>0</v>
      </c>
      <c r="V664" s="1">
        <v>9705343</v>
      </c>
      <c r="W664" s="1">
        <v>4000000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3670854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70856285</v>
      </c>
      <c r="AP664" s="1">
        <v>19913429</v>
      </c>
      <c r="AQ664" s="1">
        <v>50942856</v>
      </c>
      <c r="AR664" s="1">
        <v>13437086</v>
      </c>
      <c r="AS664" s="1">
        <v>2015563</v>
      </c>
      <c r="AT664" s="3">
        <f t="shared" si="70"/>
        <v>86308934</v>
      </c>
    </row>
    <row r="665" spans="1:46" x14ac:dyDescent="0.2">
      <c r="A665" s="1" t="str">
        <f>"00767"</f>
        <v>00767</v>
      </c>
      <c r="B665" s="1" t="str">
        <f>"محمد سعيد"</f>
        <v>محمد سعيد</v>
      </c>
      <c r="C665" s="1" t="str">
        <f>"احتشامي نيا"</f>
        <v>احتشامي نيا</v>
      </c>
      <c r="D665" s="1" t="str">
        <f t="shared" ref="D665:D676" si="73">"قراردادي بهره بردار"</f>
        <v>قراردادي بهره بردار</v>
      </c>
      <c r="E665" s="1" t="str">
        <f t="shared" ref="E665:E676" si="74">"پروژه بهره برداري نيروگاه بوشهر"</f>
        <v>پروژه بهره برداري نيروگاه بوشهر</v>
      </c>
      <c r="F665" s="1">
        <v>17481191</v>
      </c>
      <c r="G665" s="1">
        <v>4005316</v>
      </c>
      <c r="H665" s="1">
        <v>0</v>
      </c>
      <c r="I665" s="1">
        <v>15424982</v>
      </c>
      <c r="J665" s="1">
        <v>0</v>
      </c>
      <c r="K665" s="1">
        <v>3465000</v>
      </c>
      <c r="L665" s="1">
        <v>0</v>
      </c>
      <c r="M665" s="1">
        <v>1000000</v>
      </c>
      <c r="N665" s="1">
        <v>3495230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16893168</v>
      </c>
      <c r="W665" s="1">
        <v>4000000</v>
      </c>
      <c r="X665" s="1">
        <v>2537592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2746253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14910481</v>
      </c>
      <c r="AM665" s="1">
        <v>0</v>
      </c>
      <c r="AN665" s="1">
        <v>0</v>
      </c>
      <c r="AO665" s="1">
        <v>85959213</v>
      </c>
      <c r="AP665" s="1">
        <v>30676863</v>
      </c>
      <c r="AQ665" s="1">
        <v>55282350</v>
      </c>
      <c r="AR665" s="1">
        <v>17191843</v>
      </c>
      <c r="AS665" s="1">
        <v>2578776</v>
      </c>
      <c r="AT665" s="3">
        <f t="shared" si="70"/>
        <v>105729832</v>
      </c>
    </row>
    <row r="666" spans="1:46" x14ac:dyDescent="0.2">
      <c r="A666" s="1" t="str">
        <f>"00768"</f>
        <v>00768</v>
      </c>
      <c r="B666" s="1" t="str">
        <f>"کسري"</f>
        <v>کسري</v>
      </c>
      <c r="C666" s="1" t="str">
        <f>"اشتري"</f>
        <v>اشتري</v>
      </c>
      <c r="D666" s="1" t="str">
        <f t="shared" si="73"/>
        <v>قراردادي بهره بردار</v>
      </c>
      <c r="E666" s="1" t="str">
        <f t="shared" si="74"/>
        <v>پروژه بهره برداري نيروگاه بوشهر</v>
      </c>
      <c r="F666" s="1">
        <v>16067883</v>
      </c>
      <c r="G666" s="1">
        <v>3556332</v>
      </c>
      <c r="H666" s="1">
        <v>0</v>
      </c>
      <c r="I666" s="1">
        <v>12533670</v>
      </c>
      <c r="J666" s="1">
        <v>0</v>
      </c>
      <c r="K666" s="1">
        <v>3465000</v>
      </c>
      <c r="L666" s="1">
        <v>0</v>
      </c>
      <c r="M666" s="1">
        <v>1000000</v>
      </c>
      <c r="N666" s="1">
        <v>3000573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10285369</v>
      </c>
      <c r="W666" s="1">
        <v>4000000</v>
      </c>
      <c r="X666" s="1">
        <v>2332435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2357592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11753034</v>
      </c>
      <c r="AM666" s="1">
        <v>0</v>
      </c>
      <c r="AN666" s="1">
        <v>0</v>
      </c>
      <c r="AO666" s="1">
        <v>70351888</v>
      </c>
      <c r="AP666" s="1">
        <v>21923958</v>
      </c>
      <c r="AQ666" s="1">
        <v>48427930</v>
      </c>
      <c r="AR666" s="1">
        <v>14070378</v>
      </c>
      <c r="AS666" s="1">
        <v>2110557</v>
      </c>
      <c r="AT666" s="3">
        <f t="shared" si="70"/>
        <v>86532823</v>
      </c>
    </row>
    <row r="667" spans="1:46" x14ac:dyDescent="0.2">
      <c r="A667" s="1" t="str">
        <f>"00769"</f>
        <v>00769</v>
      </c>
      <c r="B667" s="1" t="str">
        <f>"مرتضي"</f>
        <v>مرتضي</v>
      </c>
      <c r="C667" s="1" t="str">
        <f>"ايمري"</f>
        <v>ايمري</v>
      </c>
      <c r="D667" s="1" t="str">
        <f t="shared" si="73"/>
        <v>قراردادي بهره بردار</v>
      </c>
      <c r="E667" s="1" t="str">
        <f t="shared" si="74"/>
        <v>پروژه بهره برداري نيروگاه بوشهر</v>
      </c>
      <c r="F667" s="1">
        <v>15964593</v>
      </c>
      <c r="G667" s="1">
        <v>7659041</v>
      </c>
      <c r="H667" s="1">
        <v>0</v>
      </c>
      <c r="I667" s="1">
        <v>11970803</v>
      </c>
      <c r="J667" s="1">
        <v>0</v>
      </c>
      <c r="K667" s="1">
        <v>4620000</v>
      </c>
      <c r="L667" s="1">
        <v>0</v>
      </c>
      <c r="M667" s="1">
        <v>1000000</v>
      </c>
      <c r="N667" s="1">
        <v>2964422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19276607</v>
      </c>
      <c r="W667" s="1">
        <v>4000000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2329188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11341185</v>
      </c>
      <c r="AM667" s="1">
        <v>0</v>
      </c>
      <c r="AN667" s="1">
        <v>0</v>
      </c>
      <c r="AO667" s="1">
        <v>81125839</v>
      </c>
      <c r="AP667" s="1">
        <v>38261816</v>
      </c>
      <c r="AQ667" s="1">
        <v>42864023</v>
      </c>
      <c r="AR667" s="1">
        <v>16225168</v>
      </c>
      <c r="AS667" s="1">
        <v>2433775</v>
      </c>
      <c r="AT667" s="3">
        <f t="shared" si="70"/>
        <v>99784782</v>
      </c>
    </row>
    <row r="668" spans="1:46" x14ac:dyDescent="0.2">
      <c r="A668" s="1" t="str">
        <f>"00770"</f>
        <v>00770</v>
      </c>
      <c r="B668" s="1" t="str">
        <f>"حميد"</f>
        <v>حميد</v>
      </c>
      <c r="C668" s="1" t="str">
        <f>"آل عبدي"</f>
        <v>آل عبدي</v>
      </c>
      <c r="D668" s="1" t="str">
        <f t="shared" si="73"/>
        <v>قراردادي بهره بردار</v>
      </c>
      <c r="E668" s="1" t="str">
        <f t="shared" si="74"/>
        <v>پروژه بهره برداري نيروگاه بوشهر</v>
      </c>
      <c r="F668" s="1">
        <v>23759204</v>
      </c>
      <c r="G668" s="1">
        <v>2681454</v>
      </c>
      <c r="H668" s="1">
        <v>0</v>
      </c>
      <c r="I668" s="1">
        <v>21209122</v>
      </c>
      <c r="J668" s="1">
        <v>0</v>
      </c>
      <c r="K668" s="1">
        <v>5500000</v>
      </c>
      <c r="L668" s="1">
        <v>0</v>
      </c>
      <c r="M668" s="1">
        <v>1000000</v>
      </c>
      <c r="N668" s="1">
        <v>4017223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16487618</v>
      </c>
      <c r="W668" s="1">
        <v>4000000</v>
      </c>
      <c r="X668" s="1">
        <v>3351817</v>
      </c>
      <c r="Y668" s="1">
        <v>0</v>
      </c>
      <c r="Z668" s="1">
        <v>0</v>
      </c>
      <c r="AA668" s="1">
        <v>0</v>
      </c>
      <c r="AB668" s="1">
        <v>0</v>
      </c>
      <c r="AC668" s="1">
        <v>4459102</v>
      </c>
      <c r="AD668" s="1">
        <v>0</v>
      </c>
      <c r="AE668" s="1">
        <v>3156389</v>
      </c>
      <c r="AF668" s="1">
        <v>1835427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21911423</v>
      </c>
      <c r="AM668" s="1">
        <v>0</v>
      </c>
      <c r="AN668" s="1">
        <v>0</v>
      </c>
      <c r="AO668" s="1">
        <v>113368779</v>
      </c>
      <c r="AP668" s="1">
        <v>28726728</v>
      </c>
      <c r="AQ668" s="1">
        <v>84642051</v>
      </c>
      <c r="AR668" s="1">
        <v>22306670</v>
      </c>
      <c r="AS668" s="1">
        <v>3346001</v>
      </c>
      <c r="AT668" s="3">
        <f t="shared" si="70"/>
        <v>139021450</v>
      </c>
    </row>
    <row r="669" spans="1:46" x14ac:dyDescent="0.2">
      <c r="A669" s="1" t="str">
        <f>"00771"</f>
        <v>00771</v>
      </c>
      <c r="B669" s="1" t="str">
        <f>"عبيد"</f>
        <v>عبيد</v>
      </c>
      <c r="C669" s="1" t="str">
        <f>"بابائي"</f>
        <v>بابائي</v>
      </c>
      <c r="D669" s="1" t="str">
        <f t="shared" si="73"/>
        <v>قراردادي بهره بردار</v>
      </c>
      <c r="E669" s="1" t="str">
        <f t="shared" si="74"/>
        <v>پروژه بهره برداري نيروگاه بوشهر</v>
      </c>
      <c r="F669" s="1">
        <v>12339368</v>
      </c>
      <c r="G669" s="1">
        <v>2193365</v>
      </c>
      <c r="H669" s="1">
        <v>0</v>
      </c>
      <c r="I669" s="1">
        <v>6438837</v>
      </c>
      <c r="J669" s="1">
        <v>0</v>
      </c>
      <c r="K669" s="1">
        <v>3465000</v>
      </c>
      <c r="L669" s="1">
        <v>0</v>
      </c>
      <c r="M669" s="1">
        <v>1000000</v>
      </c>
      <c r="N669" s="1">
        <v>1990976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3139709</v>
      </c>
      <c r="W669" s="1">
        <v>4000000</v>
      </c>
      <c r="X669" s="1">
        <v>1791199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1564339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9063566</v>
      </c>
      <c r="AM669" s="1">
        <v>0</v>
      </c>
      <c r="AN669" s="1">
        <v>0</v>
      </c>
      <c r="AO669" s="1">
        <v>46986359</v>
      </c>
      <c r="AP669" s="1">
        <v>15199515</v>
      </c>
      <c r="AQ669" s="1">
        <v>31786844</v>
      </c>
      <c r="AR669" s="1">
        <v>9397272</v>
      </c>
      <c r="AS669" s="1">
        <v>1409591</v>
      </c>
      <c r="AT669" s="3">
        <f t="shared" si="70"/>
        <v>57793222</v>
      </c>
    </row>
    <row r="670" spans="1:46" x14ac:dyDescent="0.2">
      <c r="A670" s="1" t="str">
        <f>"00772"</f>
        <v>00772</v>
      </c>
      <c r="B670" s="1" t="str">
        <f>"عباس"</f>
        <v>عباس</v>
      </c>
      <c r="C670" s="1" t="str">
        <f>"بيات"</f>
        <v>بيات</v>
      </c>
      <c r="D670" s="1" t="str">
        <f t="shared" si="73"/>
        <v>قراردادي بهره بردار</v>
      </c>
      <c r="E670" s="1" t="str">
        <f t="shared" si="74"/>
        <v>پروژه بهره برداري نيروگاه بوشهر</v>
      </c>
      <c r="F670" s="1">
        <v>16657391</v>
      </c>
      <c r="G670" s="1">
        <v>4757828</v>
      </c>
      <c r="H670" s="1">
        <v>0</v>
      </c>
      <c r="I670" s="1">
        <v>14827488</v>
      </c>
      <c r="J670" s="1">
        <v>0</v>
      </c>
      <c r="K670" s="1">
        <v>4620000</v>
      </c>
      <c r="L670" s="1">
        <v>0</v>
      </c>
      <c r="M670" s="1">
        <v>1000000</v>
      </c>
      <c r="N670" s="1">
        <v>3206900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15955585</v>
      </c>
      <c r="W670" s="1">
        <v>4000000</v>
      </c>
      <c r="X670" s="1">
        <v>2418008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2519708</v>
      </c>
      <c r="AF670" s="1">
        <v>1835427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14258142</v>
      </c>
      <c r="AM670" s="1">
        <v>0</v>
      </c>
      <c r="AN670" s="1">
        <v>0</v>
      </c>
      <c r="AO670" s="1">
        <v>86056477</v>
      </c>
      <c r="AP670" s="1">
        <v>37062182</v>
      </c>
      <c r="AQ670" s="1">
        <v>48994295</v>
      </c>
      <c r="AR670" s="1">
        <v>16844210</v>
      </c>
      <c r="AS670" s="1">
        <v>2526632</v>
      </c>
      <c r="AT670" s="3">
        <f t="shared" si="70"/>
        <v>105427319</v>
      </c>
    </row>
    <row r="671" spans="1:46" x14ac:dyDescent="0.2">
      <c r="A671" s="1" t="str">
        <f>"00773"</f>
        <v>00773</v>
      </c>
      <c r="B671" s="1" t="str">
        <f>"بهنام"</f>
        <v>بهنام</v>
      </c>
      <c r="C671" s="1" t="str">
        <f>"داسمه"</f>
        <v>داسمه</v>
      </c>
      <c r="D671" s="1" t="str">
        <f t="shared" si="73"/>
        <v>قراردادي بهره بردار</v>
      </c>
      <c r="E671" s="1" t="str">
        <f t="shared" si="74"/>
        <v>پروژه بهره برداري نيروگاه بوشهر</v>
      </c>
      <c r="F671" s="1">
        <v>16687622</v>
      </c>
      <c r="G671" s="1">
        <v>6578545</v>
      </c>
      <c r="H671" s="1">
        <v>0</v>
      </c>
      <c r="I671" s="1">
        <v>14036645</v>
      </c>
      <c r="J671" s="1">
        <v>0</v>
      </c>
      <c r="K671" s="1">
        <v>4620000</v>
      </c>
      <c r="L671" s="1">
        <v>0</v>
      </c>
      <c r="M671" s="1">
        <v>1000000</v>
      </c>
      <c r="N671" s="1">
        <v>3217482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15758172</v>
      </c>
      <c r="W671" s="1">
        <v>4000000</v>
      </c>
      <c r="X671" s="1">
        <v>1409688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2528021</v>
      </c>
      <c r="AF671" s="1">
        <v>1835427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14363045</v>
      </c>
      <c r="AM671" s="1">
        <v>0</v>
      </c>
      <c r="AN671" s="1">
        <v>0</v>
      </c>
      <c r="AO671" s="1">
        <v>86034647</v>
      </c>
      <c r="AP671" s="1">
        <v>42587261</v>
      </c>
      <c r="AQ671" s="1">
        <v>43447386</v>
      </c>
      <c r="AR671" s="1">
        <v>16839844</v>
      </c>
      <c r="AS671" s="1">
        <v>2525977</v>
      </c>
      <c r="AT671" s="3">
        <f t="shared" si="70"/>
        <v>105400468</v>
      </c>
    </row>
    <row r="672" spans="1:46" x14ac:dyDescent="0.2">
      <c r="A672" s="1" t="str">
        <f>"00774"</f>
        <v>00774</v>
      </c>
      <c r="B672" s="1" t="str">
        <f>"رضا"</f>
        <v>رضا</v>
      </c>
      <c r="C672" s="1" t="str">
        <f>"درکهء"</f>
        <v>درکهء</v>
      </c>
      <c r="D672" s="1" t="str">
        <f t="shared" si="73"/>
        <v>قراردادي بهره بردار</v>
      </c>
      <c r="E672" s="1" t="str">
        <f t="shared" si="74"/>
        <v>پروژه بهره برداري نيروگاه بوشهر</v>
      </c>
      <c r="F672" s="1">
        <v>16866490</v>
      </c>
      <c r="G672" s="1">
        <v>8629759</v>
      </c>
      <c r="H672" s="1">
        <v>0</v>
      </c>
      <c r="I672" s="1">
        <v>14027434</v>
      </c>
      <c r="J672" s="1">
        <v>0</v>
      </c>
      <c r="K672" s="1">
        <v>4620000</v>
      </c>
      <c r="L672" s="1">
        <v>0</v>
      </c>
      <c r="M672" s="1">
        <v>1000000</v>
      </c>
      <c r="N672" s="1">
        <v>3280085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13525106</v>
      </c>
      <c r="W672" s="1">
        <v>4000000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2577210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7959875</v>
      </c>
      <c r="AM672" s="1">
        <v>0</v>
      </c>
      <c r="AN672" s="1">
        <v>0</v>
      </c>
      <c r="AO672" s="1">
        <v>76485959</v>
      </c>
      <c r="AP672" s="1">
        <v>16480011</v>
      </c>
      <c r="AQ672" s="1">
        <v>60005948</v>
      </c>
      <c r="AR672" s="1">
        <v>15297192</v>
      </c>
      <c r="AS672" s="1">
        <v>2294579</v>
      </c>
      <c r="AT672" s="3">
        <f t="shared" si="70"/>
        <v>94077730</v>
      </c>
    </row>
    <row r="673" spans="1:46" x14ac:dyDescent="0.2">
      <c r="A673" s="1" t="str">
        <f>"00775"</f>
        <v>00775</v>
      </c>
      <c r="B673" s="1" t="str">
        <f>"محسن"</f>
        <v>محسن</v>
      </c>
      <c r="C673" s="1" t="str">
        <f>"رشيدي کوچي"</f>
        <v>رشيدي کوچي</v>
      </c>
      <c r="D673" s="1" t="str">
        <f t="shared" si="73"/>
        <v>قراردادي بهره بردار</v>
      </c>
      <c r="E673" s="1" t="str">
        <f t="shared" si="74"/>
        <v>پروژه بهره برداري نيروگاه بوشهر</v>
      </c>
      <c r="F673" s="1">
        <v>16523870</v>
      </c>
      <c r="G673" s="1">
        <v>4725427</v>
      </c>
      <c r="H673" s="1">
        <v>0</v>
      </c>
      <c r="I673" s="1">
        <v>14182180</v>
      </c>
      <c r="J673" s="1">
        <v>0</v>
      </c>
      <c r="K673" s="1">
        <v>4620000</v>
      </c>
      <c r="L673" s="1">
        <v>0</v>
      </c>
      <c r="M673" s="1">
        <v>1000000</v>
      </c>
      <c r="N673" s="1">
        <v>3160168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16897975</v>
      </c>
      <c r="W673" s="1">
        <v>4000000</v>
      </c>
      <c r="X673" s="1">
        <v>2398626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2482989</v>
      </c>
      <c r="AF673" s="1">
        <v>1835427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13718868</v>
      </c>
      <c r="AM673" s="1">
        <v>0</v>
      </c>
      <c r="AN673" s="1">
        <v>0</v>
      </c>
      <c r="AO673" s="1">
        <v>85545530</v>
      </c>
      <c r="AP673" s="1">
        <v>30642281</v>
      </c>
      <c r="AQ673" s="1">
        <v>54903249</v>
      </c>
      <c r="AR673" s="1">
        <v>16742021</v>
      </c>
      <c r="AS673" s="1">
        <v>2511303</v>
      </c>
      <c r="AT673" s="3">
        <f t="shared" si="70"/>
        <v>104798854</v>
      </c>
    </row>
    <row r="674" spans="1:46" x14ac:dyDescent="0.2">
      <c r="A674" s="1" t="str">
        <f>"00776"</f>
        <v>00776</v>
      </c>
      <c r="B674" s="1" t="str">
        <f>"مرتضي"</f>
        <v>مرتضي</v>
      </c>
      <c r="C674" s="1" t="str">
        <f>"زائري"</f>
        <v>زائري</v>
      </c>
      <c r="D674" s="1" t="str">
        <f t="shared" si="73"/>
        <v>قراردادي بهره بردار</v>
      </c>
      <c r="E674" s="1" t="str">
        <f t="shared" si="74"/>
        <v>پروژه بهره برداري نيروگاه بوشهر</v>
      </c>
      <c r="F674" s="1">
        <v>15916727</v>
      </c>
      <c r="G674" s="1">
        <v>11972289</v>
      </c>
      <c r="H674" s="1">
        <v>0</v>
      </c>
      <c r="I674" s="1">
        <v>12719270</v>
      </c>
      <c r="J674" s="1">
        <v>0</v>
      </c>
      <c r="K674" s="1">
        <v>4620000</v>
      </c>
      <c r="L674" s="1">
        <v>0</v>
      </c>
      <c r="M674" s="1">
        <v>1000000</v>
      </c>
      <c r="N674" s="1">
        <v>2947668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19701938</v>
      </c>
      <c r="W674" s="1">
        <v>4000000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2316024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11653926</v>
      </c>
      <c r="AM674" s="1">
        <v>0</v>
      </c>
      <c r="AN674" s="1">
        <v>0</v>
      </c>
      <c r="AO674" s="1">
        <v>86847842</v>
      </c>
      <c r="AP674" s="1">
        <v>30135404</v>
      </c>
      <c r="AQ674" s="1">
        <v>56712438</v>
      </c>
      <c r="AR674" s="1">
        <v>17369568</v>
      </c>
      <c r="AS674" s="1">
        <v>2605435</v>
      </c>
      <c r="AT674" s="3">
        <f t="shared" si="70"/>
        <v>106822845</v>
      </c>
    </row>
    <row r="675" spans="1:46" x14ac:dyDescent="0.2">
      <c r="A675" s="1" t="str">
        <f>"00777"</f>
        <v>00777</v>
      </c>
      <c r="B675" s="1" t="str">
        <f>"محمدجواد"</f>
        <v>محمدجواد</v>
      </c>
      <c r="C675" s="1" t="str">
        <f>"صابري نژاد"</f>
        <v>صابري نژاد</v>
      </c>
      <c r="D675" s="1" t="str">
        <f t="shared" si="73"/>
        <v>قراردادي بهره بردار</v>
      </c>
      <c r="E675" s="1" t="str">
        <f t="shared" si="74"/>
        <v>پروژه بهره برداري نيروگاه بوشهر</v>
      </c>
      <c r="F675" s="1">
        <v>19065810</v>
      </c>
      <c r="G675" s="1">
        <v>6344933</v>
      </c>
      <c r="H675" s="1">
        <v>0</v>
      </c>
      <c r="I675" s="1">
        <v>16960371</v>
      </c>
      <c r="J675" s="1">
        <v>0</v>
      </c>
      <c r="K675" s="1">
        <v>0</v>
      </c>
      <c r="L675" s="1">
        <v>0</v>
      </c>
      <c r="M675" s="1">
        <v>1000000</v>
      </c>
      <c r="N675" s="1">
        <v>3772098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12009790</v>
      </c>
      <c r="W675" s="1">
        <v>4000000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2963791</v>
      </c>
      <c r="AF675" s="1">
        <v>5506281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9454405</v>
      </c>
      <c r="AM675" s="1">
        <v>0</v>
      </c>
      <c r="AN675" s="1">
        <v>0</v>
      </c>
      <c r="AO675" s="1">
        <v>81077479</v>
      </c>
      <c r="AP675" s="1">
        <v>32495682</v>
      </c>
      <c r="AQ675" s="1">
        <v>48581797</v>
      </c>
      <c r="AR675" s="1">
        <v>15114240</v>
      </c>
      <c r="AS675" s="1">
        <v>2267136</v>
      </c>
      <c r="AT675" s="3">
        <f t="shared" si="70"/>
        <v>98458855</v>
      </c>
    </row>
    <row r="676" spans="1:46" x14ac:dyDescent="0.2">
      <c r="A676" s="1" t="str">
        <f>"00778"</f>
        <v>00778</v>
      </c>
      <c r="B676" s="1" t="str">
        <f>"محمود"</f>
        <v>محمود</v>
      </c>
      <c r="C676" s="1" t="str">
        <f>"عبدلي نديکي"</f>
        <v>عبدلي نديکي</v>
      </c>
      <c r="D676" s="1" t="str">
        <f t="shared" si="73"/>
        <v>قراردادي بهره بردار</v>
      </c>
      <c r="E676" s="1" t="str">
        <f t="shared" si="74"/>
        <v>پروژه بهره برداري نيروگاه بوشهر</v>
      </c>
      <c r="F676" s="1">
        <v>17430806</v>
      </c>
      <c r="G676" s="1">
        <v>13223489</v>
      </c>
      <c r="H676" s="1">
        <v>0</v>
      </c>
      <c r="I676" s="1">
        <v>15066304</v>
      </c>
      <c r="J676" s="1">
        <v>0</v>
      </c>
      <c r="K676" s="1">
        <v>4620000</v>
      </c>
      <c r="L676" s="1">
        <v>0</v>
      </c>
      <c r="M676" s="1">
        <v>1000000</v>
      </c>
      <c r="N676" s="1">
        <v>3199847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21760949</v>
      </c>
      <c r="W676" s="1">
        <v>4000000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2514165</v>
      </c>
      <c r="AF676" s="1">
        <v>3670854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12103212</v>
      </c>
      <c r="AM676" s="1">
        <v>0</v>
      </c>
      <c r="AN676" s="1">
        <v>0</v>
      </c>
      <c r="AO676" s="1">
        <v>98589626</v>
      </c>
      <c r="AP676" s="1">
        <v>34464119</v>
      </c>
      <c r="AQ676" s="1">
        <v>64125507</v>
      </c>
      <c r="AR676" s="1">
        <v>18983754</v>
      </c>
      <c r="AS676" s="1">
        <v>2847563</v>
      </c>
      <c r="AT676" s="3">
        <f t="shared" si="70"/>
        <v>120420943</v>
      </c>
    </row>
    <row r="677" spans="1:46" x14ac:dyDescent="0.2">
      <c r="A677" s="1" t="str">
        <f>"00779"</f>
        <v>00779</v>
      </c>
      <c r="B677" s="1" t="str">
        <f>"سيدمجتبي"</f>
        <v>سيدمجتبي</v>
      </c>
      <c r="C677" s="1" t="str">
        <f>"علي زاده"</f>
        <v>علي زاده</v>
      </c>
      <c r="D677" s="1" t="str">
        <f>"قراردادي کارگري"</f>
        <v>قراردادي کارگري</v>
      </c>
      <c r="E677" s="1" t="str">
        <f>"پروژه تعميرات نيروگاه بوشهر"</f>
        <v>پروژه تعميرات نيروگاه بوشهر</v>
      </c>
      <c r="F677" s="1">
        <v>0</v>
      </c>
      <c r="G677" s="1">
        <v>4774991</v>
      </c>
      <c r="H677" s="1">
        <v>0</v>
      </c>
      <c r="I677" s="1">
        <v>5503147</v>
      </c>
      <c r="J677" s="1">
        <v>0</v>
      </c>
      <c r="K677" s="1">
        <v>0</v>
      </c>
      <c r="L677" s="1">
        <v>11521166</v>
      </c>
      <c r="M677" s="1">
        <v>2000000</v>
      </c>
      <c r="N677" s="1">
        <v>3993938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2640000</v>
      </c>
      <c r="U677" s="1">
        <v>0</v>
      </c>
      <c r="V677" s="1">
        <v>9036770</v>
      </c>
      <c r="W677" s="1">
        <v>4000000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51008569</v>
      </c>
      <c r="AP677" s="1">
        <v>8082797</v>
      </c>
      <c r="AQ677" s="1">
        <v>42925772</v>
      </c>
      <c r="AR677" s="1">
        <v>10201714</v>
      </c>
      <c r="AS677" s="1">
        <v>1530257</v>
      </c>
      <c r="AT677" s="3">
        <f t="shared" si="70"/>
        <v>62740540</v>
      </c>
    </row>
    <row r="678" spans="1:46" x14ac:dyDescent="0.2">
      <c r="A678" s="1" t="str">
        <f>"00780"</f>
        <v>00780</v>
      </c>
      <c r="B678" s="1" t="str">
        <f>"حسين"</f>
        <v>حسين</v>
      </c>
      <c r="C678" s="1" t="str">
        <f>"فردين پور"</f>
        <v>فردين پور</v>
      </c>
      <c r="D678" s="1" t="str">
        <f t="shared" ref="D678:D707" si="75">"قراردادي بهره بردار"</f>
        <v>قراردادي بهره بردار</v>
      </c>
      <c r="E678" s="1" t="str">
        <f t="shared" ref="E678:E706" si="76">"پروژه بهره برداري نيروگاه بوشهر"</f>
        <v>پروژه بهره برداري نيروگاه بوشهر</v>
      </c>
      <c r="F678" s="1">
        <v>14687325</v>
      </c>
      <c r="G678" s="1">
        <v>3726217</v>
      </c>
      <c r="H678" s="1">
        <v>0</v>
      </c>
      <c r="I678" s="1">
        <v>10781940</v>
      </c>
      <c r="J678" s="1">
        <v>0</v>
      </c>
      <c r="K678" s="1">
        <v>4620000</v>
      </c>
      <c r="L678" s="1">
        <v>0</v>
      </c>
      <c r="M678" s="1">
        <v>1000000</v>
      </c>
      <c r="N678" s="1">
        <v>2517378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17426641</v>
      </c>
      <c r="W678" s="1">
        <v>4000000</v>
      </c>
      <c r="X678" s="1">
        <v>2132031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1977940</v>
      </c>
      <c r="AF678" s="1">
        <v>1835427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11281906</v>
      </c>
      <c r="AM678" s="1">
        <v>0</v>
      </c>
      <c r="AN678" s="1">
        <v>0</v>
      </c>
      <c r="AO678" s="1">
        <v>75986805</v>
      </c>
      <c r="AP678" s="1">
        <v>24054222</v>
      </c>
      <c r="AQ678" s="1">
        <v>51932583</v>
      </c>
      <c r="AR678" s="1">
        <v>14830276</v>
      </c>
      <c r="AS678" s="1">
        <v>2224541</v>
      </c>
      <c r="AT678" s="3">
        <f t="shared" si="70"/>
        <v>93041622</v>
      </c>
    </row>
    <row r="679" spans="1:46" x14ac:dyDescent="0.2">
      <c r="A679" s="1" t="str">
        <f>"00781"</f>
        <v>00781</v>
      </c>
      <c r="B679" s="1" t="str">
        <f>"محسن"</f>
        <v>محسن</v>
      </c>
      <c r="C679" s="1" t="str">
        <f>"فلاح زاده ابرقويي"</f>
        <v>فلاح زاده ابرقويي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15997343</v>
      </c>
      <c r="G679" s="1">
        <v>3905261</v>
      </c>
      <c r="H679" s="1">
        <v>0</v>
      </c>
      <c r="I679" s="1">
        <v>12193616</v>
      </c>
      <c r="J679" s="1">
        <v>0</v>
      </c>
      <c r="K679" s="1">
        <v>4620000</v>
      </c>
      <c r="L679" s="1">
        <v>0</v>
      </c>
      <c r="M679" s="1">
        <v>1000000</v>
      </c>
      <c r="N679" s="1">
        <v>2975884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10165063</v>
      </c>
      <c r="W679" s="1">
        <v>4000000</v>
      </c>
      <c r="X679" s="1">
        <v>2322195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2338195</v>
      </c>
      <c r="AF679" s="1">
        <v>1835427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11673022</v>
      </c>
      <c r="AM679" s="1">
        <v>0</v>
      </c>
      <c r="AN679" s="1">
        <v>0</v>
      </c>
      <c r="AO679" s="1">
        <v>73026006</v>
      </c>
      <c r="AP679" s="1">
        <v>32022558</v>
      </c>
      <c r="AQ679" s="1">
        <v>41003448</v>
      </c>
      <c r="AR679" s="1">
        <v>14238116</v>
      </c>
      <c r="AS679" s="1">
        <v>2135717</v>
      </c>
      <c r="AT679" s="3">
        <f t="shared" si="70"/>
        <v>89399839</v>
      </c>
    </row>
    <row r="680" spans="1:46" x14ac:dyDescent="0.2">
      <c r="A680" s="1" t="str">
        <f>"00782"</f>
        <v>00782</v>
      </c>
      <c r="B680" s="1" t="str">
        <f>"ميثم"</f>
        <v>ميثم</v>
      </c>
      <c r="C680" s="1" t="str">
        <f>"قلاوند"</f>
        <v>قلاوند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14929174</v>
      </c>
      <c r="G680" s="1">
        <v>7502843</v>
      </c>
      <c r="H680" s="1">
        <v>0</v>
      </c>
      <c r="I680" s="1">
        <v>10969602</v>
      </c>
      <c r="J680" s="1">
        <v>0</v>
      </c>
      <c r="K680" s="1">
        <v>4620000</v>
      </c>
      <c r="L680" s="1">
        <v>0</v>
      </c>
      <c r="M680" s="1">
        <v>1000000</v>
      </c>
      <c r="N680" s="1">
        <v>2602024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17834399</v>
      </c>
      <c r="W680" s="1">
        <v>4000000</v>
      </c>
      <c r="X680" s="1">
        <v>833649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2044448</v>
      </c>
      <c r="AF680" s="1">
        <v>3670854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10690357</v>
      </c>
      <c r="AM680" s="1">
        <v>0</v>
      </c>
      <c r="AN680" s="1">
        <v>0</v>
      </c>
      <c r="AO680" s="1">
        <v>80697350</v>
      </c>
      <c r="AP680" s="1">
        <v>32204684</v>
      </c>
      <c r="AQ680" s="1">
        <v>48492666</v>
      </c>
      <c r="AR680" s="1">
        <v>15405299</v>
      </c>
      <c r="AS680" s="1">
        <v>2310795</v>
      </c>
      <c r="AT680" s="3">
        <f t="shared" si="70"/>
        <v>98413444</v>
      </c>
    </row>
    <row r="681" spans="1:46" x14ac:dyDescent="0.2">
      <c r="A681" s="1" t="str">
        <f>"00783"</f>
        <v>00783</v>
      </c>
      <c r="B681" s="1" t="str">
        <f>"رضا"</f>
        <v>رضا</v>
      </c>
      <c r="C681" s="1" t="str">
        <f>"قيطاسي"</f>
        <v>قيطاسي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15697551</v>
      </c>
      <c r="G681" s="1">
        <v>10883050</v>
      </c>
      <c r="H681" s="1">
        <v>0</v>
      </c>
      <c r="I681" s="1">
        <v>11552184</v>
      </c>
      <c r="J681" s="1">
        <v>0</v>
      </c>
      <c r="K681" s="1">
        <v>4620000</v>
      </c>
      <c r="L681" s="1">
        <v>0</v>
      </c>
      <c r="M681" s="1">
        <v>1000000</v>
      </c>
      <c r="N681" s="1">
        <v>2870957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18399174</v>
      </c>
      <c r="W681" s="1">
        <v>4000000</v>
      </c>
      <c r="X681" s="1">
        <v>2278677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2255751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10915730</v>
      </c>
      <c r="AM681" s="1">
        <v>0</v>
      </c>
      <c r="AN681" s="1">
        <v>0</v>
      </c>
      <c r="AO681" s="1">
        <v>84473074</v>
      </c>
      <c r="AP681" s="1">
        <v>28965917</v>
      </c>
      <c r="AQ681" s="1">
        <v>55507157</v>
      </c>
      <c r="AR681" s="1">
        <v>16894615</v>
      </c>
      <c r="AS681" s="1">
        <v>2534192</v>
      </c>
      <c r="AT681" s="3">
        <f t="shared" si="70"/>
        <v>103901881</v>
      </c>
    </row>
    <row r="682" spans="1:46" x14ac:dyDescent="0.2">
      <c r="A682" s="1" t="str">
        <f>"00784"</f>
        <v>00784</v>
      </c>
      <c r="B682" s="1" t="str">
        <f>"عباس"</f>
        <v>عباس</v>
      </c>
      <c r="C682" s="1" t="str">
        <f>"كاظمي"</f>
        <v>كاظمي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16405465</v>
      </c>
      <c r="G682" s="1">
        <v>16530314</v>
      </c>
      <c r="H682" s="1">
        <v>0</v>
      </c>
      <c r="I682" s="1">
        <v>13431355</v>
      </c>
      <c r="J682" s="1">
        <v>0</v>
      </c>
      <c r="K682" s="1">
        <v>3465000</v>
      </c>
      <c r="L682" s="1">
        <v>0</v>
      </c>
      <c r="M682" s="1">
        <v>1000000</v>
      </c>
      <c r="N682" s="1">
        <v>3118726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15899875</v>
      </c>
      <c r="W682" s="1">
        <v>4000000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2450428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8760347</v>
      </c>
      <c r="AM682" s="1">
        <v>0</v>
      </c>
      <c r="AN682" s="1">
        <v>0</v>
      </c>
      <c r="AO682" s="1">
        <v>85061510</v>
      </c>
      <c r="AP682" s="1">
        <v>32710594</v>
      </c>
      <c r="AQ682" s="1">
        <v>52350916</v>
      </c>
      <c r="AR682" s="1">
        <v>17012302</v>
      </c>
      <c r="AS682" s="1">
        <v>2551845</v>
      </c>
      <c r="AT682" s="3">
        <f t="shared" si="70"/>
        <v>104625657</v>
      </c>
    </row>
    <row r="683" spans="1:46" x14ac:dyDescent="0.2">
      <c r="A683" s="1" t="str">
        <f>"00785"</f>
        <v>00785</v>
      </c>
      <c r="B683" s="1" t="str">
        <f>"عليرضا"</f>
        <v>عليرضا</v>
      </c>
      <c r="C683" s="1" t="str">
        <f>"كهن"</f>
        <v>كهن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15400277</v>
      </c>
      <c r="G683" s="1">
        <v>3892080</v>
      </c>
      <c r="H683" s="1">
        <v>0</v>
      </c>
      <c r="I683" s="1">
        <v>11601487</v>
      </c>
      <c r="J683" s="1">
        <v>0</v>
      </c>
      <c r="K683" s="1">
        <v>4620000</v>
      </c>
      <c r="L683" s="1">
        <v>0</v>
      </c>
      <c r="M683" s="1">
        <v>1000000</v>
      </c>
      <c r="N683" s="1">
        <v>2766910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18503094</v>
      </c>
      <c r="W683" s="1">
        <v>4000000</v>
      </c>
      <c r="X683" s="1">
        <v>864907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2174001</v>
      </c>
      <c r="AF683" s="1">
        <v>1835427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10839044</v>
      </c>
      <c r="AM683" s="1">
        <v>0</v>
      </c>
      <c r="AN683" s="1">
        <v>0</v>
      </c>
      <c r="AO683" s="1">
        <v>77497227</v>
      </c>
      <c r="AP683" s="1">
        <v>35996069</v>
      </c>
      <c r="AQ683" s="1">
        <v>41501158</v>
      </c>
      <c r="AR683" s="1">
        <v>15132360</v>
      </c>
      <c r="AS683" s="1">
        <v>2269854</v>
      </c>
      <c r="AT683" s="3">
        <f t="shared" si="70"/>
        <v>94899441</v>
      </c>
    </row>
    <row r="684" spans="1:46" x14ac:dyDescent="0.2">
      <c r="A684" s="1" t="str">
        <f>"00786"</f>
        <v>00786</v>
      </c>
      <c r="B684" s="1" t="str">
        <f>"اميد"</f>
        <v>اميد</v>
      </c>
      <c r="C684" s="1" t="str">
        <f>"گلمرزي الاصل"</f>
        <v>گلمرزي الاصل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15085369</v>
      </c>
      <c r="G684" s="1">
        <v>3761113</v>
      </c>
      <c r="H684" s="1">
        <v>0</v>
      </c>
      <c r="I684" s="1">
        <v>10837377</v>
      </c>
      <c r="J684" s="1">
        <v>0</v>
      </c>
      <c r="K684" s="1">
        <v>0</v>
      </c>
      <c r="L684" s="1">
        <v>0</v>
      </c>
      <c r="M684" s="1">
        <v>1000000</v>
      </c>
      <c r="N684" s="1">
        <v>2656693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17880471</v>
      </c>
      <c r="W684" s="1">
        <v>4000000</v>
      </c>
      <c r="X684" s="1">
        <v>2189812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2087402</v>
      </c>
      <c r="AF684" s="1">
        <v>1835427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10675291</v>
      </c>
      <c r="AM684" s="1">
        <v>0</v>
      </c>
      <c r="AN684" s="1">
        <v>0</v>
      </c>
      <c r="AO684" s="1">
        <v>72008955</v>
      </c>
      <c r="AP684" s="1">
        <v>25807104</v>
      </c>
      <c r="AQ684" s="1">
        <v>46201851</v>
      </c>
      <c r="AR684" s="1">
        <v>14034706</v>
      </c>
      <c r="AS684" s="1">
        <v>2105206</v>
      </c>
      <c r="AT684" s="3">
        <f t="shared" si="70"/>
        <v>88148867</v>
      </c>
    </row>
    <row r="685" spans="1:46" x14ac:dyDescent="0.2">
      <c r="A685" s="1" t="str">
        <f>"00787"</f>
        <v>00787</v>
      </c>
      <c r="B685" s="1" t="str">
        <f>"سجاد"</f>
        <v>سجاد</v>
      </c>
      <c r="C685" s="1" t="str">
        <f>"مرادي عبداليوسفي"</f>
        <v>مرادي عبداليوسفي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15062695</v>
      </c>
      <c r="G685" s="1">
        <v>7570383</v>
      </c>
      <c r="H685" s="1">
        <v>0</v>
      </c>
      <c r="I685" s="1">
        <v>11037704</v>
      </c>
      <c r="J685" s="1">
        <v>0</v>
      </c>
      <c r="K685" s="1">
        <v>4620000</v>
      </c>
      <c r="L685" s="1">
        <v>0</v>
      </c>
      <c r="M685" s="1">
        <v>1000000</v>
      </c>
      <c r="N685" s="1">
        <v>2648757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18139660</v>
      </c>
      <c r="W685" s="1">
        <v>4000000</v>
      </c>
      <c r="X685" s="1">
        <v>2186520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2081166</v>
      </c>
      <c r="AF685" s="1">
        <v>1835427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10631759</v>
      </c>
      <c r="AM685" s="1">
        <v>0</v>
      </c>
      <c r="AN685" s="1">
        <v>0</v>
      </c>
      <c r="AO685" s="1">
        <v>80814071</v>
      </c>
      <c r="AP685" s="1">
        <v>29051799</v>
      </c>
      <c r="AQ685" s="1">
        <v>51762272</v>
      </c>
      <c r="AR685" s="1">
        <v>15795729</v>
      </c>
      <c r="AS685" s="1">
        <v>2369359</v>
      </c>
      <c r="AT685" s="3">
        <f t="shared" si="70"/>
        <v>98979159</v>
      </c>
    </row>
    <row r="686" spans="1:46" x14ac:dyDescent="0.2">
      <c r="A686" s="1" t="str">
        <f>"00788"</f>
        <v>00788</v>
      </c>
      <c r="B686" s="1" t="str">
        <f>"مرتضي"</f>
        <v>مرتضي</v>
      </c>
      <c r="C686" s="1" t="str">
        <f>"مرادي کوچي"</f>
        <v>مرادي کوچي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16178731</v>
      </c>
      <c r="G686" s="1">
        <v>11491339</v>
      </c>
      <c r="H686" s="1">
        <v>0</v>
      </c>
      <c r="I686" s="1">
        <v>14368293</v>
      </c>
      <c r="J686" s="1">
        <v>0</v>
      </c>
      <c r="K686" s="1">
        <v>4620000</v>
      </c>
      <c r="L686" s="1">
        <v>0</v>
      </c>
      <c r="M686" s="1">
        <v>1000000</v>
      </c>
      <c r="N686" s="1">
        <v>3039369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13370172</v>
      </c>
      <c r="W686" s="1">
        <v>4000000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2388076</v>
      </c>
      <c r="AF686" s="1">
        <v>1835427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6810082</v>
      </c>
      <c r="AM686" s="1">
        <v>0</v>
      </c>
      <c r="AN686" s="1">
        <v>0</v>
      </c>
      <c r="AO686" s="1">
        <v>79101489</v>
      </c>
      <c r="AP686" s="1">
        <v>34238623</v>
      </c>
      <c r="AQ686" s="1">
        <v>44862866</v>
      </c>
      <c r="AR686" s="1">
        <v>15453212</v>
      </c>
      <c r="AS686" s="1">
        <v>2317982</v>
      </c>
      <c r="AT686" s="3">
        <f t="shared" si="70"/>
        <v>96872683</v>
      </c>
    </row>
    <row r="687" spans="1:46" x14ac:dyDescent="0.2">
      <c r="A687" s="1" t="str">
        <f>"00789"</f>
        <v>00789</v>
      </c>
      <c r="B687" s="1" t="str">
        <f>"وحيد"</f>
        <v>وحيد</v>
      </c>
      <c r="C687" s="1" t="str">
        <f>"مسعودي مقدم"</f>
        <v>مسعودي مقدم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16473485</v>
      </c>
      <c r="G687" s="1">
        <v>15333870</v>
      </c>
      <c r="H687" s="1">
        <v>0</v>
      </c>
      <c r="I687" s="1">
        <v>12912005</v>
      </c>
      <c r="J687" s="1">
        <v>0</v>
      </c>
      <c r="K687" s="1">
        <v>4620000</v>
      </c>
      <c r="L687" s="1">
        <v>0</v>
      </c>
      <c r="M687" s="1">
        <v>1000000</v>
      </c>
      <c r="N687" s="1">
        <v>3142533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19558066</v>
      </c>
      <c r="W687" s="1">
        <v>4000000</v>
      </c>
      <c r="X687" s="1">
        <v>2391312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2469133</v>
      </c>
      <c r="AF687" s="1">
        <v>3670854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11294125</v>
      </c>
      <c r="AM687" s="1">
        <v>0</v>
      </c>
      <c r="AN687" s="1">
        <v>0</v>
      </c>
      <c r="AO687" s="1">
        <v>96865383</v>
      </c>
      <c r="AP687" s="1">
        <v>29039222</v>
      </c>
      <c r="AQ687" s="1">
        <v>67826161</v>
      </c>
      <c r="AR687" s="1">
        <v>18638906</v>
      </c>
      <c r="AS687" s="1">
        <v>2795836</v>
      </c>
      <c r="AT687" s="3">
        <f t="shared" si="70"/>
        <v>118300125</v>
      </c>
    </row>
    <row r="688" spans="1:46" x14ac:dyDescent="0.2">
      <c r="A688" s="1" t="str">
        <f>"00790"</f>
        <v>00790</v>
      </c>
      <c r="B688" s="1" t="str">
        <f>"محمد"</f>
        <v>محمد</v>
      </c>
      <c r="C688" s="1" t="str">
        <f>"مقدس زاده"</f>
        <v>مقدس زاده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15246602</v>
      </c>
      <c r="G688" s="1">
        <v>7648398</v>
      </c>
      <c r="H688" s="1">
        <v>0</v>
      </c>
      <c r="I688" s="1">
        <v>10980559</v>
      </c>
      <c r="J688" s="1">
        <v>0</v>
      </c>
      <c r="K688" s="1">
        <v>4620000</v>
      </c>
      <c r="L688" s="1">
        <v>0</v>
      </c>
      <c r="M688" s="1">
        <v>1000000</v>
      </c>
      <c r="N688" s="1">
        <v>2713124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18180384</v>
      </c>
      <c r="W688" s="1">
        <v>4000000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2131741</v>
      </c>
      <c r="AF688" s="1">
        <v>1835427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10963546</v>
      </c>
      <c r="AM688" s="1">
        <v>0</v>
      </c>
      <c r="AN688" s="1">
        <v>0</v>
      </c>
      <c r="AO688" s="1">
        <v>79319781</v>
      </c>
      <c r="AP688" s="1">
        <v>12826293</v>
      </c>
      <c r="AQ688" s="1">
        <v>66493488</v>
      </c>
      <c r="AR688" s="1">
        <v>15496871</v>
      </c>
      <c r="AS688" s="1">
        <v>2324531</v>
      </c>
      <c r="AT688" s="3">
        <f t="shared" si="70"/>
        <v>97141183</v>
      </c>
    </row>
    <row r="689" spans="1:46" x14ac:dyDescent="0.2">
      <c r="A689" s="1" t="str">
        <f>"00791"</f>
        <v>00791</v>
      </c>
      <c r="B689" s="1" t="str">
        <f>"علي"</f>
        <v>علي</v>
      </c>
      <c r="C689" s="1" t="str">
        <f>"ملائي محلي"</f>
        <v>ملائي محلي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16271943</v>
      </c>
      <c r="G689" s="1">
        <v>3998409</v>
      </c>
      <c r="H689" s="1">
        <v>0</v>
      </c>
      <c r="I689" s="1">
        <v>14624252</v>
      </c>
      <c r="J689" s="1">
        <v>0</v>
      </c>
      <c r="K689" s="1">
        <v>4620000</v>
      </c>
      <c r="L689" s="1">
        <v>0</v>
      </c>
      <c r="M689" s="1">
        <v>1000000</v>
      </c>
      <c r="N689" s="1">
        <v>3071994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11563912</v>
      </c>
      <c r="W689" s="1">
        <v>4000000</v>
      </c>
      <c r="X689" s="1">
        <v>2362056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2413710</v>
      </c>
      <c r="AF689" s="1">
        <v>3670854</v>
      </c>
      <c r="AG689" s="1">
        <v>0</v>
      </c>
      <c r="AH689" s="1">
        <v>0</v>
      </c>
      <c r="AI689" s="1">
        <v>5000000</v>
      </c>
      <c r="AJ689" s="1">
        <v>0</v>
      </c>
      <c r="AK689" s="1">
        <v>0</v>
      </c>
      <c r="AL689" s="1">
        <v>15013267</v>
      </c>
      <c r="AM689" s="1">
        <v>0</v>
      </c>
      <c r="AN689" s="1">
        <v>0</v>
      </c>
      <c r="AO689" s="1">
        <v>87610397</v>
      </c>
      <c r="AP689" s="1">
        <v>17212920</v>
      </c>
      <c r="AQ689" s="1">
        <v>70397477</v>
      </c>
      <c r="AR689" s="1">
        <v>15787909</v>
      </c>
      <c r="AS689" s="1">
        <v>2368186</v>
      </c>
      <c r="AT689" s="3">
        <f t="shared" si="70"/>
        <v>105766492</v>
      </c>
    </row>
    <row r="690" spans="1:46" x14ac:dyDescent="0.2">
      <c r="A690" s="1" t="str">
        <f>"00792"</f>
        <v>00792</v>
      </c>
      <c r="B690" s="1" t="str">
        <f>"محمدعلي"</f>
        <v>محمدعلي</v>
      </c>
      <c r="C690" s="1" t="str">
        <f>"نجاتي"</f>
        <v>نجاتي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17775946</v>
      </c>
      <c r="G690" s="1">
        <v>12184261</v>
      </c>
      <c r="H690" s="1">
        <v>0</v>
      </c>
      <c r="I690" s="1">
        <v>16497868</v>
      </c>
      <c r="J690" s="1">
        <v>0</v>
      </c>
      <c r="K690" s="1">
        <v>4620000</v>
      </c>
      <c r="L690" s="1">
        <v>0</v>
      </c>
      <c r="M690" s="1">
        <v>1000000</v>
      </c>
      <c r="N690" s="1">
        <v>3320646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12800671</v>
      </c>
      <c r="W690" s="1">
        <v>4000000</v>
      </c>
      <c r="X690" s="1">
        <v>2436852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2609079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16063147</v>
      </c>
      <c r="AM690" s="1">
        <v>0</v>
      </c>
      <c r="AN690" s="1">
        <v>0</v>
      </c>
      <c r="AO690" s="1">
        <v>93308470</v>
      </c>
      <c r="AP690" s="1">
        <v>38919039</v>
      </c>
      <c r="AQ690" s="1">
        <v>54389431</v>
      </c>
      <c r="AR690" s="1">
        <v>18661694</v>
      </c>
      <c r="AS690" s="1">
        <v>2799254</v>
      </c>
      <c r="AT690" s="3">
        <f t="shared" si="70"/>
        <v>114769418</v>
      </c>
    </row>
    <row r="691" spans="1:46" x14ac:dyDescent="0.2">
      <c r="A691" s="1" t="str">
        <f>"00793"</f>
        <v>00793</v>
      </c>
      <c r="B691" s="1" t="str">
        <f>"حسين"</f>
        <v>حسين</v>
      </c>
      <c r="C691" s="1" t="str">
        <f>"نصيري"</f>
        <v>نصيري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15123158</v>
      </c>
      <c r="G691" s="1">
        <v>8088832</v>
      </c>
      <c r="H691" s="1">
        <v>0</v>
      </c>
      <c r="I691" s="1">
        <v>10978735</v>
      </c>
      <c r="J691" s="1">
        <v>0</v>
      </c>
      <c r="K691" s="1">
        <v>4620000</v>
      </c>
      <c r="L691" s="1">
        <v>0</v>
      </c>
      <c r="M691" s="1">
        <v>1000000</v>
      </c>
      <c r="N691" s="1">
        <v>2669918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12576263</v>
      </c>
      <c r="W691" s="1">
        <v>4000000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2097794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6393395</v>
      </c>
      <c r="AM691" s="1">
        <v>0</v>
      </c>
      <c r="AN691" s="1">
        <v>0</v>
      </c>
      <c r="AO691" s="1">
        <v>67548095</v>
      </c>
      <c r="AP691" s="1">
        <v>9597540</v>
      </c>
      <c r="AQ691" s="1">
        <v>57950555</v>
      </c>
      <c r="AR691" s="1">
        <v>13509619</v>
      </c>
      <c r="AS691" s="1">
        <v>2026443</v>
      </c>
      <c r="AT691" s="3">
        <f t="shared" si="70"/>
        <v>83084157</v>
      </c>
    </row>
    <row r="692" spans="1:46" x14ac:dyDescent="0.2">
      <c r="A692" s="1" t="str">
        <f>"00794"</f>
        <v>00794</v>
      </c>
      <c r="B692" s="1" t="str">
        <f>"علي"</f>
        <v>علي</v>
      </c>
      <c r="C692" s="1" t="str">
        <f>"نظري سينا"</f>
        <v>نظري سينا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17095744</v>
      </c>
      <c r="G692" s="1">
        <v>15136751</v>
      </c>
      <c r="H692" s="1">
        <v>0</v>
      </c>
      <c r="I692" s="1">
        <v>14335210</v>
      </c>
      <c r="J692" s="1">
        <v>0</v>
      </c>
      <c r="K692" s="1">
        <v>0</v>
      </c>
      <c r="L692" s="1">
        <v>0</v>
      </c>
      <c r="M692" s="1">
        <v>1000000</v>
      </c>
      <c r="N692" s="1">
        <v>3360324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11797504</v>
      </c>
      <c r="W692" s="1">
        <v>4000000</v>
      </c>
      <c r="X692" s="1">
        <v>2481640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2640255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13861962</v>
      </c>
      <c r="AM692" s="1">
        <v>0</v>
      </c>
      <c r="AN692" s="1">
        <v>0</v>
      </c>
      <c r="AO692" s="1">
        <v>85709390</v>
      </c>
      <c r="AP692" s="1">
        <v>34238937</v>
      </c>
      <c r="AQ692" s="1">
        <v>51470453</v>
      </c>
      <c r="AR692" s="1">
        <v>17141878</v>
      </c>
      <c r="AS692" s="1">
        <v>2571282</v>
      </c>
      <c r="AT692" s="3">
        <f t="shared" si="70"/>
        <v>105422550</v>
      </c>
    </row>
    <row r="693" spans="1:46" x14ac:dyDescent="0.2">
      <c r="A693" s="1" t="str">
        <f>"00795"</f>
        <v>00795</v>
      </c>
      <c r="B693" s="1" t="str">
        <f>"فرهاد"</f>
        <v>فرهاد</v>
      </c>
      <c r="C693" s="1" t="str">
        <f>"رزمي"</f>
        <v>رزمي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27711933</v>
      </c>
      <c r="G693" s="1">
        <v>19303628</v>
      </c>
      <c r="H693" s="1">
        <v>0</v>
      </c>
      <c r="I693" s="1">
        <v>23149237</v>
      </c>
      <c r="J693" s="1">
        <v>0</v>
      </c>
      <c r="K693" s="1">
        <v>5500000</v>
      </c>
      <c r="L693" s="1">
        <v>0</v>
      </c>
      <c r="M693" s="1">
        <v>1000000</v>
      </c>
      <c r="N693" s="1">
        <v>4326714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11727671</v>
      </c>
      <c r="W693" s="1">
        <v>4000000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3399561</v>
      </c>
      <c r="AF693" s="1">
        <v>1835427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5673767</v>
      </c>
      <c r="AM693" s="1">
        <v>0</v>
      </c>
      <c r="AN693" s="1">
        <v>0</v>
      </c>
      <c r="AO693" s="1">
        <v>107627938</v>
      </c>
      <c r="AP693" s="1">
        <v>22529325</v>
      </c>
      <c r="AQ693" s="1">
        <v>85098613</v>
      </c>
      <c r="AR693" s="1">
        <v>21158502</v>
      </c>
      <c r="AS693" s="1">
        <v>3173775</v>
      </c>
      <c r="AT693" s="3">
        <f t="shared" si="70"/>
        <v>131960215</v>
      </c>
    </row>
    <row r="694" spans="1:46" x14ac:dyDescent="0.2">
      <c r="A694" s="1" t="str">
        <f>"00796"</f>
        <v>00796</v>
      </c>
      <c r="B694" s="1" t="str">
        <f>"حميدرضا"</f>
        <v>حميدرضا</v>
      </c>
      <c r="C694" s="1" t="str">
        <f>"محبي"</f>
        <v>محبي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19756089</v>
      </c>
      <c r="G694" s="1">
        <v>0</v>
      </c>
      <c r="H694" s="1">
        <v>0</v>
      </c>
      <c r="I694" s="1">
        <v>14933090</v>
      </c>
      <c r="J694" s="1">
        <v>0</v>
      </c>
      <c r="K694" s="1">
        <v>0</v>
      </c>
      <c r="L694" s="1">
        <v>0</v>
      </c>
      <c r="M694" s="1">
        <v>1000000</v>
      </c>
      <c r="N694" s="1">
        <v>3250988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9510978</v>
      </c>
      <c r="W694" s="1">
        <v>4000000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2554347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5900501</v>
      </c>
      <c r="AM694" s="1">
        <v>0</v>
      </c>
      <c r="AN694" s="1">
        <v>0</v>
      </c>
      <c r="AO694" s="1">
        <v>60905993</v>
      </c>
      <c r="AP694" s="1">
        <v>17754431</v>
      </c>
      <c r="AQ694" s="1">
        <v>43151562</v>
      </c>
      <c r="AR694" s="1">
        <v>12181199</v>
      </c>
      <c r="AS694" s="1">
        <v>1827180</v>
      </c>
      <c r="AT694" s="3">
        <f t="shared" si="70"/>
        <v>74914372</v>
      </c>
    </row>
    <row r="695" spans="1:46" x14ac:dyDescent="0.2">
      <c r="A695" s="1" t="str">
        <f>"00797"</f>
        <v>00797</v>
      </c>
      <c r="B695" s="1" t="str">
        <f>"مسعود"</f>
        <v>مسعود</v>
      </c>
      <c r="C695" s="1" t="str">
        <f>"احمدپور"</f>
        <v>احمدپور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17521500</v>
      </c>
      <c r="G695" s="1">
        <v>13778886</v>
      </c>
      <c r="H695" s="1">
        <v>0</v>
      </c>
      <c r="I695" s="1">
        <v>14944033</v>
      </c>
      <c r="J695" s="1">
        <v>0</v>
      </c>
      <c r="K695" s="1">
        <v>3465000</v>
      </c>
      <c r="L695" s="1">
        <v>0</v>
      </c>
      <c r="M695" s="1">
        <v>1000000</v>
      </c>
      <c r="N695" s="1">
        <v>3231590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15894470</v>
      </c>
      <c r="W695" s="1">
        <v>4000000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2539106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8858497</v>
      </c>
      <c r="AM695" s="1">
        <v>0</v>
      </c>
      <c r="AN695" s="1">
        <v>0</v>
      </c>
      <c r="AO695" s="1">
        <v>85233082</v>
      </c>
      <c r="AP695" s="1">
        <v>12499393</v>
      </c>
      <c r="AQ695" s="1">
        <v>72733689</v>
      </c>
      <c r="AR695" s="1">
        <v>17046616</v>
      </c>
      <c r="AS695" s="1">
        <v>2556992</v>
      </c>
      <c r="AT695" s="3">
        <f t="shared" si="70"/>
        <v>104836690</v>
      </c>
    </row>
    <row r="696" spans="1:46" x14ac:dyDescent="0.2">
      <c r="A696" s="1" t="str">
        <f>"00798"</f>
        <v>00798</v>
      </c>
      <c r="B696" s="1" t="str">
        <f>"محمدصادق"</f>
        <v>محمدصادق</v>
      </c>
      <c r="C696" s="1" t="str">
        <f>"الماسي"</f>
        <v>الماسي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21957928</v>
      </c>
      <c r="G696" s="1">
        <v>15439733</v>
      </c>
      <c r="H696" s="1">
        <v>0</v>
      </c>
      <c r="I696" s="1">
        <v>18725819</v>
      </c>
      <c r="J696" s="1">
        <v>0</v>
      </c>
      <c r="K696" s="1">
        <v>5500000</v>
      </c>
      <c r="L696" s="1">
        <v>0</v>
      </c>
      <c r="M696" s="1">
        <v>1000000</v>
      </c>
      <c r="N696" s="1">
        <v>3823239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25994882</v>
      </c>
      <c r="W696" s="1">
        <v>4000000</v>
      </c>
      <c r="X696" s="1">
        <v>3187441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3003973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14015386</v>
      </c>
      <c r="AM696" s="1">
        <v>0</v>
      </c>
      <c r="AN696" s="1">
        <v>0</v>
      </c>
      <c r="AO696" s="1">
        <v>116648401</v>
      </c>
      <c r="AP696" s="1">
        <v>22287840</v>
      </c>
      <c r="AQ696" s="1">
        <v>94360561</v>
      </c>
      <c r="AR696" s="1">
        <v>23329680</v>
      </c>
      <c r="AS696" s="1">
        <v>3499452</v>
      </c>
      <c r="AT696" s="3">
        <f t="shared" si="70"/>
        <v>143477533</v>
      </c>
    </row>
    <row r="697" spans="1:46" x14ac:dyDescent="0.2">
      <c r="A697" s="1" t="str">
        <f>"00799"</f>
        <v>00799</v>
      </c>
      <c r="B697" s="1" t="str">
        <f>"حسين"</f>
        <v>حسين</v>
      </c>
      <c r="C697" s="1" t="str">
        <f>"پرواز"</f>
        <v>پرواز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24726602</v>
      </c>
      <c r="G697" s="1">
        <v>12051948</v>
      </c>
      <c r="H697" s="1">
        <v>0</v>
      </c>
      <c r="I697" s="1">
        <v>22241288</v>
      </c>
      <c r="J697" s="1">
        <v>0</v>
      </c>
      <c r="K697" s="1">
        <v>5500000</v>
      </c>
      <c r="L697" s="1">
        <v>0</v>
      </c>
      <c r="M697" s="1">
        <v>1000000</v>
      </c>
      <c r="N697" s="1">
        <v>4355812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29839834</v>
      </c>
      <c r="W697" s="1">
        <v>4000000</v>
      </c>
      <c r="X697" s="1">
        <v>3589346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3422424</v>
      </c>
      <c r="AF697" s="1">
        <v>3670854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15880702</v>
      </c>
      <c r="AM697" s="1">
        <v>0</v>
      </c>
      <c r="AN697" s="1">
        <v>0</v>
      </c>
      <c r="AO697" s="1">
        <v>130278810</v>
      </c>
      <c r="AP697" s="1">
        <v>39022136</v>
      </c>
      <c r="AQ697" s="1">
        <v>91256674</v>
      </c>
      <c r="AR697" s="1">
        <v>25321591</v>
      </c>
      <c r="AS697" s="1">
        <v>3798239</v>
      </c>
      <c r="AT697" s="3">
        <f t="shared" si="70"/>
        <v>159398640</v>
      </c>
    </row>
    <row r="698" spans="1:46" x14ac:dyDescent="0.2">
      <c r="A698" s="1" t="str">
        <f>"00800"</f>
        <v>00800</v>
      </c>
      <c r="B698" s="1" t="str">
        <f>"بهمن"</f>
        <v>بهمن</v>
      </c>
      <c r="C698" s="1" t="str">
        <f>"خدادوستان شهرکي"</f>
        <v>خدادوستان شهرکي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21713559</v>
      </c>
      <c r="G698" s="1">
        <v>5599831</v>
      </c>
      <c r="H698" s="1">
        <v>0</v>
      </c>
      <c r="I698" s="1">
        <v>18757813</v>
      </c>
      <c r="J698" s="1">
        <v>0</v>
      </c>
      <c r="K698" s="1">
        <v>5500000</v>
      </c>
      <c r="L698" s="1">
        <v>0</v>
      </c>
      <c r="M698" s="1">
        <v>1000000</v>
      </c>
      <c r="N698" s="1">
        <v>3737710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15303120</v>
      </c>
      <c r="W698" s="1">
        <v>4000000</v>
      </c>
      <c r="X698" s="1">
        <v>3151968</v>
      </c>
      <c r="Y698" s="1">
        <v>0</v>
      </c>
      <c r="Z698" s="1">
        <v>0</v>
      </c>
      <c r="AA698" s="1">
        <v>0</v>
      </c>
      <c r="AB698" s="1">
        <v>0</v>
      </c>
      <c r="AC698" s="1">
        <v>4459102</v>
      </c>
      <c r="AD698" s="1">
        <v>0</v>
      </c>
      <c r="AE698" s="1">
        <v>2936773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21267045</v>
      </c>
      <c r="AM698" s="1">
        <v>0</v>
      </c>
      <c r="AN698" s="1">
        <v>0</v>
      </c>
      <c r="AO698" s="1">
        <v>107426921</v>
      </c>
      <c r="AP698" s="1">
        <v>36647452</v>
      </c>
      <c r="AQ698" s="1">
        <v>70779469</v>
      </c>
      <c r="AR698" s="1">
        <v>21485384</v>
      </c>
      <c r="AS698" s="1">
        <v>3222808</v>
      </c>
      <c r="AT698" s="3">
        <f t="shared" si="70"/>
        <v>132135113</v>
      </c>
    </row>
    <row r="699" spans="1:46" x14ac:dyDescent="0.2">
      <c r="A699" s="1" t="str">
        <f>"00801"</f>
        <v>00801</v>
      </c>
      <c r="B699" s="1" t="str">
        <f>"عليرضا"</f>
        <v>عليرضا</v>
      </c>
      <c r="C699" s="1" t="str">
        <f>"رزمي"</f>
        <v>رزمي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14994675</v>
      </c>
      <c r="G699" s="1">
        <v>6709873</v>
      </c>
      <c r="H699" s="1">
        <v>0</v>
      </c>
      <c r="I699" s="1">
        <v>11287686</v>
      </c>
      <c r="J699" s="1">
        <v>0</v>
      </c>
      <c r="K699" s="1">
        <v>4620000</v>
      </c>
      <c r="L699" s="1">
        <v>0</v>
      </c>
      <c r="M699" s="1">
        <v>1000000</v>
      </c>
      <c r="N699" s="1">
        <v>2624950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9790736</v>
      </c>
      <c r="W699" s="1">
        <v>4000000</v>
      </c>
      <c r="X699" s="1">
        <v>2176646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2062461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12066431</v>
      </c>
      <c r="AM699" s="1">
        <v>0</v>
      </c>
      <c r="AN699" s="1">
        <v>0</v>
      </c>
      <c r="AO699" s="1">
        <v>71333458</v>
      </c>
      <c r="AP699" s="1">
        <v>10214554</v>
      </c>
      <c r="AQ699" s="1">
        <v>61118904</v>
      </c>
      <c r="AR699" s="1">
        <v>14266692</v>
      </c>
      <c r="AS699" s="1">
        <v>2140004</v>
      </c>
      <c r="AT699" s="3">
        <f t="shared" si="70"/>
        <v>87740154</v>
      </c>
    </row>
    <row r="700" spans="1:46" x14ac:dyDescent="0.2">
      <c r="A700" s="1" t="str">
        <f>"00802"</f>
        <v>00802</v>
      </c>
      <c r="B700" s="1" t="str">
        <f>"محمدباقر"</f>
        <v>محمدباقر</v>
      </c>
      <c r="C700" s="1" t="str">
        <f>"رنجبر"</f>
        <v>رنجبر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16992454</v>
      </c>
      <c r="G700" s="1">
        <v>15196480</v>
      </c>
      <c r="H700" s="1">
        <v>0</v>
      </c>
      <c r="I700" s="1">
        <v>13726606</v>
      </c>
      <c r="J700" s="1">
        <v>0</v>
      </c>
      <c r="K700" s="1">
        <v>4620000</v>
      </c>
      <c r="L700" s="1">
        <v>0</v>
      </c>
      <c r="M700" s="1">
        <v>1000000</v>
      </c>
      <c r="N700" s="1">
        <v>3324172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10234153</v>
      </c>
      <c r="W700" s="1">
        <v>4000000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2611850</v>
      </c>
      <c r="AF700" s="1">
        <v>3670854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8330207</v>
      </c>
      <c r="AM700" s="1">
        <v>0</v>
      </c>
      <c r="AN700" s="1">
        <v>0</v>
      </c>
      <c r="AO700" s="1">
        <v>83706776</v>
      </c>
      <c r="AP700" s="1">
        <v>26709747</v>
      </c>
      <c r="AQ700" s="1">
        <v>56997029</v>
      </c>
      <c r="AR700" s="1">
        <v>16007184</v>
      </c>
      <c r="AS700" s="1">
        <v>2401078</v>
      </c>
      <c r="AT700" s="3">
        <f t="shared" si="70"/>
        <v>102115038</v>
      </c>
    </row>
    <row r="701" spans="1:46" x14ac:dyDescent="0.2">
      <c r="A701" s="1" t="str">
        <f>"00803"</f>
        <v>00803</v>
      </c>
      <c r="B701" s="1" t="str">
        <f>"قادر"</f>
        <v>قادر</v>
      </c>
      <c r="C701" s="1" t="str">
        <f>"شجاعي"</f>
        <v>شجاعي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16259347</v>
      </c>
      <c r="G701" s="1">
        <v>10039822</v>
      </c>
      <c r="H701" s="1">
        <v>0</v>
      </c>
      <c r="I701" s="1">
        <v>13440979</v>
      </c>
      <c r="J701" s="1">
        <v>0</v>
      </c>
      <c r="K701" s="1">
        <v>0</v>
      </c>
      <c r="L701" s="1">
        <v>0</v>
      </c>
      <c r="M701" s="1">
        <v>1000000</v>
      </c>
      <c r="N701" s="1">
        <v>3067585</v>
      </c>
      <c r="O701" s="1">
        <v>0</v>
      </c>
      <c r="P701" s="1">
        <v>0</v>
      </c>
      <c r="Q701" s="1">
        <v>0</v>
      </c>
      <c r="R701" s="1">
        <v>217358</v>
      </c>
      <c r="S701" s="1">
        <v>0</v>
      </c>
      <c r="T701" s="1">
        <v>0</v>
      </c>
      <c r="U701" s="1">
        <v>0</v>
      </c>
      <c r="V701" s="1">
        <v>10987232</v>
      </c>
      <c r="W701" s="1">
        <v>4000000</v>
      </c>
      <c r="X701" s="1">
        <v>2360228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2410246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13117368</v>
      </c>
      <c r="AM701" s="1">
        <v>0</v>
      </c>
      <c r="AN701" s="1">
        <v>0</v>
      </c>
      <c r="AO701" s="1">
        <v>76900165</v>
      </c>
      <c r="AP701" s="1">
        <v>21094701</v>
      </c>
      <c r="AQ701" s="1">
        <v>55805464</v>
      </c>
      <c r="AR701" s="1">
        <v>15336561</v>
      </c>
      <c r="AS701" s="1">
        <v>2300484</v>
      </c>
      <c r="AT701" s="3">
        <f t="shared" si="70"/>
        <v>94537210</v>
      </c>
    </row>
    <row r="702" spans="1:46" x14ac:dyDescent="0.2">
      <c r="A702" s="1" t="str">
        <f>"00804"</f>
        <v>00804</v>
      </c>
      <c r="B702" s="1" t="str">
        <f>"علي"</f>
        <v>علي</v>
      </c>
      <c r="C702" s="1" t="str">
        <f>"گلابي"</f>
        <v>گلابي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16355079</v>
      </c>
      <c r="G702" s="1">
        <v>17832907</v>
      </c>
      <c r="H702" s="1">
        <v>0</v>
      </c>
      <c r="I702" s="1">
        <v>13812218</v>
      </c>
      <c r="J702" s="1">
        <v>0</v>
      </c>
      <c r="K702" s="1">
        <v>4620000</v>
      </c>
      <c r="L702" s="1">
        <v>0</v>
      </c>
      <c r="M702" s="1">
        <v>1000000</v>
      </c>
      <c r="N702" s="1">
        <v>3101091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10182111</v>
      </c>
      <c r="W702" s="1">
        <v>4000000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2436572</v>
      </c>
      <c r="AF702" s="1">
        <v>1835427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9051574</v>
      </c>
      <c r="AM702" s="1">
        <v>0</v>
      </c>
      <c r="AN702" s="1">
        <v>0</v>
      </c>
      <c r="AO702" s="1">
        <v>84226979</v>
      </c>
      <c r="AP702" s="1">
        <v>21601371</v>
      </c>
      <c r="AQ702" s="1">
        <v>62625608</v>
      </c>
      <c r="AR702" s="1">
        <v>16478310</v>
      </c>
      <c r="AS702" s="1">
        <v>2471747</v>
      </c>
      <c r="AT702" s="3">
        <f t="shared" si="70"/>
        <v>103177036</v>
      </c>
    </row>
    <row r="703" spans="1:46" x14ac:dyDescent="0.2">
      <c r="A703" s="1" t="str">
        <f>"00805"</f>
        <v>00805</v>
      </c>
      <c r="B703" s="1" t="str">
        <f>"حميد"</f>
        <v>حميد</v>
      </c>
      <c r="C703" s="1" t="str">
        <f>"محمودي پيام"</f>
        <v>محمودي پيام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15725263</v>
      </c>
      <c r="G703" s="1">
        <v>3821156</v>
      </c>
      <c r="H703" s="1">
        <v>0</v>
      </c>
      <c r="I703" s="1">
        <v>13669375</v>
      </c>
      <c r="J703" s="1">
        <v>0</v>
      </c>
      <c r="K703" s="1">
        <v>4620000</v>
      </c>
      <c r="L703" s="1">
        <v>0</v>
      </c>
      <c r="M703" s="1">
        <v>1000000</v>
      </c>
      <c r="N703" s="1">
        <v>2880655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11151309</v>
      </c>
      <c r="W703" s="1">
        <v>4000000</v>
      </c>
      <c r="X703" s="1">
        <v>2282699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2263372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14478075</v>
      </c>
      <c r="AM703" s="1">
        <v>0</v>
      </c>
      <c r="AN703" s="1">
        <v>0</v>
      </c>
      <c r="AO703" s="1">
        <v>75891904</v>
      </c>
      <c r="AP703" s="1">
        <v>28771185</v>
      </c>
      <c r="AQ703" s="1">
        <v>47120719</v>
      </c>
      <c r="AR703" s="1">
        <v>15178381</v>
      </c>
      <c r="AS703" s="1">
        <v>2276757</v>
      </c>
      <c r="AT703" s="3">
        <f t="shared" si="70"/>
        <v>93347042</v>
      </c>
    </row>
    <row r="704" spans="1:46" x14ac:dyDescent="0.2">
      <c r="A704" s="1" t="str">
        <f>"00806"</f>
        <v>00806</v>
      </c>
      <c r="B704" s="1" t="str">
        <f>"مصطفي"</f>
        <v>مصطفي</v>
      </c>
      <c r="C704" s="1" t="str">
        <f>"مرادي"</f>
        <v>مرادي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16682584</v>
      </c>
      <c r="G704" s="1">
        <v>7418966</v>
      </c>
      <c r="H704" s="1">
        <v>0</v>
      </c>
      <c r="I704" s="1">
        <v>14499783</v>
      </c>
      <c r="J704" s="1">
        <v>0</v>
      </c>
      <c r="K704" s="1">
        <v>4620000</v>
      </c>
      <c r="L704" s="1">
        <v>0</v>
      </c>
      <c r="M704" s="1">
        <v>1000000</v>
      </c>
      <c r="N704" s="1">
        <v>3215718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11462200</v>
      </c>
      <c r="W704" s="1">
        <v>4000000</v>
      </c>
      <c r="X704" s="1">
        <v>2421665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2526635</v>
      </c>
      <c r="AF704" s="1">
        <v>1835427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13458578</v>
      </c>
      <c r="AM704" s="1">
        <v>0</v>
      </c>
      <c r="AN704" s="1">
        <v>0</v>
      </c>
      <c r="AO704" s="1">
        <v>83141556</v>
      </c>
      <c r="AP704" s="1">
        <v>29995092</v>
      </c>
      <c r="AQ704" s="1">
        <v>53146464</v>
      </c>
      <c r="AR704" s="1">
        <v>16261226</v>
      </c>
      <c r="AS704" s="1">
        <v>2439184</v>
      </c>
      <c r="AT704" s="3">
        <f t="shared" si="70"/>
        <v>101841966</v>
      </c>
    </row>
    <row r="705" spans="1:46" x14ac:dyDescent="0.2">
      <c r="A705" s="1" t="str">
        <f>"00807"</f>
        <v>00807</v>
      </c>
      <c r="B705" s="1" t="str">
        <f>"محسن"</f>
        <v>محسن</v>
      </c>
      <c r="C705" s="1" t="str">
        <f>"ملکي"</f>
        <v>ملکي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16148499</v>
      </c>
      <c r="G705" s="1">
        <v>4266093</v>
      </c>
      <c r="H705" s="1">
        <v>0</v>
      </c>
      <c r="I705" s="1">
        <v>13426248</v>
      </c>
      <c r="J705" s="1">
        <v>0</v>
      </c>
      <c r="K705" s="1">
        <v>4620000</v>
      </c>
      <c r="L705" s="1">
        <v>0</v>
      </c>
      <c r="M705" s="1">
        <v>1000000</v>
      </c>
      <c r="N705" s="1">
        <v>3028789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19951516</v>
      </c>
      <c r="W705" s="1">
        <v>4000000</v>
      </c>
      <c r="X705" s="1">
        <v>2344137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2379763</v>
      </c>
      <c r="AF705" s="1">
        <v>1835427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12239228</v>
      </c>
      <c r="AM705" s="1">
        <v>0</v>
      </c>
      <c r="AN705" s="1">
        <v>0</v>
      </c>
      <c r="AO705" s="1">
        <v>85239700</v>
      </c>
      <c r="AP705" s="1">
        <v>32339247</v>
      </c>
      <c r="AQ705" s="1">
        <v>52900453</v>
      </c>
      <c r="AR705" s="1">
        <v>16680855</v>
      </c>
      <c r="AS705" s="1">
        <v>2502128</v>
      </c>
      <c r="AT705" s="3">
        <f t="shared" si="70"/>
        <v>104422683</v>
      </c>
    </row>
    <row r="706" spans="1:46" x14ac:dyDescent="0.2">
      <c r="A706" s="1" t="str">
        <f>"00808"</f>
        <v>00808</v>
      </c>
      <c r="B706" s="1" t="str">
        <f>"رضا"</f>
        <v>رضا</v>
      </c>
      <c r="C706" s="1" t="str">
        <f>"نگهبان"</f>
        <v>نگهبان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3">
        <f t="shared" si="70"/>
        <v>0</v>
      </c>
    </row>
    <row r="707" spans="1:46" x14ac:dyDescent="0.2">
      <c r="A707" s="1" t="str">
        <f>"00809"</f>
        <v>00809</v>
      </c>
      <c r="B707" s="1" t="str">
        <f>"حسين"</f>
        <v>حسين</v>
      </c>
      <c r="C707" s="1" t="str">
        <f>"سماواتي"</f>
        <v>سماواتي</v>
      </c>
      <c r="D707" s="1" t="str">
        <f t="shared" si="75"/>
        <v>قراردادي بهره بردار</v>
      </c>
      <c r="E707" s="1" t="str">
        <f t="shared" ref="E707:E722" si="77">"پروژه تعميرات نيروگاه بوشهر"</f>
        <v>پروژه تعميرات نيروگاه بوشهر</v>
      </c>
      <c r="F707" s="1">
        <v>29422515</v>
      </c>
      <c r="G707" s="1">
        <v>10492681</v>
      </c>
      <c r="H707" s="1">
        <v>0</v>
      </c>
      <c r="I707" s="1">
        <v>25682667</v>
      </c>
      <c r="J707" s="1">
        <v>0</v>
      </c>
      <c r="K707" s="1">
        <v>5500000</v>
      </c>
      <c r="L707" s="1">
        <v>0</v>
      </c>
      <c r="M707" s="1">
        <v>1000000</v>
      </c>
      <c r="N707" s="1">
        <v>4428997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6758922</v>
      </c>
      <c r="W707" s="1">
        <v>4000000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3479926</v>
      </c>
      <c r="AF707" s="1">
        <v>5506281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4575114</v>
      </c>
      <c r="AM707" s="1">
        <v>0</v>
      </c>
      <c r="AN707" s="1">
        <v>0</v>
      </c>
      <c r="AO707" s="1">
        <v>100847103</v>
      </c>
      <c r="AP707" s="1">
        <v>44118761</v>
      </c>
      <c r="AQ707" s="1">
        <v>56728342</v>
      </c>
      <c r="AR707" s="1">
        <v>19068164</v>
      </c>
      <c r="AS707" s="1">
        <v>2860225</v>
      </c>
      <c r="AT707" s="3">
        <f t="shared" ref="AT707:AT770" si="78">AO707+AR707+AS707</f>
        <v>122775492</v>
      </c>
    </row>
    <row r="708" spans="1:46" x14ac:dyDescent="0.2">
      <c r="A708" s="1" t="str">
        <f>"00811"</f>
        <v>00811</v>
      </c>
      <c r="B708" s="1" t="str">
        <f>"حسين"</f>
        <v>حسين</v>
      </c>
      <c r="C708" s="1" t="str">
        <f>"اسماعيلي مطلق"</f>
        <v>اسماعيلي مطلق</v>
      </c>
      <c r="D708" s="1" t="str">
        <f t="shared" ref="D708:D722" si="79">"قراردادي کارگري"</f>
        <v>قراردادي کارگري</v>
      </c>
      <c r="E708" s="1" t="str">
        <f t="shared" si="77"/>
        <v>پروژه تعميرات نيروگاه بوشهر</v>
      </c>
      <c r="F708" s="1">
        <v>0</v>
      </c>
      <c r="G708" s="1">
        <v>15282052</v>
      </c>
      <c r="H708" s="1">
        <v>0</v>
      </c>
      <c r="I708" s="1">
        <v>6242025</v>
      </c>
      <c r="J708" s="1">
        <v>0</v>
      </c>
      <c r="K708" s="1">
        <v>0</v>
      </c>
      <c r="L708" s="1">
        <v>11572430</v>
      </c>
      <c r="M708" s="1">
        <v>2000000</v>
      </c>
      <c r="N708" s="1">
        <v>5457508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2640000</v>
      </c>
      <c r="U708" s="1">
        <v>0</v>
      </c>
      <c r="V708" s="1">
        <v>11613651</v>
      </c>
      <c r="W708" s="1">
        <v>4000000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1835427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3350479</v>
      </c>
      <c r="AO708" s="1">
        <v>74226399</v>
      </c>
      <c r="AP708" s="1">
        <v>9330359</v>
      </c>
      <c r="AQ708" s="1">
        <v>64896040</v>
      </c>
      <c r="AR708" s="1">
        <v>14478194</v>
      </c>
      <c r="AS708" s="1">
        <v>2171729</v>
      </c>
      <c r="AT708" s="3">
        <f t="shared" si="78"/>
        <v>90876322</v>
      </c>
    </row>
    <row r="709" spans="1:46" x14ac:dyDescent="0.2">
      <c r="A709" s="1" t="str">
        <f>"00812"</f>
        <v>00812</v>
      </c>
      <c r="B709" s="1" t="str">
        <f>"نجف"</f>
        <v>نجف</v>
      </c>
      <c r="C709" s="1" t="str">
        <f>"انصاري"</f>
        <v>انصاري</v>
      </c>
      <c r="D709" s="1" t="str">
        <f t="shared" si="79"/>
        <v>قراردادي کارگري</v>
      </c>
      <c r="E709" s="1" t="str">
        <f t="shared" si="77"/>
        <v>پروژه تعميرات نيروگاه بوشهر</v>
      </c>
      <c r="F709" s="1">
        <v>0</v>
      </c>
      <c r="G709" s="1">
        <v>15235873</v>
      </c>
      <c r="H709" s="1">
        <v>0</v>
      </c>
      <c r="I709" s="1">
        <v>5105377</v>
      </c>
      <c r="J709" s="1">
        <v>0</v>
      </c>
      <c r="K709" s="1">
        <v>0</v>
      </c>
      <c r="L709" s="1">
        <v>11572430</v>
      </c>
      <c r="M709" s="1">
        <v>2000000</v>
      </c>
      <c r="N709" s="1">
        <v>4025053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2640000</v>
      </c>
      <c r="U709" s="1">
        <v>0</v>
      </c>
      <c r="V709" s="1">
        <v>7788975</v>
      </c>
      <c r="W709" s="1">
        <v>4000000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3670854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64142334</v>
      </c>
      <c r="AP709" s="1">
        <v>6513937</v>
      </c>
      <c r="AQ709" s="1">
        <v>57628397</v>
      </c>
      <c r="AR709" s="1">
        <v>12094296</v>
      </c>
      <c r="AS709" s="1">
        <v>1814144</v>
      </c>
      <c r="AT709" s="3">
        <f t="shared" si="78"/>
        <v>78050774</v>
      </c>
    </row>
    <row r="710" spans="1:46" x14ac:dyDescent="0.2">
      <c r="A710" s="1" t="str">
        <f>"00813"</f>
        <v>00813</v>
      </c>
      <c r="B710" s="1" t="str">
        <f>"غلامرضا"</f>
        <v>غلامرضا</v>
      </c>
      <c r="C710" s="1" t="str">
        <f>"برخ"</f>
        <v>برخ</v>
      </c>
      <c r="D710" s="1" t="str">
        <f t="shared" si="79"/>
        <v>قراردادي کارگري</v>
      </c>
      <c r="E710" s="1" t="str">
        <f t="shared" si="77"/>
        <v>پروژه تعميرات نيروگاه بوشهر</v>
      </c>
      <c r="F710" s="1">
        <v>0</v>
      </c>
      <c r="G710" s="1">
        <v>8287722</v>
      </c>
      <c r="H710" s="1">
        <v>0</v>
      </c>
      <c r="I710" s="1">
        <v>4624985</v>
      </c>
      <c r="J710" s="1">
        <v>0</v>
      </c>
      <c r="K710" s="1">
        <v>0</v>
      </c>
      <c r="L710" s="1">
        <v>11572430</v>
      </c>
      <c r="M710" s="1">
        <v>2000000</v>
      </c>
      <c r="N710" s="1">
        <v>3915331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2640000</v>
      </c>
      <c r="U710" s="1">
        <v>0</v>
      </c>
      <c r="V710" s="1">
        <v>10432738</v>
      </c>
      <c r="W710" s="1">
        <v>4000000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3670854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58485306</v>
      </c>
      <c r="AP710" s="1">
        <v>6451874</v>
      </c>
      <c r="AQ710" s="1">
        <v>52033432</v>
      </c>
      <c r="AR710" s="1">
        <v>10962890</v>
      </c>
      <c r="AS710" s="1">
        <v>1644434</v>
      </c>
      <c r="AT710" s="3">
        <f t="shared" si="78"/>
        <v>71092630</v>
      </c>
    </row>
    <row r="711" spans="1:46" x14ac:dyDescent="0.2">
      <c r="A711" s="1" t="str">
        <f>"00814"</f>
        <v>00814</v>
      </c>
      <c r="B711" s="1" t="str">
        <f>"مرتضي"</f>
        <v>مرتضي</v>
      </c>
      <c r="C711" s="1" t="str">
        <f>"پيش خورد"</f>
        <v>پيش خورد</v>
      </c>
      <c r="D711" s="1" t="str">
        <f t="shared" si="79"/>
        <v>قراردادي کارگري</v>
      </c>
      <c r="E711" s="1" t="str">
        <f t="shared" si="77"/>
        <v>پروژه تعميرات نيروگاه بوشهر</v>
      </c>
      <c r="F711" s="1">
        <v>0</v>
      </c>
      <c r="G711" s="1">
        <v>13414002</v>
      </c>
      <c r="H711" s="1">
        <v>0</v>
      </c>
      <c r="I711" s="1">
        <v>8303717</v>
      </c>
      <c r="J711" s="1">
        <v>0</v>
      </c>
      <c r="K711" s="1">
        <v>0</v>
      </c>
      <c r="L711" s="1">
        <v>11521166</v>
      </c>
      <c r="M711" s="1">
        <v>2000000</v>
      </c>
      <c r="N711" s="1">
        <v>6284744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2640000</v>
      </c>
      <c r="U711" s="1">
        <v>0</v>
      </c>
      <c r="V711" s="1">
        <v>8392695</v>
      </c>
      <c r="W711" s="1">
        <v>4000000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5506281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73925058</v>
      </c>
      <c r="AP711" s="1">
        <v>21509415</v>
      </c>
      <c r="AQ711" s="1">
        <v>52415643</v>
      </c>
      <c r="AR711" s="1">
        <v>13683755</v>
      </c>
      <c r="AS711" s="1">
        <v>2052563</v>
      </c>
      <c r="AT711" s="3">
        <f t="shared" si="78"/>
        <v>89661376</v>
      </c>
    </row>
    <row r="712" spans="1:46" x14ac:dyDescent="0.2">
      <c r="A712" s="1" t="str">
        <f>"00815"</f>
        <v>00815</v>
      </c>
      <c r="B712" s="1" t="str">
        <f>"امير"</f>
        <v>امير</v>
      </c>
      <c r="C712" s="1" t="str">
        <f>"جاودانيان"</f>
        <v>جاودانيان</v>
      </c>
      <c r="D712" s="1" t="str">
        <f t="shared" si="79"/>
        <v>قراردادي کارگري</v>
      </c>
      <c r="E712" s="1" t="str">
        <f t="shared" si="77"/>
        <v>پروژه تعميرات نيروگاه بوشهر</v>
      </c>
      <c r="F712" s="1">
        <v>0</v>
      </c>
      <c r="G712" s="1">
        <v>4842452</v>
      </c>
      <c r="H712" s="1">
        <v>0</v>
      </c>
      <c r="I712" s="1">
        <v>4648988</v>
      </c>
      <c r="J712" s="1">
        <v>0</v>
      </c>
      <c r="K712" s="1">
        <v>0</v>
      </c>
      <c r="L712" s="1">
        <v>11572430</v>
      </c>
      <c r="M712" s="1">
        <v>2000000</v>
      </c>
      <c r="N712" s="1">
        <v>3874157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2640000</v>
      </c>
      <c r="U712" s="1">
        <v>0</v>
      </c>
      <c r="V712" s="1">
        <v>6468339</v>
      </c>
      <c r="W712" s="1">
        <v>4000000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1835427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49630106</v>
      </c>
      <c r="AP712" s="1">
        <v>11938974</v>
      </c>
      <c r="AQ712" s="1">
        <v>37691132</v>
      </c>
      <c r="AR712" s="1">
        <v>9558936</v>
      </c>
      <c r="AS712" s="1">
        <v>1433840</v>
      </c>
      <c r="AT712" s="3">
        <f t="shared" si="78"/>
        <v>60622882</v>
      </c>
    </row>
    <row r="713" spans="1:46" x14ac:dyDescent="0.2">
      <c r="A713" s="1" t="str">
        <f>"00816"</f>
        <v>00816</v>
      </c>
      <c r="B713" s="1" t="str">
        <f>"علي"</f>
        <v>علي</v>
      </c>
      <c r="C713" s="1" t="str">
        <f>"جاودانيان"</f>
        <v>جاودانيان</v>
      </c>
      <c r="D713" s="1" t="str">
        <f t="shared" si="79"/>
        <v>قراردادي کارگري</v>
      </c>
      <c r="E713" s="1" t="str">
        <f t="shared" si="77"/>
        <v>پروژه تعميرات نيروگاه بوشهر</v>
      </c>
      <c r="F713" s="1">
        <v>0</v>
      </c>
      <c r="G713" s="1">
        <v>9214047</v>
      </c>
      <c r="H713" s="1">
        <v>0</v>
      </c>
      <c r="I713" s="1">
        <v>9109462</v>
      </c>
      <c r="J713" s="1">
        <v>0</v>
      </c>
      <c r="K713" s="1">
        <v>0</v>
      </c>
      <c r="L713" s="1">
        <v>11521166</v>
      </c>
      <c r="M713" s="1">
        <v>2000000</v>
      </c>
      <c r="N713" s="1">
        <v>6655315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2640000</v>
      </c>
      <c r="U713" s="1">
        <v>0</v>
      </c>
      <c r="V713" s="1">
        <v>10456959</v>
      </c>
      <c r="W713" s="1">
        <v>4000000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3670854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71746518</v>
      </c>
      <c r="AP713" s="1">
        <v>11033347</v>
      </c>
      <c r="AQ713" s="1">
        <v>60713171</v>
      </c>
      <c r="AR713" s="1">
        <v>13615133</v>
      </c>
      <c r="AS713" s="1">
        <v>2042270</v>
      </c>
      <c r="AT713" s="3">
        <f t="shared" si="78"/>
        <v>87403921</v>
      </c>
    </row>
    <row r="714" spans="1:46" x14ac:dyDescent="0.2">
      <c r="A714" s="1" t="str">
        <f>"00817"</f>
        <v>00817</v>
      </c>
      <c r="B714" s="1" t="str">
        <f>"علي"</f>
        <v>علي</v>
      </c>
      <c r="C714" s="1" t="str">
        <f>"دهقاندوست"</f>
        <v>دهقاندوست</v>
      </c>
      <c r="D714" s="1" t="str">
        <f t="shared" si="79"/>
        <v>قراردادي کارگري</v>
      </c>
      <c r="E714" s="1" t="str">
        <f t="shared" si="77"/>
        <v>پروژه تعميرات نيروگاه بوشهر</v>
      </c>
      <c r="F714" s="1">
        <v>0</v>
      </c>
      <c r="G714" s="1">
        <v>6821981</v>
      </c>
      <c r="H714" s="1">
        <v>0</v>
      </c>
      <c r="I714" s="1">
        <v>4807155</v>
      </c>
      <c r="J714" s="1">
        <v>0</v>
      </c>
      <c r="K714" s="1">
        <v>0</v>
      </c>
      <c r="L714" s="1">
        <v>11572430</v>
      </c>
      <c r="M714" s="1">
        <v>2000000</v>
      </c>
      <c r="N714" s="1">
        <v>4042598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2640000</v>
      </c>
      <c r="U714" s="1">
        <v>0</v>
      </c>
      <c r="V714" s="1">
        <v>10618302</v>
      </c>
      <c r="W714" s="1">
        <v>4000000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5506281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59639151</v>
      </c>
      <c r="AP714" s="1">
        <v>5664286</v>
      </c>
      <c r="AQ714" s="1">
        <v>53974865</v>
      </c>
      <c r="AR714" s="1">
        <v>10826574</v>
      </c>
      <c r="AS714" s="1">
        <v>1623986</v>
      </c>
      <c r="AT714" s="3">
        <f t="shared" si="78"/>
        <v>72089711</v>
      </c>
    </row>
    <row r="715" spans="1:46" x14ac:dyDescent="0.2">
      <c r="A715" s="1" t="str">
        <f>"00819"</f>
        <v>00819</v>
      </c>
      <c r="B715" s="1" t="str">
        <f>"عبدالرضا"</f>
        <v>عبدالرضا</v>
      </c>
      <c r="C715" s="1" t="str">
        <f>"سليماني"</f>
        <v>سليماني</v>
      </c>
      <c r="D715" s="1" t="str">
        <f t="shared" si="79"/>
        <v>قراردادي کارگري</v>
      </c>
      <c r="E715" s="1" t="str">
        <f t="shared" si="77"/>
        <v>پروژه تعميرات نيروگاه بوشهر</v>
      </c>
      <c r="F715" s="1">
        <v>0</v>
      </c>
      <c r="G715" s="1">
        <v>5778012</v>
      </c>
      <c r="H715" s="1">
        <v>0</v>
      </c>
      <c r="I715" s="1">
        <v>7669778</v>
      </c>
      <c r="J715" s="1">
        <v>0</v>
      </c>
      <c r="K715" s="1">
        <v>0</v>
      </c>
      <c r="L715" s="1">
        <v>11521166</v>
      </c>
      <c r="M715" s="1">
        <v>2000000</v>
      </c>
      <c r="N715" s="1">
        <v>5603491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2640000</v>
      </c>
      <c r="U715" s="1">
        <v>0</v>
      </c>
      <c r="V715" s="1">
        <v>12865304</v>
      </c>
      <c r="W715" s="1">
        <v>4000000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7341708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69926004</v>
      </c>
      <c r="AP715" s="1">
        <v>9234211</v>
      </c>
      <c r="AQ715" s="1">
        <v>60691793</v>
      </c>
      <c r="AR715" s="1">
        <v>12516859</v>
      </c>
      <c r="AS715" s="1">
        <v>1877529</v>
      </c>
      <c r="AT715" s="3">
        <f t="shared" si="78"/>
        <v>84320392</v>
      </c>
    </row>
    <row r="716" spans="1:46" x14ac:dyDescent="0.2">
      <c r="A716" s="1" t="str">
        <f>"00821"</f>
        <v>00821</v>
      </c>
      <c r="B716" s="1" t="str">
        <f>"حمادي"</f>
        <v>حمادي</v>
      </c>
      <c r="C716" s="1" t="str">
        <f>"شعباني"</f>
        <v>شعباني</v>
      </c>
      <c r="D716" s="1" t="str">
        <f t="shared" si="79"/>
        <v>قراردادي کارگري</v>
      </c>
      <c r="E716" s="1" t="str">
        <f t="shared" si="77"/>
        <v>پروژه تعميرات نيروگاه بوشهر</v>
      </c>
      <c r="F716" s="1">
        <v>0</v>
      </c>
      <c r="G716" s="1">
        <v>36583769</v>
      </c>
      <c r="H716" s="1">
        <v>0</v>
      </c>
      <c r="I716" s="1">
        <v>9196642</v>
      </c>
      <c r="J716" s="1">
        <v>0</v>
      </c>
      <c r="K716" s="1">
        <v>0</v>
      </c>
      <c r="L716" s="1">
        <v>11521166</v>
      </c>
      <c r="M716" s="1">
        <v>2000000</v>
      </c>
      <c r="N716" s="1">
        <v>6722691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2640000</v>
      </c>
      <c r="U716" s="1">
        <v>0</v>
      </c>
      <c r="V716" s="1">
        <v>19377684</v>
      </c>
      <c r="W716" s="1">
        <v>4000000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5506281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110321347</v>
      </c>
      <c r="AP716" s="1">
        <v>15869484</v>
      </c>
      <c r="AQ716" s="1">
        <v>94451863</v>
      </c>
      <c r="AR716" s="1">
        <v>20963013</v>
      </c>
      <c r="AS716" s="1">
        <v>3144452</v>
      </c>
      <c r="AT716" s="3">
        <f t="shared" si="78"/>
        <v>134428812</v>
      </c>
    </row>
    <row r="717" spans="1:46" x14ac:dyDescent="0.2">
      <c r="A717" s="1" t="str">
        <f>"00822"</f>
        <v>00822</v>
      </c>
      <c r="B717" s="1" t="str">
        <f>"محمد"</f>
        <v>محمد</v>
      </c>
      <c r="C717" s="1" t="str">
        <f>"مقاتلي"</f>
        <v>مقاتلي</v>
      </c>
      <c r="D717" s="1" t="str">
        <f t="shared" si="79"/>
        <v>قراردادي کارگري</v>
      </c>
      <c r="E717" s="1" t="str">
        <f t="shared" si="77"/>
        <v>پروژه تعميرات نيروگاه بوشهر</v>
      </c>
      <c r="F717" s="1">
        <v>0</v>
      </c>
      <c r="G717" s="1">
        <v>9258396</v>
      </c>
      <c r="H717" s="1">
        <v>0</v>
      </c>
      <c r="I717" s="1">
        <v>7353880</v>
      </c>
      <c r="J717" s="1">
        <v>0</v>
      </c>
      <c r="K717" s="1">
        <v>0</v>
      </c>
      <c r="L717" s="1">
        <v>11572430</v>
      </c>
      <c r="M717" s="1">
        <v>2000000</v>
      </c>
      <c r="N717" s="1">
        <v>6325918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2640000</v>
      </c>
      <c r="U717" s="1">
        <v>0</v>
      </c>
      <c r="V717" s="1">
        <v>9745498</v>
      </c>
      <c r="W717" s="1">
        <v>4000000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3670854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68428072</v>
      </c>
      <c r="AP717" s="1">
        <v>10428130</v>
      </c>
      <c r="AQ717" s="1">
        <v>57999942</v>
      </c>
      <c r="AR717" s="1">
        <v>12951444</v>
      </c>
      <c r="AS717" s="1">
        <v>1942717</v>
      </c>
      <c r="AT717" s="3">
        <f t="shared" si="78"/>
        <v>83322233</v>
      </c>
    </row>
    <row r="718" spans="1:46" x14ac:dyDescent="0.2">
      <c r="A718" s="1" t="str">
        <f>"00827"</f>
        <v>00827</v>
      </c>
      <c r="B718" s="1" t="str">
        <f>"رضا"</f>
        <v>رضا</v>
      </c>
      <c r="C718" s="1" t="str">
        <f>"غفاري"</f>
        <v>غفاري</v>
      </c>
      <c r="D718" s="1" t="str">
        <f t="shared" si="79"/>
        <v>قراردادي کارگري</v>
      </c>
      <c r="E718" s="1" t="str">
        <f t="shared" si="77"/>
        <v>پروژه تعميرات نيروگاه بوشهر</v>
      </c>
      <c r="F718" s="1">
        <v>0</v>
      </c>
      <c r="G718" s="1">
        <v>16427928</v>
      </c>
      <c r="H718" s="1">
        <v>0</v>
      </c>
      <c r="I718" s="1">
        <v>7708800</v>
      </c>
      <c r="J718" s="1">
        <v>0</v>
      </c>
      <c r="K718" s="1">
        <v>0</v>
      </c>
      <c r="L718" s="1">
        <v>11521166</v>
      </c>
      <c r="M718" s="1">
        <v>2000000</v>
      </c>
      <c r="N718" s="1">
        <v>5790648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2640000</v>
      </c>
      <c r="U718" s="1">
        <v>0</v>
      </c>
      <c r="V718" s="1">
        <v>12623423</v>
      </c>
      <c r="W718" s="1">
        <v>4000000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3670854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3587808</v>
      </c>
      <c r="AO718" s="1">
        <v>80828092</v>
      </c>
      <c r="AP718" s="1">
        <v>10369887</v>
      </c>
      <c r="AQ718" s="1">
        <v>70458205</v>
      </c>
      <c r="AR718" s="1">
        <v>15431448</v>
      </c>
      <c r="AS718" s="1">
        <v>2314717</v>
      </c>
      <c r="AT718" s="3">
        <f t="shared" si="78"/>
        <v>98574257</v>
      </c>
    </row>
    <row r="719" spans="1:46" x14ac:dyDescent="0.2">
      <c r="A719" s="1" t="str">
        <f>"00828"</f>
        <v>00828</v>
      </c>
      <c r="B719" s="1" t="str">
        <f>"علي"</f>
        <v>علي</v>
      </c>
      <c r="C719" s="1" t="str">
        <f>"كابلي"</f>
        <v>كابلي</v>
      </c>
      <c r="D719" s="1" t="str">
        <f t="shared" si="79"/>
        <v>قراردادي کارگري</v>
      </c>
      <c r="E719" s="1" t="str">
        <f t="shared" si="77"/>
        <v>پروژه تعميرات نيروگاه بوشهر</v>
      </c>
      <c r="F719" s="1">
        <v>0</v>
      </c>
      <c r="G719" s="1">
        <v>17361875</v>
      </c>
      <c r="H719" s="1">
        <v>0</v>
      </c>
      <c r="I719" s="1">
        <v>8645616</v>
      </c>
      <c r="J719" s="1">
        <v>0</v>
      </c>
      <c r="K719" s="1">
        <v>0</v>
      </c>
      <c r="L719" s="1">
        <v>11521166</v>
      </c>
      <c r="M719" s="1">
        <v>2000000</v>
      </c>
      <c r="N719" s="1">
        <v>6494359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2640000</v>
      </c>
      <c r="U719" s="1">
        <v>0</v>
      </c>
      <c r="V719" s="1">
        <v>13511419</v>
      </c>
      <c r="W719" s="1">
        <v>4000000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5506281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3883806</v>
      </c>
      <c r="AO719" s="1">
        <v>87741446</v>
      </c>
      <c r="AP719" s="1">
        <v>14166345</v>
      </c>
      <c r="AQ719" s="1">
        <v>73575101</v>
      </c>
      <c r="AR719" s="1">
        <v>16447033</v>
      </c>
      <c r="AS719" s="1">
        <v>2467055</v>
      </c>
      <c r="AT719" s="3">
        <f t="shared" si="78"/>
        <v>106655534</v>
      </c>
    </row>
    <row r="720" spans="1:46" x14ac:dyDescent="0.2">
      <c r="A720" s="1" t="str">
        <f>"00831"</f>
        <v>00831</v>
      </c>
      <c r="B720" s="1" t="str">
        <f>"مرتضي"</f>
        <v>مرتضي</v>
      </c>
      <c r="C720" s="1" t="str">
        <f>"كهن"</f>
        <v>كهن</v>
      </c>
      <c r="D720" s="1" t="str">
        <f t="shared" si="79"/>
        <v>قراردادي کارگري</v>
      </c>
      <c r="E720" s="1" t="str">
        <f t="shared" si="77"/>
        <v>پروژه تعميرات نيروگاه بوشهر</v>
      </c>
      <c r="F720" s="1">
        <v>0</v>
      </c>
      <c r="G720" s="1">
        <v>7578654</v>
      </c>
      <c r="H720" s="1">
        <v>0</v>
      </c>
      <c r="I720" s="1">
        <v>7160452</v>
      </c>
      <c r="J720" s="1">
        <v>0</v>
      </c>
      <c r="K720" s="1">
        <v>0</v>
      </c>
      <c r="L720" s="1">
        <v>11521166</v>
      </c>
      <c r="M720" s="1">
        <v>2000000</v>
      </c>
      <c r="N720" s="1">
        <v>5304039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2640000</v>
      </c>
      <c r="U720" s="1">
        <v>0</v>
      </c>
      <c r="V720" s="1">
        <v>9029414</v>
      </c>
      <c r="W720" s="1">
        <v>4000000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3670854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62849652</v>
      </c>
      <c r="AP720" s="1">
        <v>7221350</v>
      </c>
      <c r="AQ720" s="1">
        <v>55628302</v>
      </c>
      <c r="AR720" s="1">
        <v>11835760</v>
      </c>
      <c r="AS720" s="1">
        <v>1775364</v>
      </c>
      <c r="AT720" s="3">
        <f t="shared" si="78"/>
        <v>76460776</v>
      </c>
    </row>
    <row r="721" spans="1:46" x14ac:dyDescent="0.2">
      <c r="A721" s="1" t="str">
        <f>"00832"</f>
        <v>00832</v>
      </c>
      <c r="B721" s="1" t="str">
        <f>"ابراهيم"</f>
        <v>ابراهيم</v>
      </c>
      <c r="C721" s="1" t="str">
        <f>"عبدالهي"</f>
        <v>عبدالهي</v>
      </c>
      <c r="D721" s="1" t="str">
        <f t="shared" si="79"/>
        <v>قراردادي کارگري</v>
      </c>
      <c r="E721" s="1" t="str">
        <f t="shared" si="77"/>
        <v>پروژه تعميرات نيروگاه بوشهر</v>
      </c>
      <c r="F721" s="1">
        <v>0</v>
      </c>
      <c r="G721" s="1">
        <v>8876338</v>
      </c>
      <c r="H721" s="1">
        <v>0</v>
      </c>
      <c r="I721" s="1">
        <v>7120798</v>
      </c>
      <c r="J721" s="1">
        <v>0</v>
      </c>
      <c r="K721" s="1">
        <v>0</v>
      </c>
      <c r="L721" s="1">
        <v>11521166</v>
      </c>
      <c r="M721" s="1">
        <v>2000000</v>
      </c>
      <c r="N721" s="1">
        <v>5348957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2640000</v>
      </c>
      <c r="U721" s="1">
        <v>0</v>
      </c>
      <c r="V721" s="1">
        <v>12568817</v>
      </c>
      <c r="W721" s="1">
        <v>4000000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1835427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65940797</v>
      </c>
      <c r="AP721" s="1">
        <v>9838718</v>
      </c>
      <c r="AQ721" s="1">
        <v>56102079</v>
      </c>
      <c r="AR721" s="1">
        <v>12821074</v>
      </c>
      <c r="AS721" s="1">
        <v>1923161</v>
      </c>
      <c r="AT721" s="3">
        <f t="shared" si="78"/>
        <v>80685032</v>
      </c>
    </row>
    <row r="722" spans="1:46" x14ac:dyDescent="0.2">
      <c r="A722" s="1" t="str">
        <f>"00834"</f>
        <v>00834</v>
      </c>
      <c r="B722" s="1" t="str">
        <f>"محمد"</f>
        <v>محمد</v>
      </c>
      <c r="C722" s="1" t="str">
        <f>"عساکره"</f>
        <v>عساکره</v>
      </c>
      <c r="D722" s="1" t="str">
        <f t="shared" si="79"/>
        <v>قراردادي کارگري</v>
      </c>
      <c r="E722" s="1" t="str">
        <f t="shared" si="77"/>
        <v>پروژه تعميرات نيروگاه بوشهر</v>
      </c>
      <c r="F722" s="1">
        <v>0</v>
      </c>
      <c r="G722" s="1">
        <v>7552417</v>
      </c>
      <c r="H722" s="1">
        <v>0</v>
      </c>
      <c r="I722" s="1">
        <v>4464423</v>
      </c>
      <c r="J722" s="1">
        <v>0</v>
      </c>
      <c r="K722" s="1">
        <v>0</v>
      </c>
      <c r="L722" s="1">
        <v>11572430</v>
      </c>
      <c r="M722" s="1">
        <v>2000000</v>
      </c>
      <c r="N722" s="1">
        <v>3519727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2640000</v>
      </c>
      <c r="U722" s="1">
        <v>0</v>
      </c>
      <c r="V722" s="1">
        <v>10263426</v>
      </c>
      <c r="W722" s="1">
        <v>4000000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5506281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58605089</v>
      </c>
      <c r="AP722" s="1">
        <v>5495734</v>
      </c>
      <c r="AQ722" s="1">
        <v>53109355</v>
      </c>
      <c r="AR722" s="1">
        <v>10619762</v>
      </c>
      <c r="AS722" s="1">
        <v>1592964</v>
      </c>
      <c r="AT722" s="3">
        <f t="shared" si="78"/>
        <v>70817815</v>
      </c>
    </row>
    <row r="723" spans="1:46" x14ac:dyDescent="0.2">
      <c r="A723" s="1" t="str">
        <f>"00835"</f>
        <v>00835</v>
      </c>
      <c r="B723" s="1" t="str">
        <f>"صادق"</f>
        <v>صادق</v>
      </c>
      <c r="C723" s="1" t="str">
        <f>"عباسي"</f>
        <v>عباسي</v>
      </c>
      <c r="D723" s="1" t="str">
        <f>"قراردادي بهره بردار"</f>
        <v>قراردادي بهره بردار</v>
      </c>
      <c r="E723" s="1" t="str">
        <f>"پروژه بهره برداري نيروگاه بوشهر"</f>
        <v>پروژه بهره برداري نيروگاه بوشهر</v>
      </c>
      <c r="F723" s="1">
        <v>24847527</v>
      </c>
      <c r="G723" s="1">
        <v>875666</v>
      </c>
      <c r="H723" s="1">
        <v>0</v>
      </c>
      <c r="I723" s="1">
        <v>20033385</v>
      </c>
      <c r="J723" s="1">
        <v>0</v>
      </c>
      <c r="K723" s="1">
        <v>5500000</v>
      </c>
      <c r="L723" s="1">
        <v>0</v>
      </c>
      <c r="M723" s="1">
        <v>1000000</v>
      </c>
      <c r="N723" s="1">
        <v>3604566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5640656</v>
      </c>
      <c r="W723" s="1">
        <v>4000000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2832160</v>
      </c>
      <c r="AF723" s="1">
        <v>1835427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5088919</v>
      </c>
      <c r="AM723" s="1">
        <v>0</v>
      </c>
      <c r="AN723" s="1">
        <v>0</v>
      </c>
      <c r="AO723" s="1">
        <v>75258306</v>
      </c>
      <c r="AP723" s="1">
        <v>33750585</v>
      </c>
      <c r="AQ723" s="1">
        <v>41507721</v>
      </c>
      <c r="AR723" s="1">
        <v>14684576</v>
      </c>
      <c r="AS723" s="1">
        <v>2202686</v>
      </c>
      <c r="AT723" s="3">
        <f t="shared" si="78"/>
        <v>92145568</v>
      </c>
    </row>
    <row r="724" spans="1:46" x14ac:dyDescent="0.2">
      <c r="A724" s="1" t="str">
        <f>"00836"</f>
        <v>00836</v>
      </c>
      <c r="B724" s="1" t="str">
        <f>"حميد"</f>
        <v>حميد</v>
      </c>
      <c r="C724" s="1" t="str">
        <f>"گزدرازي"</f>
        <v>گزدرازي</v>
      </c>
      <c r="D724" s="1" t="str">
        <f>"قراردادي کارگري"</f>
        <v>قراردادي کارگري</v>
      </c>
      <c r="E724" s="1" t="str">
        <f>"پروژه تعميرات نيروگاه بوشهر"</f>
        <v>پروژه تعميرات نيروگاه بوشهر</v>
      </c>
      <c r="F724" s="1">
        <v>0</v>
      </c>
      <c r="G724" s="1">
        <v>11477885</v>
      </c>
      <c r="H724" s="1">
        <v>0</v>
      </c>
      <c r="I724" s="1">
        <v>8620841</v>
      </c>
      <c r="J724" s="1">
        <v>0</v>
      </c>
      <c r="K724" s="1">
        <v>0</v>
      </c>
      <c r="L724" s="1">
        <v>11521166</v>
      </c>
      <c r="M724" s="1">
        <v>2000000</v>
      </c>
      <c r="N724" s="1">
        <v>6385808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2640000</v>
      </c>
      <c r="U724" s="1">
        <v>0</v>
      </c>
      <c r="V724" s="1">
        <v>13969127</v>
      </c>
      <c r="W724" s="1">
        <v>4000000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5506281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78094498</v>
      </c>
      <c r="AP724" s="1">
        <v>14342674</v>
      </c>
      <c r="AQ724" s="1">
        <v>63751824</v>
      </c>
      <c r="AR724" s="1">
        <v>14517643</v>
      </c>
      <c r="AS724" s="1">
        <v>2177647</v>
      </c>
      <c r="AT724" s="3">
        <f t="shared" si="78"/>
        <v>94789788</v>
      </c>
    </row>
    <row r="725" spans="1:46" x14ac:dyDescent="0.2">
      <c r="A725" s="1" t="str">
        <f>"00837"</f>
        <v>00837</v>
      </c>
      <c r="B725" s="1" t="str">
        <f>"فرشيد"</f>
        <v>فرشيد</v>
      </c>
      <c r="C725" s="1" t="str">
        <f>"عباسيان"</f>
        <v>عباسيان</v>
      </c>
      <c r="D725" s="1" t="str">
        <f>"قراردادي کارگري"</f>
        <v>قراردادي کارگري</v>
      </c>
      <c r="E725" s="1" t="str">
        <f>"پروژه تعميرات نيروگاه بوشهر"</f>
        <v>پروژه تعميرات نيروگاه بوشهر</v>
      </c>
      <c r="F725" s="1">
        <v>0</v>
      </c>
      <c r="G725" s="1">
        <v>4421356</v>
      </c>
      <c r="H725" s="1">
        <v>0</v>
      </c>
      <c r="I725" s="1">
        <v>5839309</v>
      </c>
      <c r="J725" s="1">
        <v>0</v>
      </c>
      <c r="K725" s="1">
        <v>0</v>
      </c>
      <c r="L725" s="1">
        <v>11572430</v>
      </c>
      <c r="M725" s="1">
        <v>2000000</v>
      </c>
      <c r="N725" s="1">
        <v>3649568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2640000</v>
      </c>
      <c r="U725" s="1">
        <v>0</v>
      </c>
      <c r="V725" s="1">
        <v>10800139</v>
      </c>
      <c r="W725" s="1">
        <v>4000000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1835427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54057365</v>
      </c>
      <c r="AP725" s="1">
        <v>8255340</v>
      </c>
      <c r="AQ725" s="1">
        <v>45802025</v>
      </c>
      <c r="AR725" s="1">
        <v>10444388</v>
      </c>
      <c r="AS725" s="1">
        <v>1566658</v>
      </c>
      <c r="AT725" s="3">
        <f t="shared" si="78"/>
        <v>66068411</v>
      </c>
    </row>
    <row r="726" spans="1:46" x14ac:dyDescent="0.2">
      <c r="A726" s="1" t="str">
        <f>"00838"</f>
        <v>00838</v>
      </c>
      <c r="B726" s="1" t="str">
        <f>"حسن"</f>
        <v>حسن</v>
      </c>
      <c r="C726" s="1" t="str">
        <f>"رستمي"</f>
        <v>رستمي</v>
      </c>
      <c r="D726" s="1" t="str">
        <f>"قراردادي کارگري"</f>
        <v>قراردادي کارگري</v>
      </c>
      <c r="E726" s="1" t="str">
        <f>"پروژه تعميرات نيروگاه بوشهر"</f>
        <v>پروژه تعميرات نيروگاه بوشهر</v>
      </c>
      <c r="F726" s="1">
        <v>0</v>
      </c>
      <c r="G726" s="1">
        <v>10933787</v>
      </c>
      <c r="H726" s="1">
        <v>0</v>
      </c>
      <c r="I726" s="1">
        <v>8434140</v>
      </c>
      <c r="J726" s="1">
        <v>0</v>
      </c>
      <c r="K726" s="1">
        <v>0</v>
      </c>
      <c r="L726" s="1">
        <v>11521166</v>
      </c>
      <c r="M726" s="1">
        <v>2000000</v>
      </c>
      <c r="N726" s="1">
        <v>6206137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2640000</v>
      </c>
      <c r="U726" s="1">
        <v>0</v>
      </c>
      <c r="V726" s="1">
        <v>13773602</v>
      </c>
      <c r="W726" s="1">
        <v>4000000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5506281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76729196</v>
      </c>
      <c r="AP726" s="1">
        <v>14767348</v>
      </c>
      <c r="AQ726" s="1">
        <v>61961848</v>
      </c>
      <c r="AR726" s="1">
        <v>14244583</v>
      </c>
      <c r="AS726" s="1">
        <v>2136687</v>
      </c>
      <c r="AT726" s="3">
        <f t="shared" si="78"/>
        <v>93110466</v>
      </c>
    </row>
    <row r="727" spans="1:46" x14ac:dyDescent="0.2">
      <c r="A727" s="1" t="str">
        <f>"00839"</f>
        <v>00839</v>
      </c>
      <c r="B727" s="1" t="str">
        <f>"اکبر"</f>
        <v>اکبر</v>
      </c>
      <c r="C727" s="1" t="str">
        <f>"يزدان پناه"</f>
        <v>يزدان پناه</v>
      </c>
      <c r="D727" s="1" t="str">
        <f>"قراردادي کارگري"</f>
        <v>قراردادي کارگري</v>
      </c>
      <c r="E727" s="1" t="str">
        <f>"پروژه تعميرات نيروگاه بوشهر"</f>
        <v>پروژه تعميرات نيروگاه بوشهر</v>
      </c>
      <c r="F727" s="1">
        <v>0</v>
      </c>
      <c r="G727" s="1">
        <v>7670278</v>
      </c>
      <c r="H727" s="1">
        <v>0</v>
      </c>
      <c r="I727" s="1">
        <v>7352476</v>
      </c>
      <c r="J727" s="1">
        <v>0</v>
      </c>
      <c r="K727" s="1">
        <v>0</v>
      </c>
      <c r="L727" s="1">
        <v>11521166</v>
      </c>
      <c r="M727" s="1">
        <v>2000000</v>
      </c>
      <c r="N727" s="1">
        <v>5446278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2640000</v>
      </c>
      <c r="U727" s="1">
        <v>0</v>
      </c>
      <c r="V727" s="1">
        <v>12728654</v>
      </c>
      <c r="W727" s="1">
        <v>4000000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3670854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67241478</v>
      </c>
      <c r="AP727" s="1">
        <v>10403098</v>
      </c>
      <c r="AQ727" s="1">
        <v>56838380</v>
      </c>
      <c r="AR727" s="1">
        <v>12714125</v>
      </c>
      <c r="AS727" s="1">
        <v>1907119</v>
      </c>
      <c r="AT727" s="3">
        <f t="shared" si="78"/>
        <v>81862722</v>
      </c>
    </row>
    <row r="728" spans="1:46" x14ac:dyDescent="0.2">
      <c r="A728" s="1" t="str">
        <f>"00840"</f>
        <v>00840</v>
      </c>
      <c r="B728" s="1" t="str">
        <f>"سعيد"</f>
        <v>سعيد</v>
      </c>
      <c r="C728" s="1" t="str">
        <f>"اکبري"</f>
        <v>اکبري</v>
      </c>
      <c r="D728" s="1" t="str">
        <f t="shared" ref="D728:D767" si="80">"قراردادي بهره بردار"</f>
        <v>قراردادي بهره بردار</v>
      </c>
      <c r="E728" s="1" t="str">
        <f>"پروژه بهره برداري نيروگاه بوشهر"</f>
        <v>پروژه بهره برداري نيروگاه بوشهر</v>
      </c>
      <c r="F728" s="1">
        <v>22144354</v>
      </c>
      <c r="G728" s="1">
        <v>4453642</v>
      </c>
      <c r="H728" s="1">
        <v>0</v>
      </c>
      <c r="I728" s="1">
        <v>19533191</v>
      </c>
      <c r="J728" s="1">
        <v>0</v>
      </c>
      <c r="K728" s="1">
        <v>4125000</v>
      </c>
      <c r="L728" s="1">
        <v>0</v>
      </c>
      <c r="M728" s="1">
        <v>1000000</v>
      </c>
      <c r="N728" s="1">
        <v>3888488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15648214</v>
      </c>
      <c r="W728" s="1">
        <v>4000000</v>
      </c>
      <c r="X728" s="1">
        <v>3214503</v>
      </c>
      <c r="Y728" s="1">
        <v>0</v>
      </c>
      <c r="Z728" s="1">
        <v>0</v>
      </c>
      <c r="AA728" s="1">
        <v>0</v>
      </c>
      <c r="AB728" s="1">
        <v>0</v>
      </c>
      <c r="AC728" s="1">
        <v>4459102</v>
      </c>
      <c r="AD728" s="1">
        <v>0</v>
      </c>
      <c r="AE728" s="1">
        <v>3055241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21434928</v>
      </c>
      <c r="AM728" s="1">
        <v>0</v>
      </c>
      <c r="AN728" s="1">
        <v>0</v>
      </c>
      <c r="AO728" s="1">
        <v>106956663</v>
      </c>
      <c r="AP728" s="1">
        <v>45250780</v>
      </c>
      <c r="AQ728" s="1">
        <v>61705883</v>
      </c>
      <c r="AR728" s="1">
        <v>21391333</v>
      </c>
      <c r="AS728" s="1">
        <v>3208700</v>
      </c>
      <c r="AT728" s="3">
        <f t="shared" si="78"/>
        <v>131556696</v>
      </c>
    </row>
    <row r="729" spans="1:46" x14ac:dyDescent="0.2">
      <c r="A729" s="1" t="str">
        <f>"00841"</f>
        <v>00841</v>
      </c>
      <c r="B729" s="1" t="str">
        <f>"يوسف"</f>
        <v>يوسف</v>
      </c>
      <c r="C729" s="1" t="str">
        <f>"آهنين جان"</f>
        <v>آهنين جان</v>
      </c>
      <c r="D729" s="1" t="str">
        <f t="shared" si="80"/>
        <v>قراردادي بهره بردار</v>
      </c>
      <c r="E729" s="1" t="str">
        <f t="shared" ref="E729:E748" si="81">"پروژه تعميرات نيروگاه بوشهر"</f>
        <v>پروژه تعميرات نيروگاه بوشهر</v>
      </c>
      <c r="F729" s="1">
        <v>15594261</v>
      </c>
      <c r="G729" s="1">
        <v>338334</v>
      </c>
      <c r="H729" s="1">
        <v>0</v>
      </c>
      <c r="I729" s="1">
        <v>12182894</v>
      </c>
      <c r="J729" s="1">
        <v>0</v>
      </c>
      <c r="K729" s="1">
        <v>4620000</v>
      </c>
      <c r="L729" s="1">
        <v>0</v>
      </c>
      <c r="M729" s="1">
        <v>1000000</v>
      </c>
      <c r="N729" s="1">
        <v>2834805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7991121</v>
      </c>
      <c r="W729" s="1">
        <v>4000000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2227347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7116299</v>
      </c>
      <c r="AM729" s="1">
        <v>0</v>
      </c>
      <c r="AN729" s="1">
        <v>0</v>
      </c>
      <c r="AO729" s="1">
        <v>57905061</v>
      </c>
      <c r="AP729" s="1">
        <v>23274158</v>
      </c>
      <c r="AQ729" s="1">
        <v>34630903</v>
      </c>
      <c r="AR729" s="1">
        <v>11581012</v>
      </c>
      <c r="AS729" s="1">
        <v>1737152</v>
      </c>
      <c r="AT729" s="3">
        <f t="shared" si="78"/>
        <v>71223225</v>
      </c>
    </row>
    <row r="730" spans="1:46" x14ac:dyDescent="0.2">
      <c r="A730" s="1" t="str">
        <f>"00842"</f>
        <v>00842</v>
      </c>
      <c r="B730" s="1" t="str">
        <f>"نعمت اله"</f>
        <v>نعمت اله</v>
      </c>
      <c r="C730" s="1" t="str">
        <f>"احمدي ديرين"</f>
        <v>احمدي ديرين</v>
      </c>
      <c r="D730" s="1" t="str">
        <f t="shared" si="80"/>
        <v>قراردادي بهره بردار</v>
      </c>
      <c r="E730" s="1" t="str">
        <f t="shared" si="81"/>
        <v>پروژه تعميرات نيروگاه بوشهر</v>
      </c>
      <c r="F730" s="1">
        <v>15732820</v>
      </c>
      <c r="G730" s="1">
        <v>10609267</v>
      </c>
      <c r="H730" s="1">
        <v>0</v>
      </c>
      <c r="I730" s="1">
        <v>12958210</v>
      </c>
      <c r="J730" s="1">
        <v>0</v>
      </c>
      <c r="K730" s="1">
        <v>3465000</v>
      </c>
      <c r="L730" s="1">
        <v>0</v>
      </c>
      <c r="M730" s="1">
        <v>1000000</v>
      </c>
      <c r="N730" s="1">
        <v>2883301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16560121</v>
      </c>
      <c r="W730" s="1">
        <v>4000000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2265451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9739485</v>
      </c>
      <c r="AM730" s="1">
        <v>0</v>
      </c>
      <c r="AN730" s="1">
        <v>0</v>
      </c>
      <c r="AO730" s="1">
        <v>79213655</v>
      </c>
      <c r="AP730" s="1">
        <v>28004318</v>
      </c>
      <c r="AQ730" s="1">
        <v>51209337</v>
      </c>
      <c r="AR730" s="1">
        <v>15842731</v>
      </c>
      <c r="AS730" s="1">
        <v>2376410</v>
      </c>
      <c r="AT730" s="3">
        <f t="shared" si="78"/>
        <v>97432796</v>
      </c>
    </row>
    <row r="731" spans="1:46" x14ac:dyDescent="0.2">
      <c r="A731" s="1" t="str">
        <f>"00843"</f>
        <v>00843</v>
      </c>
      <c r="B731" s="1" t="str">
        <f>"رضا"</f>
        <v>رضا</v>
      </c>
      <c r="C731" s="1" t="str">
        <f>"الياسي"</f>
        <v>الياسي</v>
      </c>
      <c r="D731" s="1" t="str">
        <f t="shared" si="80"/>
        <v>قراردادي بهره بردار</v>
      </c>
      <c r="E731" s="1" t="str">
        <f t="shared" si="81"/>
        <v>پروژه تعميرات نيروگاه بوشهر</v>
      </c>
      <c r="F731" s="1">
        <v>18632496</v>
      </c>
      <c r="G731" s="1">
        <v>41696102</v>
      </c>
      <c r="H731" s="1">
        <v>0</v>
      </c>
      <c r="I731" s="1">
        <v>15708395</v>
      </c>
      <c r="J731" s="1">
        <v>0</v>
      </c>
      <c r="K731" s="1">
        <v>0</v>
      </c>
      <c r="L731" s="1">
        <v>0</v>
      </c>
      <c r="M731" s="1">
        <v>1000000</v>
      </c>
      <c r="N731" s="1">
        <v>3620438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19142324</v>
      </c>
      <c r="W731" s="1">
        <v>4000000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2844630</v>
      </c>
      <c r="AF731" s="1">
        <v>1835427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9568578</v>
      </c>
      <c r="AM731" s="1">
        <v>0</v>
      </c>
      <c r="AN731" s="1">
        <v>0</v>
      </c>
      <c r="AO731" s="1">
        <v>118048390</v>
      </c>
      <c r="AP731" s="1">
        <v>43325383</v>
      </c>
      <c r="AQ731" s="1">
        <v>74723007</v>
      </c>
      <c r="AR731" s="1">
        <v>23242593</v>
      </c>
      <c r="AS731" s="1">
        <v>3486389</v>
      </c>
      <c r="AT731" s="3">
        <f t="shared" si="78"/>
        <v>144777372</v>
      </c>
    </row>
    <row r="732" spans="1:46" x14ac:dyDescent="0.2">
      <c r="A732" s="1" t="str">
        <f>"00844"</f>
        <v>00844</v>
      </c>
      <c r="B732" s="1" t="str">
        <f>"محمدرضا"</f>
        <v>محمدرضا</v>
      </c>
      <c r="C732" s="1" t="str">
        <f>"چاووشيان نائيني"</f>
        <v>چاووشيان نائيني</v>
      </c>
      <c r="D732" s="1" t="str">
        <f t="shared" si="80"/>
        <v>قراردادي بهره بردار</v>
      </c>
      <c r="E732" s="1" t="str">
        <f t="shared" si="81"/>
        <v>پروژه تعميرات نيروگاه بوشهر</v>
      </c>
      <c r="F732" s="1">
        <v>27961341</v>
      </c>
      <c r="G732" s="1">
        <v>42660573</v>
      </c>
      <c r="H732" s="1">
        <v>0</v>
      </c>
      <c r="I732" s="1">
        <v>22692882</v>
      </c>
      <c r="J732" s="1">
        <v>0</v>
      </c>
      <c r="K732" s="1">
        <v>5500000</v>
      </c>
      <c r="L732" s="1">
        <v>0</v>
      </c>
      <c r="M732" s="1">
        <v>1000000</v>
      </c>
      <c r="N732" s="1">
        <v>4414007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14681564</v>
      </c>
      <c r="W732" s="1">
        <v>4000000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3468149</v>
      </c>
      <c r="AF732" s="1">
        <v>1835427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5296506</v>
      </c>
      <c r="AM732" s="1">
        <v>0</v>
      </c>
      <c r="AN732" s="1">
        <v>0</v>
      </c>
      <c r="AO732" s="1">
        <v>133510449</v>
      </c>
      <c r="AP732" s="1">
        <v>45269710</v>
      </c>
      <c r="AQ732" s="1">
        <v>88240739</v>
      </c>
      <c r="AR732" s="1">
        <v>26335004</v>
      </c>
      <c r="AS732" s="1">
        <v>3950251</v>
      </c>
      <c r="AT732" s="3">
        <f t="shared" si="78"/>
        <v>163795704</v>
      </c>
    </row>
    <row r="733" spans="1:46" x14ac:dyDescent="0.2">
      <c r="A733" s="1" t="str">
        <f>"00846"</f>
        <v>00846</v>
      </c>
      <c r="B733" s="1" t="str">
        <f>"حميد"</f>
        <v>حميد</v>
      </c>
      <c r="C733" s="1" t="str">
        <f>"رضايي"</f>
        <v>رضايي</v>
      </c>
      <c r="D733" s="1" t="str">
        <f t="shared" si="80"/>
        <v>قراردادي بهره بردار</v>
      </c>
      <c r="E733" s="1" t="str">
        <f t="shared" si="81"/>
        <v>پروژه تعميرات نيروگاه بوشهر</v>
      </c>
      <c r="F733" s="1">
        <v>15392719</v>
      </c>
      <c r="G733" s="1">
        <v>3304083</v>
      </c>
      <c r="H733" s="1">
        <v>0</v>
      </c>
      <c r="I733" s="1">
        <v>12560929</v>
      </c>
      <c r="J733" s="1">
        <v>0</v>
      </c>
      <c r="K733" s="1">
        <v>3465000</v>
      </c>
      <c r="L733" s="1">
        <v>0</v>
      </c>
      <c r="M733" s="1">
        <v>1000000</v>
      </c>
      <c r="N733" s="1">
        <v>2764266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16116813</v>
      </c>
      <c r="W733" s="1">
        <v>4000000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2171923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9522828</v>
      </c>
      <c r="AM733" s="1">
        <v>0</v>
      </c>
      <c r="AN733" s="1">
        <v>0</v>
      </c>
      <c r="AO733" s="1">
        <v>70298561</v>
      </c>
      <c r="AP733" s="1">
        <v>15057670</v>
      </c>
      <c r="AQ733" s="1">
        <v>55240891</v>
      </c>
      <c r="AR733" s="1">
        <v>14059712</v>
      </c>
      <c r="AS733" s="1">
        <v>2108957</v>
      </c>
      <c r="AT733" s="3">
        <f t="shared" si="78"/>
        <v>86467230</v>
      </c>
    </row>
    <row r="734" spans="1:46" x14ac:dyDescent="0.2">
      <c r="A734" s="1" t="str">
        <f>"00847"</f>
        <v>00847</v>
      </c>
      <c r="B734" s="1" t="str">
        <f>"امين"</f>
        <v>امين</v>
      </c>
      <c r="C734" s="1" t="str">
        <f>"رودحله پور"</f>
        <v>رودحله پور</v>
      </c>
      <c r="D734" s="1" t="str">
        <f t="shared" si="80"/>
        <v>قراردادي بهره بردار</v>
      </c>
      <c r="E734" s="1" t="str">
        <f t="shared" si="81"/>
        <v>پروژه تعميرات نيروگاه بوشهر</v>
      </c>
      <c r="F734" s="1">
        <v>21829446</v>
      </c>
      <c r="G734" s="1">
        <v>0</v>
      </c>
      <c r="H734" s="1">
        <v>0</v>
      </c>
      <c r="I734" s="1">
        <v>17105078</v>
      </c>
      <c r="J734" s="1">
        <v>0</v>
      </c>
      <c r="K734" s="1">
        <v>5500000</v>
      </c>
      <c r="L734" s="1">
        <v>0</v>
      </c>
      <c r="M734" s="1">
        <v>1000000</v>
      </c>
      <c r="N734" s="1">
        <v>3778271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12284648</v>
      </c>
      <c r="W734" s="1">
        <v>4000000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2968641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5504598</v>
      </c>
      <c r="AM734" s="1">
        <v>0</v>
      </c>
      <c r="AN734" s="1">
        <v>0</v>
      </c>
      <c r="AO734" s="1">
        <v>73970682</v>
      </c>
      <c r="AP734" s="1">
        <v>19657515</v>
      </c>
      <c r="AQ734" s="1">
        <v>54313167</v>
      </c>
      <c r="AR734" s="1">
        <v>14794136</v>
      </c>
      <c r="AS734" s="1">
        <v>2219120</v>
      </c>
      <c r="AT734" s="3">
        <f t="shared" si="78"/>
        <v>90983938</v>
      </c>
    </row>
    <row r="735" spans="1:46" x14ac:dyDescent="0.2">
      <c r="A735" s="1" t="str">
        <f>"00848"</f>
        <v>00848</v>
      </c>
      <c r="B735" s="1" t="str">
        <f>"سلمان"</f>
        <v>سلمان</v>
      </c>
      <c r="C735" s="1" t="str">
        <f>"شجاعي خو"</f>
        <v>شجاعي خو</v>
      </c>
      <c r="D735" s="1" t="str">
        <f t="shared" si="80"/>
        <v>قراردادي بهره بردار</v>
      </c>
      <c r="E735" s="1" t="str">
        <f t="shared" si="81"/>
        <v>پروژه تعميرات نيروگاه بوشهر</v>
      </c>
      <c r="F735" s="1">
        <v>14644497</v>
      </c>
      <c r="G735" s="1">
        <v>1656257</v>
      </c>
      <c r="H735" s="1">
        <v>0</v>
      </c>
      <c r="I735" s="1">
        <v>11371306</v>
      </c>
      <c r="J735" s="1">
        <v>0</v>
      </c>
      <c r="K735" s="1">
        <v>4620000</v>
      </c>
      <c r="L735" s="1">
        <v>0</v>
      </c>
      <c r="M735" s="1">
        <v>1000000</v>
      </c>
      <c r="N735" s="1">
        <v>2502387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8147143</v>
      </c>
      <c r="W735" s="1">
        <v>4000000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1966162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8311565</v>
      </c>
      <c r="AM735" s="1">
        <v>0</v>
      </c>
      <c r="AN735" s="1">
        <v>0</v>
      </c>
      <c r="AO735" s="1">
        <v>58219317</v>
      </c>
      <c r="AP735" s="1">
        <v>10605370</v>
      </c>
      <c r="AQ735" s="1">
        <v>47613947</v>
      </c>
      <c r="AR735" s="1">
        <v>11643863</v>
      </c>
      <c r="AS735" s="1">
        <v>1746580</v>
      </c>
      <c r="AT735" s="3">
        <f t="shared" si="78"/>
        <v>71609760</v>
      </c>
    </row>
    <row r="736" spans="1:46" x14ac:dyDescent="0.2">
      <c r="A736" s="1" t="str">
        <f>"00849"</f>
        <v>00849</v>
      </c>
      <c r="B736" s="1" t="str">
        <f>"مرتضي"</f>
        <v>مرتضي</v>
      </c>
      <c r="C736" s="1" t="str">
        <f>"شريفيان"</f>
        <v>شريفيان</v>
      </c>
      <c r="D736" s="1" t="str">
        <f t="shared" si="80"/>
        <v>قراردادي بهره بردار</v>
      </c>
      <c r="E736" s="1" t="str">
        <f t="shared" si="81"/>
        <v>پروژه تعميرات نيروگاه بوشهر</v>
      </c>
      <c r="F736" s="1">
        <v>16964742</v>
      </c>
      <c r="G736" s="1">
        <v>8568324</v>
      </c>
      <c r="H736" s="1">
        <v>0</v>
      </c>
      <c r="I736" s="1">
        <v>14586064</v>
      </c>
      <c r="J736" s="1">
        <v>0</v>
      </c>
      <c r="K736" s="1">
        <v>4620000</v>
      </c>
      <c r="L736" s="1">
        <v>0</v>
      </c>
      <c r="M736" s="1">
        <v>1000000</v>
      </c>
      <c r="N736" s="1">
        <v>3314474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10426848</v>
      </c>
      <c r="W736" s="1">
        <v>4000000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2604229</v>
      </c>
      <c r="AF736" s="1">
        <v>0</v>
      </c>
      <c r="AG736" s="1">
        <v>0</v>
      </c>
      <c r="AH736" s="1">
        <v>0</v>
      </c>
      <c r="AI736" s="1">
        <v>5000000</v>
      </c>
      <c r="AJ736" s="1">
        <v>0</v>
      </c>
      <c r="AK736" s="1">
        <v>0</v>
      </c>
      <c r="AL736" s="1">
        <v>9925256</v>
      </c>
      <c r="AM736" s="1">
        <v>0</v>
      </c>
      <c r="AN736" s="1">
        <v>0</v>
      </c>
      <c r="AO736" s="1">
        <v>81009937</v>
      </c>
      <c r="AP736" s="1">
        <v>11476820</v>
      </c>
      <c r="AQ736" s="1">
        <v>69533117</v>
      </c>
      <c r="AR736" s="1">
        <v>15201987</v>
      </c>
      <c r="AS736" s="1">
        <v>2280298</v>
      </c>
      <c r="AT736" s="3">
        <f t="shared" si="78"/>
        <v>98492222</v>
      </c>
    </row>
    <row r="737" spans="1:46" x14ac:dyDescent="0.2">
      <c r="A737" s="1" t="str">
        <f>"00850"</f>
        <v>00850</v>
      </c>
      <c r="B737" s="1" t="str">
        <f>"رضا"</f>
        <v>رضا</v>
      </c>
      <c r="C737" s="1" t="str">
        <f>"شکرانه"</f>
        <v>شکرانه</v>
      </c>
      <c r="D737" s="1" t="str">
        <f t="shared" si="80"/>
        <v>قراردادي بهره بردار</v>
      </c>
      <c r="E737" s="1" t="str">
        <f t="shared" si="81"/>
        <v>پروژه تعميرات نيروگاه بوشهر</v>
      </c>
      <c r="F737" s="1">
        <v>15916727</v>
      </c>
      <c r="G737" s="1">
        <v>10616013</v>
      </c>
      <c r="H737" s="1">
        <v>0</v>
      </c>
      <c r="I737" s="1">
        <v>16540194</v>
      </c>
      <c r="J737" s="1">
        <v>0</v>
      </c>
      <c r="K737" s="1">
        <v>4620000</v>
      </c>
      <c r="L737" s="1">
        <v>0</v>
      </c>
      <c r="M737" s="1">
        <v>1000000</v>
      </c>
      <c r="N737" s="1">
        <v>2947668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15905157</v>
      </c>
      <c r="W737" s="1">
        <v>4000000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2316024</v>
      </c>
      <c r="AF737" s="1">
        <v>1835427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9059258</v>
      </c>
      <c r="AM737" s="1">
        <v>0</v>
      </c>
      <c r="AN737" s="1">
        <v>0</v>
      </c>
      <c r="AO737" s="1">
        <v>84756468</v>
      </c>
      <c r="AP737" s="1">
        <v>17203691</v>
      </c>
      <c r="AQ737" s="1">
        <v>67552777</v>
      </c>
      <c r="AR737" s="1">
        <v>16584208</v>
      </c>
      <c r="AS737" s="1">
        <v>2487631</v>
      </c>
      <c r="AT737" s="3">
        <f t="shared" si="78"/>
        <v>103828307</v>
      </c>
    </row>
    <row r="738" spans="1:46" x14ac:dyDescent="0.2">
      <c r="A738" s="1" t="str">
        <f>"00851"</f>
        <v>00851</v>
      </c>
      <c r="B738" s="1" t="str">
        <f>"حسن"</f>
        <v>حسن</v>
      </c>
      <c r="C738" s="1" t="str">
        <f>"شيخياني"</f>
        <v>شيخياني</v>
      </c>
      <c r="D738" s="1" t="str">
        <f t="shared" si="80"/>
        <v>قراردادي بهره بردار</v>
      </c>
      <c r="E738" s="1" t="str">
        <f t="shared" si="81"/>
        <v>پروژه تعميرات نيروگاه بوشهر</v>
      </c>
      <c r="F738" s="1">
        <v>21857158</v>
      </c>
      <c r="G738" s="1">
        <v>4160367</v>
      </c>
      <c r="H738" s="1">
        <v>0</v>
      </c>
      <c r="I738" s="1">
        <v>16528772</v>
      </c>
      <c r="J738" s="1">
        <v>0</v>
      </c>
      <c r="K738" s="1">
        <v>5500000</v>
      </c>
      <c r="L738" s="1">
        <v>0</v>
      </c>
      <c r="M738" s="1">
        <v>1000000</v>
      </c>
      <c r="N738" s="1">
        <v>3787970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8566597</v>
      </c>
      <c r="W738" s="1">
        <v>4000000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2976261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5241586</v>
      </c>
      <c r="AM738" s="1">
        <v>0</v>
      </c>
      <c r="AN738" s="1">
        <v>0</v>
      </c>
      <c r="AO738" s="1">
        <v>73618711</v>
      </c>
      <c r="AP738" s="1">
        <v>29771056</v>
      </c>
      <c r="AQ738" s="1">
        <v>43847655</v>
      </c>
      <c r="AR738" s="1">
        <v>14723742</v>
      </c>
      <c r="AS738" s="1">
        <v>2208561</v>
      </c>
      <c r="AT738" s="3">
        <f t="shared" si="78"/>
        <v>90551014</v>
      </c>
    </row>
    <row r="739" spans="1:46" x14ac:dyDescent="0.2">
      <c r="A739" s="1" t="str">
        <f>"00852"</f>
        <v>00852</v>
      </c>
      <c r="B739" s="1" t="str">
        <f>"علي"</f>
        <v>علي</v>
      </c>
      <c r="C739" s="1" t="str">
        <f>"صالحي"</f>
        <v>صالحي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16009940</v>
      </c>
      <c r="G739" s="1">
        <v>33063969</v>
      </c>
      <c r="H739" s="1">
        <v>0</v>
      </c>
      <c r="I739" s="1">
        <v>13241427</v>
      </c>
      <c r="J739" s="1">
        <v>0</v>
      </c>
      <c r="K739" s="1">
        <v>4620000</v>
      </c>
      <c r="L739" s="1">
        <v>0</v>
      </c>
      <c r="M739" s="1">
        <v>1000000</v>
      </c>
      <c r="N739" s="1">
        <v>2980292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16332251</v>
      </c>
      <c r="W739" s="1">
        <v>4000000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2341658</v>
      </c>
      <c r="AF739" s="1">
        <v>1835427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8406289</v>
      </c>
      <c r="AM739" s="1">
        <v>0</v>
      </c>
      <c r="AN739" s="1">
        <v>0</v>
      </c>
      <c r="AO739" s="1">
        <v>103831253</v>
      </c>
      <c r="AP739" s="1">
        <v>37518415</v>
      </c>
      <c r="AQ739" s="1">
        <v>66312838</v>
      </c>
      <c r="AR739" s="1">
        <v>20399165</v>
      </c>
      <c r="AS739" s="1">
        <v>3059875</v>
      </c>
      <c r="AT739" s="3">
        <f t="shared" si="78"/>
        <v>127290293</v>
      </c>
    </row>
    <row r="740" spans="1:46" x14ac:dyDescent="0.2">
      <c r="A740" s="1" t="str">
        <f>"00853"</f>
        <v>00853</v>
      </c>
      <c r="B740" s="1" t="str">
        <f>"مهدي"</f>
        <v>مهدي</v>
      </c>
      <c r="C740" s="1" t="str">
        <f>"صفري"</f>
        <v>صفري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16821144</v>
      </c>
      <c r="G740" s="1">
        <v>87775449</v>
      </c>
      <c r="H740" s="1">
        <v>0</v>
      </c>
      <c r="I740" s="1">
        <v>12921922</v>
      </c>
      <c r="J740" s="1">
        <v>0</v>
      </c>
      <c r="K740" s="1">
        <v>4620000</v>
      </c>
      <c r="L740" s="1">
        <v>0</v>
      </c>
      <c r="M740" s="1">
        <v>1000000</v>
      </c>
      <c r="N740" s="1">
        <v>2986465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15386382</v>
      </c>
      <c r="W740" s="1">
        <v>4000000</v>
      </c>
      <c r="X740" s="1">
        <v>2441779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2346508</v>
      </c>
      <c r="AF740" s="1">
        <v>1835427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7663912</v>
      </c>
      <c r="AM740" s="1">
        <v>0</v>
      </c>
      <c r="AN740" s="1">
        <v>0</v>
      </c>
      <c r="AO740" s="1">
        <v>159798988</v>
      </c>
      <c r="AP740" s="1">
        <v>65884383</v>
      </c>
      <c r="AQ740" s="1">
        <v>93914605</v>
      </c>
      <c r="AR740" s="1">
        <v>26166610</v>
      </c>
      <c r="AS740" s="1">
        <v>3924991</v>
      </c>
      <c r="AT740" s="3">
        <f t="shared" si="78"/>
        <v>189890589</v>
      </c>
    </row>
    <row r="741" spans="1:46" x14ac:dyDescent="0.2">
      <c r="A741" s="1" t="str">
        <f>"00854"</f>
        <v>00854</v>
      </c>
      <c r="B741" s="1" t="str">
        <f>"علي"</f>
        <v>علي</v>
      </c>
      <c r="C741" s="1" t="str">
        <f>"عطاپوريان"</f>
        <v>عطاپوريان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18438513</v>
      </c>
      <c r="G741" s="1">
        <v>8674463</v>
      </c>
      <c r="H741" s="1">
        <v>0</v>
      </c>
      <c r="I741" s="1">
        <v>16767584</v>
      </c>
      <c r="J741" s="1">
        <v>0</v>
      </c>
      <c r="K741" s="1">
        <v>4620000</v>
      </c>
      <c r="L741" s="1">
        <v>0</v>
      </c>
      <c r="M741" s="1">
        <v>1000000</v>
      </c>
      <c r="N741" s="1">
        <v>3552544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15861030</v>
      </c>
      <c r="W741" s="1">
        <v>4000000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2791284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10883232</v>
      </c>
      <c r="AM741" s="1">
        <v>0</v>
      </c>
      <c r="AN741" s="1">
        <v>0</v>
      </c>
      <c r="AO741" s="1">
        <v>86588650</v>
      </c>
      <c r="AP741" s="1">
        <v>18072005</v>
      </c>
      <c r="AQ741" s="1">
        <v>68516645</v>
      </c>
      <c r="AR741" s="1">
        <v>17317730</v>
      </c>
      <c r="AS741" s="1">
        <v>2597660</v>
      </c>
      <c r="AT741" s="3">
        <f t="shared" si="78"/>
        <v>106504040</v>
      </c>
    </row>
    <row r="742" spans="1:46" x14ac:dyDescent="0.2">
      <c r="A742" s="1" t="str">
        <f>"00855"</f>
        <v>00855</v>
      </c>
      <c r="B742" s="1" t="str">
        <f>"ايوب"</f>
        <v>ايوب</v>
      </c>
      <c r="C742" s="1" t="str">
        <f>"عليزاده"</f>
        <v>عليزاده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18342781</v>
      </c>
      <c r="G742" s="1">
        <v>8129576</v>
      </c>
      <c r="H742" s="1">
        <v>0</v>
      </c>
      <c r="I742" s="1">
        <v>14337697</v>
      </c>
      <c r="J742" s="1">
        <v>0</v>
      </c>
      <c r="K742" s="1">
        <v>3465000</v>
      </c>
      <c r="L742" s="1">
        <v>0</v>
      </c>
      <c r="M742" s="1">
        <v>1000000</v>
      </c>
      <c r="N742" s="1">
        <v>3519037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10484137</v>
      </c>
      <c r="W742" s="1">
        <v>4000000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2764958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8155244</v>
      </c>
      <c r="AM742" s="1">
        <v>0</v>
      </c>
      <c r="AN742" s="1">
        <v>0</v>
      </c>
      <c r="AO742" s="1">
        <v>74198430</v>
      </c>
      <c r="AP742" s="1">
        <v>25759201</v>
      </c>
      <c r="AQ742" s="1">
        <v>48439229</v>
      </c>
      <c r="AR742" s="1">
        <v>14839686</v>
      </c>
      <c r="AS742" s="1">
        <v>2225953</v>
      </c>
      <c r="AT742" s="3">
        <f t="shared" si="78"/>
        <v>91264069</v>
      </c>
    </row>
    <row r="743" spans="1:46" x14ac:dyDescent="0.2">
      <c r="A743" s="1" t="str">
        <f>"00856"</f>
        <v>00856</v>
      </c>
      <c r="B743" s="1" t="str">
        <f>"محمد"</f>
        <v>محمد</v>
      </c>
      <c r="C743" s="1" t="str">
        <f>"غلامي مندلي"</f>
        <v>غلامي مندلي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15455701</v>
      </c>
      <c r="G743" s="1">
        <v>2213501</v>
      </c>
      <c r="H743" s="1">
        <v>0</v>
      </c>
      <c r="I743" s="1">
        <v>12634501</v>
      </c>
      <c r="J743" s="1">
        <v>0</v>
      </c>
      <c r="K743" s="1">
        <v>4620000</v>
      </c>
      <c r="L743" s="1">
        <v>0</v>
      </c>
      <c r="M743" s="1">
        <v>1000000</v>
      </c>
      <c r="N743" s="1">
        <v>2786309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9427683</v>
      </c>
      <c r="W743" s="1">
        <v>4000000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2189243</v>
      </c>
      <c r="AF743" s="1">
        <v>1835427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9787351</v>
      </c>
      <c r="AM743" s="1">
        <v>0</v>
      </c>
      <c r="AN743" s="1">
        <v>0</v>
      </c>
      <c r="AO743" s="1">
        <v>65949716</v>
      </c>
      <c r="AP743" s="1">
        <v>35123967</v>
      </c>
      <c r="AQ743" s="1">
        <v>30825749</v>
      </c>
      <c r="AR743" s="1">
        <v>12822858</v>
      </c>
      <c r="AS743" s="1">
        <v>1923429</v>
      </c>
      <c r="AT743" s="3">
        <f t="shared" si="78"/>
        <v>80696003</v>
      </c>
    </row>
    <row r="744" spans="1:46" x14ac:dyDescent="0.2">
      <c r="A744" s="1" t="str">
        <f>"00858"</f>
        <v>00858</v>
      </c>
      <c r="B744" s="1" t="str">
        <f>"عرفان"</f>
        <v>عرفان</v>
      </c>
      <c r="C744" s="1" t="str">
        <f>"محمدي"</f>
        <v>محمدي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22056180</v>
      </c>
      <c r="G744" s="1">
        <v>36671313</v>
      </c>
      <c r="H744" s="1">
        <v>0</v>
      </c>
      <c r="I744" s="1">
        <v>18359360</v>
      </c>
      <c r="J744" s="1">
        <v>0</v>
      </c>
      <c r="K744" s="1">
        <v>4125000</v>
      </c>
      <c r="L744" s="1">
        <v>0</v>
      </c>
      <c r="M744" s="1">
        <v>1000000</v>
      </c>
      <c r="N744" s="1">
        <v>3857628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20739368</v>
      </c>
      <c r="W744" s="1">
        <v>4000000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3030993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7273123</v>
      </c>
      <c r="AM744" s="1">
        <v>0</v>
      </c>
      <c r="AN744" s="1">
        <v>0</v>
      </c>
      <c r="AO744" s="1">
        <v>121112965</v>
      </c>
      <c r="AP744" s="1">
        <v>57091777</v>
      </c>
      <c r="AQ744" s="1">
        <v>64021188</v>
      </c>
      <c r="AR744" s="1">
        <v>24222593</v>
      </c>
      <c r="AS744" s="1">
        <v>3633389</v>
      </c>
      <c r="AT744" s="3">
        <f t="shared" si="78"/>
        <v>148968947</v>
      </c>
    </row>
    <row r="745" spans="1:46" x14ac:dyDescent="0.2">
      <c r="A745" s="1" t="str">
        <f>"00860"</f>
        <v>00860</v>
      </c>
      <c r="B745" s="1" t="str">
        <f>"سيد عبدالحميد"</f>
        <v>سيد عبدالحميد</v>
      </c>
      <c r="C745" s="1" t="str">
        <f>"موسوي"</f>
        <v>موسوي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25023876</v>
      </c>
      <c r="G745" s="1">
        <v>10130359</v>
      </c>
      <c r="H745" s="1">
        <v>0</v>
      </c>
      <c r="I745" s="1">
        <v>21708387</v>
      </c>
      <c r="J745" s="1">
        <v>0</v>
      </c>
      <c r="K745" s="1">
        <v>5500000</v>
      </c>
      <c r="L745" s="1">
        <v>0</v>
      </c>
      <c r="M745" s="1">
        <v>1000000</v>
      </c>
      <c r="N745" s="1">
        <v>4459857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10949619</v>
      </c>
      <c r="W745" s="1">
        <v>4000000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3504174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6134919</v>
      </c>
      <c r="AM745" s="1">
        <v>0</v>
      </c>
      <c r="AN745" s="1">
        <v>0</v>
      </c>
      <c r="AO745" s="1">
        <v>92411191</v>
      </c>
      <c r="AP745" s="1">
        <v>20769999</v>
      </c>
      <c r="AQ745" s="1">
        <v>71641192</v>
      </c>
      <c r="AR745" s="1">
        <v>18482238</v>
      </c>
      <c r="AS745" s="1">
        <v>2772336</v>
      </c>
      <c r="AT745" s="3">
        <f t="shared" si="78"/>
        <v>113665765</v>
      </c>
    </row>
    <row r="746" spans="1:46" x14ac:dyDescent="0.2">
      <c r="A746" s="1" t="str">
        <f>"00861"</f>
        <v>00861</v>
      </c>
      <c r="B746" s="1" t="str">
        <f>"زين العابدين"</f>
        <v>زين العابدين</v>
      </c>
      <c r="C746" s="1" t="str">
        <f>"ميرکي"</f>
        <v>ميرکي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16377753</v>
      </c>
      <c r="G746" s="1">
        <v>11927912</v>
      </c>
      <c r="H746" s="1">
        <v>0</v>
      </c>
      <c r="I746" s="1">
        <v>14173760</v>
      </c>
      <c r="J746" s="1">
        <v>0</v>
      </c>
      <c r="K746" s="1">
        <v>4620000</v>
      </c>
      <c r="L746" s="1">
        <v>0</v>
      </c>
      <c r="M746" s="1">
        <v>1000000</v>
      </c>
      <c r="N746" s="1">
        <v>3109027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14020635</v>
      </c>
      <c r="W746" s="1">
        <v>4000000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2442807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10245858</v>
      </c>
      <c r="AM746" s="1">
        <v>0</v>
      </c>
      <c r="AN746" s="1">
        <v>0</v>
      </c>
      <c r="AO746" s="1">
        <v>81917752</v>
      </c>
      <c r="AP746" s="1">
        <v>27410645</v>
      </c>
      <c r="AQ746" s="1">
        <v>54507107</v>
      </c>
      <c r="AR746" s="1">
        <v>16383550</v>
      </c>
      <c r="AS746" s="1">
        <v>2457533</v>
      </c>
      <c r="AT746" s="3">
        <f t="shared" si="78"/>
        <v>100758835</v>
      </c>
    </row>
    <row r="747" spans="1:46" x14ac:dyDescent="0.2">
      <c r="A747" s="1" t="str">
        <f>"00862"</f>
        <v>00862</v>
      </c>
      <c r="B747" s="1" t="str">
        <f>"محمدجواد"</f>
        <v>محمدجواد</v>
      </c>
      <c r="C747" s="1" t="str">
        <f>"يزدان پناه"</f>
        <v>يزدان پناه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21217264</v>
      </c>
      <c r="G747" s="1">
        <v>13145845</v>
      </c>
      <c r="H747" s="1">
        <v>0</v>
      </c>
      <c r="I747" s="1">
        <v>15456996</v>
      </c>
      <c r="J747" s="1">
        <v>0</v>
      </c>
      <c r="K747" s="1">
        <v>5500000</v>
      </c>
      <c r="L747" s="1">
        <v>0</v>
      </c>
      <c r="M747" s="1">
        <v>1000000</v>
      </c>
      <c r="N747" s="1">
        <v>3564007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9601603</v>
      </c>
      <c r="W747" s="1">
        <v>4000000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2800291</v>
      </c>
      <c r="AF747" s="1">
        <v>1835427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5577152</v>
      </c>
      <c r="AM747" s="1">
        <v>0</v>
      </c>
      <c r="AN747" s="1">
        <v>0</v>
      </c>
      <c r="AO747" s="1">
        <v>83698585</v>
      </c>
      <c r="AP747" s="1">
        <v>34479186</v>
      </c>
      <c r="AQ747" s="1">
        <v>49219399</v>
      </c>
      <c r="AR747" s="1">
        <v>16372632</v>
      </c>
      <c r="AS747" s="1">
        <v>2455895</v>
      </c>
      <c r="AT747" s="3">
        <f t="shared" si="78"/>
        <v>102527112</v>
      </c>
    </row>
    <row r="748" spans="1:46" x14ac:dyDescent="0.2">
      <c r="A748" s="1" t="str">
        <f>"00863"</f>
        <v>00863</v>
      </c>
      <c r="B748" s="1" t="str">
        <f>"هادي"</f>
        <v>هادي</v>
      </c>
      <c r="C748" s="1" t="str">
        <f>"آب رخت"</f>
        <v>آب رخت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18005199</v>
      </c>
      <c r="G748" s="1">
        <v>16235883</v>
      </c>
      <c r="H748" s="1">
        <v>0</v>
      </c>
      <c r="I748" s="1">
        <v>16224988</v>
      </c>
      <c r="J748" s="1">
        <v>0</v>
      </c>
      <c r="K748" s="1">
        <v>3465000</v>
      </c>
      <c r="L748" s="1">
        <v>0</v>
      </c>
      <c r="M748" s="1">
        <v>1000000</v>
      </c>
      <c r="N748" s="1">
        <v>3400884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19199067</v>
      </c>
      <c r="W748" s="1">
        <v>4000000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2672124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10220665</v>
      </c>
      <c r="AM748" s="1">
        <v>0</v>
      </c>
      <c r="AN748" s="1">
        <v>0</v>
      </c>
      <c r="AO748" s="1">
        <v>94423810</v>
      </c>
      <c r="AP748" s="1">
        <v>36373696</v>
      </c>
      <c r="AQ748" s="1">
        <v>58050114</v>
      </c>
      <c r="AR748" s="1">
        <v>18884762</v>
      </c>
      <c r="AS748" s="1">
        <v>2832714</v>
      </c>
      <c r="AT748" s="3">
        <f t="shared" si="78"/>
        <v>116141286</v>
      </c>
    </row>
    <row r="749" spans="1:46" x14ac:dyDescent="0.2">
      <c r="A749" s="1" t="str">
        <f>"00864"</f>
        <v>00864</v>
      </c>
      <c r="B749" s="1" t="str">
        <f>"مهرداد"</f>
        <v>مهرداد</v>
      </c>
      <c r="C749" s="1" t="str">
        <f>"رحيمي"</f>
        <v>رحيمي</v>
      </c>
      <c r="D749" s="1" t="str">
        <f t="shared" si="80"/>
        <v>قراردادي بهره بردار</v>
      </c>
      <c r="E749" s="1" t="str">
        <f>"پروژه بهره برداري نيروگاه بوشهر"</f>
        <v>پروژه بهره برداري نيروگاه بوشهر</v>
      </c>
      <c r="F749" s="1">
        <v>16957184</v>
      </c>
      <c r="G749" s="1">
        <v>0</v>
      </c>
      <c r="H749" s="1">
        <v>0</v>
      </c>
      <c r="I749" s="1">
        <v>8743203</v>
      </c>
      <c r="J749" s="1">
        <v>0</v>
      </c>
      <c r="K749" s="1">
        <v>0</v>
      </c>
      <c r="L749" s="1">
        <v>0</v>
      </c>
      <c r="M749" s="1">
        <v>1000000</v>
      </c>
      <c r="N749" s="1">
        <v>2271371</v>
      </c>
      <c r="O749" s="1">
        <v>0</v>
      </c>
      <c r="P749" s="1">
        <v>0</v>
      </c>
      <c r="Q749" s="1">
        <v>0</v>
      </c>
      <c r="R749" s="1">
        <v>115949</v>
      </c>
      <c r="S749" s="1">
        <v>0</v>
      </c>
      <c r="T749" s="1">
        <v>0</v>
      </c>
      <c r="U749" s="1">
        <v>0</v>
      </c>
      <c r="V749" s="1">
        <v>3360534</v>
      </c>
      <c r="W749" s="1">
        <v>4000000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1784648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3848935</v>
      </c>
      <c r="AM749" s="1">
        <v>0</v>
      </c>
      <c r="AN749" s="1">
        <v>0</v>
      </c>
      <c r="AO749" s="1">
        <v>42081824</v>
      </c>
      <c r="AP749" s="1">
        <v>6205237</v>
      </c>
      <c r="AQ749" s="1">
        <v>35876587</v>
      </c>
      <c r="AR749" s="1">
        <v>8393175</v>
      </c>
      <c r="AS749" s="1">
        <v>1258976</v>
      </c>
      <c r="AT749" s="3">
        <f t="shared" si="78"/>
        <v>51733975</v>
      </c>
    </row>
    <row r="750" spans="1:46" x14ac:dyDescent="0.2">
      <c r="A750" s="1" t="str">
        <f>"00865"</f>
        <v>00865</v>
      </c>
      <c r="B750" s="1" t="str">
        <f>"محمد"</f>
        <v>محمد</v>
      </c>
      <c r="C750" s="1" t="str">
        <f>"احمدي"</f>
        <v>احمدي</v>
      </c>
      <c r="D750" s="1" t="str">
        <f t="shared" si="80"/>
        <v>قراردادي بهره بردار</v>
      </c>
      <c r="E750" s="1" t="str">
        <f>"پروژه تعميرات نيروگاه بوشهر"</f>
        <v>پروژه تعميرات نيروگاه بوشهر</v>
      </c>
      <c r="F750" s="1">
        <v>21781580</v>
      </c>
      <c r="G750" s="1">
        <v>0</v>
      </c>
      <c r="H750" s="1">
        <v>0</v>
      </c>
      <c r="I750" s="1">
        <v>16916925</v>
      </c>
      <c r="J750" s="1">
        <v>0</v>
      </c>
      <c r="K750" s="1">
        <v>5500000</v>
      </c>
      <c r="L750" s="1">
        <v>0</v>
      </c>
      <c r="M750" s="1">
        <v>1000000</v>
      </c>
      <c r="N750" s="1">
        <v>3761517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12347757</v>
      </c>
      <c r="W750" s="1">
        <v>4000000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2955478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5503086</v>
      </c>
      <c r="AM750" s="1">
        <v>0</v>
      </c>
      <c r="AN750" s="1">
        <v>0</v>
      </c>
      <c r="AO750" s="1">
        <v>73766343</v>
      </c>
      <c r="AP750" s="1">
        <v>26399920</v>
      </c>
      <c r="AQ750" s="1">
        <v>47366423</v>
      </c>
      <c r="AR750" s="1">
        <v>14753269</v>
      </c>
      <c r="AS750" s="1">
        <v>2212990</v>
      </c>
      <c r="AT750" s="3">
        <f t="shared" si="78"/>
        <v>90732602</v>
      </c>
    </row>
    <row r="751" spans="1:46" x14ac:dyDescent="0.2">
      <c r="A751" s="1" t="str">
        <f>"00866"</f>
        <v>00866</v>
      </c>
      <c r="B751" s="1" t="str">
        <f>"اميدرضا"</f>
        <v>اميدرضا</v>
      </c>
      <c r="C751" s="1" t="str">
        <f>"ايزدي"</f>
        <v>ايزدي</v>
      </c>
      <c r="D751" s="1" t="str">
        <f t="shared" si="80"/>
        <v>قراردادي بهره بردار</v>
      </c>
      <c r="E751" s="1" t="str">
        <f>"پروژه تعميرات نيروگاه بوشهر"</f>
        <v>پروژه تعميرات نيروگاه بوشهر</v>
      </c>
      <c r="F751" s="1">
        <v>22151912</v>
      </c>
      <c r="G751" s="1">
        <v>15871159</v>
      </c>
      <c r="H751" s="1">
        <v>0</v>
      </c>
      <c r="I751" s="1">
        <v>17360766</v>
      </c>
      <c r="J751" s="1">
        <v>0</v>
      </c>
      <c r="K751" s="1">
        <v>5500000</v>
      </c>
      <c r="L751" s="1">
        <v>0</v>
      </c>
      <c r="M751" s="1">
        <v>1000000</v>
      </c>
      <c r="N751" s="1">
        <v>3891133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10304130</v>
      </c>
      <c r="W751" s="1">
        <v>4000000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3057319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5711682</v>
      </c>
      <c r="AM751" s="1">
        <v>0</v>
      </c>
      <c r="AN751" s="1">
        <v>0</v>
      </c>
      <c r="AO751" s="1">
        <v>88848101</v>
      </c>
      <c r="AP751" s="1">
        <v>19857494</v>
      </c>
      <c r="AQ751" s="1">
        <v>68990607</v>
      </c>
      <c r="AR751" s="1">
        <v>17769620</v>
      </c>
      <c r="AS751" s="1">
        <v>2665443</v>
      </c>
      <c r="AT751" s="3">
        <f t="shared" si="78"/>
        <v>109283164</v>
      </c>
    </row>
    <row r="752" spans="1:46" x14ac:dyDescent="0.2">
      <c r="A752" s="1" t="str">
        <f>"00867"</f>
        <v>00867</v>
      </c>
      <c r="B752" s="1" t="str">
        <f>"سيد محمد علي"</f>
        <v>سيد محمد علي</v>
      </c>
      <c r="C752" s="1" t="str">
        <f>"باقري"</f>
        <v>باقري</v>
      </c>
      <c r="D752" s="1" t="str">
        <f t="shared" si="80"/>
        <v>قراردادي بهره بردار</v>
      </c>
      <c r="E752" s="1" t="str">
        <f>"پروژه تعميرات نيروگاه بوشهر"</f>
        <v>پروژه تعميرات نيروگاه بوشهر</v>
      </c>
      <c r="F752" s="1">
        <v>15553952</v>
      </c>
      <c r="G752" s="1">
        <v>4463208</v>
      </c>
      <c r="H752" s="1">
        <v>0</v>
      </c>
      <c r="I752" s="1">
        <v>12783719</v>
      </c>
      <c r="J752" s="1">
        <v>0</v>
      </c>
      <c r="K752" s="1">
        <v>4620000</v>
      </c>
      <c r="L752" s="1">
        <v>0</v>
      </c>
      <c r="M752" s="1">
        <v>1000000</v>
      </c>
      <c r="N752" s="1">
        <v>2820697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17416677</v>
      </c>
      <c r="W752" s="1">
        <v>4000000</v>
      </c>
      <c r="X752" s="1">
        <v>2257832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2216262</v>
      </c>
      <c r="AF752" s="1">
        <v>1835427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12458731</v>
      </c>
      <c r="AM752" s="1">
        <v>0</v>
      </c>
      <c r="AN752" s="1">
        <v>0</v>
      </c>
      <c r="AO752" s="1">
        <v>81426505</v>
      </c>
      <c r="AP752" s="1">
        <v>18999312</v>
      </c>
      <c r="AQ752" s="1">
        <v>62427193</v>
      </c>
      <c r="AR752" s="1">
        <v>15918216</v>
      </c>
      <c r="AS752" s="1">
        <v>2387732</v>
      </c>
      <c r="AT752" s="3">
        <f t="shared" si="78"/>
        <v>99732453</v>
      </c>
    </row>
    <row r="753" spans="1:46" x14ac:dyDescent="0.2">
      <c r="A753" s="1" t="str">
        <f>"00869"</f>
        <v>00869</v>
      </c>
      <c r="B753" s="1" t="str">
        <f>"موسي"</f>
        <v>موسي</v>
      </c>
      <c r="C753" s="1" t="str">
        <f>"خدري"</f>
        <v>خدري</v>
      </c>
      <c r="D753" s="1" t="str">
        <f t="shared" si="80"/>
        <v>قراردادي بهره بردار</v>
      </c>
      <c r="E753" s="1" t="str">
        <f>"پروژه تعميرات نيروگاه بوشهر"</f>
        <v>پروژه تعميرات نيروگاه بوشهر</v>
      </c>
      <c r="F753" s="1">
        <v>21529653</v>
      </c>
      <c r="G753" s="1">
        <v>0</v>
      </c>
      <c r="H753" s="1">
        <v>0</v>
      </c>
      <c r="I753" s="1">
        <v>18767466</v>
      </c>
      <c r="J753" s="1">
        <v>0</v>
      </c>
      <c r="K753" s="1">
        <v>5500000</v>
      </c>
      <c r="L753" s="1">
        <v>0</v>
      </c>
      <c r="M753" s="1">
        <v>1000000</v>
      </c>
      <c r="N753" s="1">
        <v>3673343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12410154</v>
      </c>
      <c r="W753" s="1">
        <v>4000000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2886198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10201518</v>
      </c>
      <c r="AM753" s="1">
        <v>0</v>
      </c>
      <c r="AN753" s="1">
        <v>0</v>
      </c>
      <c r="AO753" s="1">
        <v>79968332</v>
      </c>
      <c r="AP753" s="1">
        <v>32912086</v>
      </c>
      <c r="AQ753" s="1">
        <v>47056246</v>
      </c>
      <c r="AR753" s="1">
        <v>15993666</v>
      </c>
      <c r="AS753" s="1">
        <v>2399050</v>
      </c>
      <c r="AT753" s="3">
        <f t="shared" si="78"/>
        <v>98361048</v>
      </c>
    </row>
    <row r="754" spans="1:46" x14ac:dyDescent="0.2">
      <c r="A754" s="1" t="str">
        <f>"00870"</f>
        <v>00870</v>
      </c>
      <c r="B754" s="1" t="str">
        <f>"سينا"</f>
        <v>سينا</v>
      </c>
      <c r="C754" s="1" t="str">
        <f>"دشتستاني نژاد"</f>
        <v>دشتستاني نژاد</v>
      </c>
      <c r="D754" s="1" t="str">
        <f t="shared" si="80"/>
        <v>قراردادي بهره بردار</v>
      </c>
      <c r="E754" s="1" t="str">
        <f>"پروژه تعميرات نيروگاه بوشهر"</f>
        <v>پروژه تعميرات نيروگاه بوشهر</v>
      </c>
      <c r="F754" s="1">
        <v>21045954</v>
      </c>
      <c r="G754" s="1">
        <v>5721821</v>
      </c>
      <c r="H754" s="1">
        <v>0</v>
      </c>
      <c r="I754" s="1">
        <v>15831393</v>
      </c>
      <c r="J754" s="1">
        <v>0</v>
      </c>
      <c r="K754" s="1">
        <v>4125000</v>
      </c>
      <c r="L754" s="1">
        <v>0</v>
      </c>
      <c r="M754" s="1">
        <v>1000000</v>
      </c>
      <c r="N754" s="1">
        <v>3504048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12870853</v>
      </c>
      <c r="W754" s="1">
        <v>4000000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2753180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6368706</v>
      </c>
      <c r="AM754" s="1">
        <v>0</v>
      </c>
      <c r="AN754" s="1">
        <v>0</v>
      </c>
      <c r="AO754" s="1">
        <v>77220955</v>
      </c>
      <c r="AP754" s="1">
        <v>27718558</v>
      </c>
      <c r="AQ754" s="1">
        <v>49502397</v>
      </c>
      <c r="AR754" s="1">
        <v>15444191</v>
      </c>
      <c r="AS754" s="1">
        <v>2316629</v>
      </c>
      <c r="AT754" s="3">
        <f t="shared" si="78"/>
        <v>94981775</v>
      </c>
    </row>
    <row r="755" spans="1:46" x14ac:dyDescent="0.2">
      <c r="A755" s="1" t="str">
        <f>"00871"</f>
        <v>00871</v>
      </c>
      <c r="B755" s="1" t="str">
        <f>"مسعود"</f>
        <v>مسعود</v>
      </c>
      <c r="C755" s="1" t="str">
        <f>"سهرابي تيمورلو"</f>
        <v>سهرابي تيمورلو</v>
      </c>
      <c r="D755" s="1" t="str">
        <f t="shared" si="80"/>
        <v>قراردادي بهره بردار</v>
      </c>
      <c r="E755" s="1" t="str">
        <f>"پروژه بهره برداري نيروگاه بوشهر"</f>
        <v>پروژه بهره برداري نيروگاه بوشهر</v>
      </c>
      <c r="F755" s="1">
        <v>19599895</v>
      </c>
      <c r="G755" s="1">
        <v>0</v>
      </c>
      <c r="H755" s="1">
        <v>0</v>
      </c>
      <c r="I755" s="1">
        <v>15847684</v>
      </c>
      <c r="J755" s="1">
        <v>0</v>
      </c>
      <c r="K755" s="1">
        <v>4125000</v>
      </c>
      <c r="L755" s="1">
        <v>0</v>
      </c>
      <c r="M755" s="1">
        <v>1000000</v>
      </c>
      <c r="N755" s="1">
        <v>3196320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9610653</v>
      </c>
      <c r="W755" s="1">
        <v>4000000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3892267</v>
      </c>
      <c r="AD755" s="1">
        <v>0</v>
      </c>
      <c r="AE755" s="1">
        <v>2511394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5534829</v>
      </c>
      <c r="AM755" s="1">
        <v>0</v>
      </c>
      <c r="AN755" s="1">
        <v>0</v>
      </c>
      <c r="AO755" s="1">
        <v>69318042</v>
      </c>
      <c r="AP755" s="1">
        <v>29833686</v>
      </c>
      <c r="AQ755" s="1">
        <v>39484356</v>
      </c>
      <c r="AR755" s="1">
        <v>13863608</v>
      </c>
      <c r="AS755" s="1">
        <v>2079541</v>
      </c>
      <c r="AT755" s="3">
        <f t="shared" si="78"/>
        <v>85261191</v>
      </c>
    </row>
    <row r="756" spans="1:46" x14ac:dyDescent="0.2">
      <c r="A756" s="1" t="str">
        <f>"00872"</f>
        <v>00872</v>
      </c>
      <c r="B756" s="1" t="str">
        <f>"سيدرضا"</f>
        <v>سيدرضا</v>
      </c>
      <c r="C756" s="1" t="str">
        <f>"شجاع الدين"</f>
        <v>شجاع الدين</v>
      </c>
      <c r="D756" s="1" t="str">
        <f t="shared" si="80"/>
        <v>قراردادي بهره بردار</v>
      </c>
      <c r="E756" s="1" t="str">
        <f t="shared" ref="E756:E773" si="82">"پروژه تعميرات نيروگاه بوشهر"</f>
        <v>پروژه تعميرات نيروگاه بوشهر</v>
      </c>
      <c r="F756" s="1">
        <v>21461633</v>
      </c>
      <c r="G756" s="1">
        <v>0</v>
      </c>
      <c r="H756" s="1">
        <v>0</v>
      </c>
      <c r="I756" s="1">
        <v>15933321</v>
      </c>
      <c r="J756" s="1">
        <v>0</v>
      </c>
      <c r="K756" s="1">
        <v>5500000</v>
      </c>
      <c r="L756" s="1">
        <v>0</v>
      </c>
      <c r="M756" s="1">
        <v>1000000</v>
      </c>
      <c r="N756" s="1">
        <v>3649536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9906795</v>
      </c>
      <c r="W756" s="1">
        <v>4000000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2867493</v>
      </c>
      <c r="AF756" s="1">
        <v>1835427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5621996</v>
      </c>
      <c r="AM756" s="1">
        <v>0</v>
      </c>
      <c r="AN756" s="1">
        <v>0</v>
      </c>
      <c r="AO756" s="1">
        <v>71776201</v>
      </c>
      <c r="AP756" s="1">
        <v>29721802</v>
      </c>
      <c r="AQ756" s="1">
        <v>42054399</v>
      </c>
      <c r="AR756" s="1">
        <v>13988155</v>
      </c>
      <c r="AS756" s="1">
        <v>2098223</v>
      </c>
      <c r="AT756" s="3">
        <f t="shared" si="78"/>
        <v>87862579</v>
      </c>
    </row>
    <row r="757" spans="1:46" x14ac:dyDescent="0.2">
      <c r="A757" s="1" t="str">
        <f>"00873"</f>
        <v>00873</v>
      </c>
      <c r="B757" s="1" t="str">
        <f>"علي"</f>
        <v>علي</v>
      </c>
      <c r="C757" s="1" t="str">
        <f>"شهرياري"</f>
        <v>شهرياري</v>
      </c>
      <c r="D757" s="1" t="str">
        <f t="shared" si="80"/>
        <v>قراردادي بهره بردار</v>
      </c>
      <c r="E757" s="1" t="str">
        <f t="shared" si="82"/>
        <v>پروژه تعميرات نيروگاه بوشهر</v>
      </c>
      <c r="F757" s="1">
        <v>17796100</v>
      </c>
      <c r="G757" s="1">
        <v>8106998</v>
      </c>
      <c r="H757" s="1">
        <v>0</v>
      </c>
      <c r="I757" s="1">
        <v>14042623</v>
      </c>
      <c r="J757" s="1">
        <v>0</v>
      </c>
      <c r="K757" s="1">
        <v>4620000</v>
      </c>
      <c r="L757" s="1">
        <v>0</v>
      </c>
      <c r="M757" s="1">
        <v>1000000</v>
      </c>
      <c r="N757" s="1">
        <v>3327699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9969598</v>
      </c>
      <c r="W757" s="1">
        <v>4000000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2614621</v>
      </c>
      <c r="AF757" s="1">
        <v>1835427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9693231</v>
      </c>
      <c r="AM757" s="1">
        <v>0</v>
      </c>
      <c r="AN757" s="1">
        <v>0</v>
      </c>
      <c r="AO757" s="1">
        <v>77006297</v>
      </c>
      <c r="AP757" s="1">
        <v>27024755</v>
      </c>
      <c r="AQ757" s="1">
        <v>49981542</v>
      </c>
      <c r="AR757" s="1">
        <v>15034174</v>
      </c>
      <c r="AS757" s="1">
        <v>2255126</v>
      </c>
      <c r="AT757" s="3">
        <f t="shared" si="78"/>
        <v>94295597</v>
      </c>
    </row>
    <row r="758" spans="1:46" x14ac:dyDescent="0.2">
      <c r="A758" s="1" t="str">
        <f>"00874"</f>
        <v>00874</v>
      </c>
      <c r="B758" s="1" t="str">
        <f>"مجيد"</f>
        <v>مجيد</v>
      </c>
      <c r="C758" s="1" t="str">
        <f>"صادقي"</f>
        <v>صادقي</v>
      </c>
      <c r="D758" s="1" t="str">
        <f t="shared" si="80"/>
        <v>قراردادي بهره بردار</v>
      </c>
      <c r="E758" s="1" t="str">
        <f t="shared" si="82"/>
        <v>پروژه تعميرات نيروگاه بوشهر</v>
      </c>
      <c r="F758" s="1">
        <v>21156801</v>
      </c>
      <c r="G758" s="1">
        <v>43691951</v>
      </c>
      <c r="H758" s="1">
        <v>0</v>
      </c>
      <c r="I758" s="1">
        <v>16301594</v>
      </c>
      <c r="J758" s="1">
        <v>0</v>
      </c>
      <c r="K758" s="1">
        <v>4125000</v>
      </c>
      <c r="L758" s="1">
        <v>0</v>
      </c>
      <c r="M758" s="1">
        <v>1000000</v>
      </c>
      <c r="N758" s="1">
        <v>3542844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19374786</v>
      </c>
      <c r="W758" s="1">
        <v>4000000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2783664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7201374</v>
      </c>
      <c r="AM758" s="1">
        <v>0</v>
      </c>
      <c r="AN758" s="1">
        <v>0</v>
      </c>
      <c r="AO758" s="1">
        <v>123178014</v>
      </c>
      <c r="AP758" s="1">
        <v>40335407</v>
      </c>
      <c r="AQ758" s="1">
        <v>82842607</v>
      </c>
      <c r="AR758" s="1">
        <v>24635603</v>
      </c>
      <c r="AS758" s="1">
        <v>3695340</v>
      </c>
      <c r="AT758" s="3">
        <f t="shared" si="78"/>
        <v>151508957</v>
      </c>
    </row>
    <row r="759" spans="1:46" x14ac:dyDescent="0.2">
      <c r="A759" s="1" t="str">
        <f>"00875"</f>
        <v>00875</v>
      </c>
      <c r="B759" s="1" t="str">
        <f>"امين"</f>
        <v>امين</v>
      </c>
      <c r="C759" s="1" t="str">
        <f>"عطايي"</f>
        <v>عطايي</v>
      </c>
      <c r="D759" s="1" t="str">
        <f t="shared" si="80"/>
        <v>قراردادي بهره بردار</v>
      </c>
      <c r="E759" s="1" t="str">
        <f t="shared" si="82"/>
        <v>پروژه تعميرات نيروگاه بوشهر</v>
      </c>
      <c r="F759" s="1">
        <v>24331077</v>
      </c>
      <c r="G759" s="1">
        <v>5582281</v>
      </c>
      <c r="H759" s="1">
        <v>0</v>
      </c>
      <c r="I759" s="1">
        <v>19122129</v>
      </c>
      <c r="J759" s="1">
        <v>0</v>
      </c>
      <c r="K759" s="1">
        <v>5500000</v>
      </c>
      <c r="L759" s="1">
        <v>0</v>
      </c>
      <c r="M759" s="1">
        <v>1000000</v>
      </c>
      <c r="N759" s="1">
        <v>4217378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9578712</v>
      </c>
      <c r="W759" s="1">
        <v>4000000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3313654</v>
      </c>
      <c r="AF759" s="1">
        <v>1835427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5361126</v>
      </c>
      <c r="AM759" s="1">
        <v>0</v>
      </c>
      <c r="AN759" s="1">
        <v>0</v>
      </c>
      <c r="AO759" s="1">
        <v>83841784</v>
      </c>
      <c r="AP759" s="1">
        <v>34518587</v>
      </c>
      <c r="AQ759" s="1">
        <v>49323197</v>
      </c>
      <c r="AR759" s="1">
        <v>16401271</v>
      </c>
      <c r="AS759" s="1">
        <v>2460191</v>
      </c>
      <c r="AT759" s="3">
        <f t="shared" si="78"/>
        <v>102703246</v>
      </c>
    </row>
    <row r="760" spans="1:46" x14ac:dyDescent="0.2">
      <c r="A760" s="1" t="str">
        <f>"00876"</f>
        <v>00876</v>
      </c>
      <c r="B760" s="1" t="str">
        <f>"يحيي"</f>
        <v>يحيي</v>
      </c>
      <c r="C760" s="1" t="str">
        <f>"غلامي"</f>
        <v>غلامي</v>
      </c>
      <c r="D760" s="1" t="str">
        <f t="shared" si="80"/>
        <v>قراردادي بهره بردار</v>
      </c>
      <c r="E760" s="1" t="str">
        <f t="shared" si="82"/>
        <v>پروژه تعميرات نيروگاه بوشهر</v>
      </c>
      <c r="F760" s="1">
        <v>21514537</v>
      </c>
      <c r="G760" s="1">
        <v>7509795</v>
      </c>
      <c r="H760" s="1">
        <v>0</v>
      </c>
      <c r="I760" s="1">
        <v>18054375</v>
      </c>
      <c r="J760" s="1">
        <v>0</v>
      </c>
      <c r="K760" s="1">
        <v>5500000</v>
      </c>
      <c r="L760" s="1">
        <v>0</v>
      </c>
      <c r="M760" s="1">
        <v>1000000</v>
      </c>
      <c r="N760" s="1">
        <v>3668052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11994568</v>
      </c>
      <c r="W760" s="1">
        <v>4000000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2882041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8401754</v>
      </c>
      <c r="AM760" s="1">
        <v>0</v>
      </c>
      <c r="AN760" s="1">
        <v>0</v>
      </c>
      <c r="AO760" s="1">
        <v>84525122</v>
      </c>
      <c r="AP760" s="1">
        <v>37964032</v>
      </c>
      <c r="AQ760" s="1">
        <v>46561090</v>
      </c>
      <c r="AR760" s="1">
        <v>16905024</v>
      </c>
      <c r="AS760" s="1">
        <v>2535754</v>
      </c>
      <c r="AT760" s="3">
        <f t="shared" si="78"/>
        <v>103965900</v>
      </c>
    </row>
    <row r="761" spans="1:46" x14ac:dyDescent="0.2">
      <c r="A761" s="1" t="str">
        <f>"00877"</f>
        <v>00877</v>
      </c>
      <c r="B761" s="1" t="str">
        <f>"مجتبي"</f>
        <v>مجتبي</v>
      </c>
      <c r="C761" s="1" t="str">
        <f>"محمدپور شورباخلو"</f>
        <v>محمدپور شورباخلو</v>
      </c>
      <c r="D761" s="1" t="str">
        <f t="shared" si="80"/>
        <v>قراردادي بهره بردار</v>
      </c>
      <c r="E761" s="1" t="str">
        <f t="shared" si="82"/>
        <v>پروژه تعميرات نيروگاه بوشهر</v>
      </c>
      <c r="F761" s="1">
        <v>21962967</v>
      </c>
      <c r="G761" s="1">
        <v>16024467</v>
      </c>
      <c r="H761" s="1">
        <v>0</v>
      </c>
      <c r="I761" s="1">
        <v>17813961</v>
      </c>
      <c r="J761" s="1">
        <v>0</v>
      </c>
      <c r="K761" s="1">
        <v>4125000</v>
      </c>
      <c r="L761" s="1">
        <v>0</v>
      </c>
      <c r="M761" s="1">
        <v>1000000</v>
      </c>
      <c r="N761" s="1">
        <v>3825002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11700167</v>
      </c>
      <c r="W761" s="1">
        <v>4000000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3005359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6575286</v>
      </c>
      <c r="AM761" s="1">
        <v>0</v>
      </c>
      <c r="AN761" s="1">
        <v>0</v>
      </c>
      <c r="AO761" s="1">
        <v>90032209</v>
      </c>
      <c r="AP761" s="1">
        <v>14011251</v>
      </c>
      <c r="AQ761" s="1">
        <v>76020958</v>
      </c>
      <c r="AR761" s="1">
        <v>18006442</v>
      </c>
      <c r="AS761" s="1">
        <v>2700966</v>
      </c>
      <c r="AT761" s="3">
        <f t="shared" si="78"/>
        <v>110739617</v>
      </c>
    </row>
    <row r="762" spans="1:46" x14ac:dyDescent="0.2">
      <c r="A762" s="1" t="str">
        <f>"00878"</f>
        <v>00878</v>
      </c>
      <c r="B762" s="1" t="str">
        <f>"سجاد"</f>
        <v>سجاد</v>
      </c>
      <c r="C762" s="1" t="str">
        <f>"محمدي"</f>
        <v>محمدي</v>
      </c>
      <c r="D762" s="1" t="str">
        <f t="shared" si="80"/>
        <v>قراردادي بهره بردار</v>
      </c>
      <c r="E762" s="1" t="str">
        <f t="shared" si="82"/>
        <v>پروژه تعميرات نيروگاه بوشهر</v>
      </c>
      <c r="F762" s="1">
        <v>21557262</v>
      </c>
      <c r="G762" s="1">
        <v>15516250</v>
      </c>
      <c r="H762" s="1">
        <v>0</v>
      </c>
      <c r="I762" s="1">
        <v>15848274</v>
      </c>
      <c r="J762" s="1">
        <v>0</v>
      </c>
      <c r="K762" s="1">
        <v>4125000</v>
      </c>
      <c r="L762" s="1">
        <v>0</v>
      </c>
      <c r="M762" s="1">
        <v>1000000</v>
      </c>
      <c r="N762" s="1">
        <v>3683042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9801465</v>
      </c>
      <c r="W762" s="1">
        <v>4000000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2893819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5645172</v>
      </c>
      <c r="AM762" s="1">
        <v>0</v>
      </c>
      <c r="AN762" s="1">
        <v>0</v>
      </c>
      <c r="AO762" s="1">
        <v>84070284</v>
      </c>
      <c r="AP762" s="1">
        <v>38942387</v>
      </c>
      <c r="AQ762" s="1">
        <v>45127897</v>
      </c>
      <c r="AR762" s="1">
        <v>16814057</v>
      </c>
      <c r="AS762" s="1">
        <v>2522109</v>
      </c>
      <c r="AT762" s="3">
        <f t="shared" si="78"/>
        <v>103406450</v>
      </c>
    </row>
    <row r="763" spans="1:46" x14ac:dyDescent="0.2">
      <c r="A763" s="1" t="str">
        <f>"00879"</f>
        <v>00879</v>
      </c>
      <c r="B763" s="1" t="str">
        <f>"ايوب"</f>
        <v>ايوب</v>
      </c>
      <c r="C763" s="1" t="str">
        <f>"محمودآبادي"</f>
        <v>محمودآبادي</v>
      </c>
      <c r="D763" s="1" t="str">
        <f t="shared" si="80"/>
        <v>قراردادي بهره بردار</v>
      </c>
      <c r="E763" s="1" t="str">
        <f t="shared" si="82"/>
        <v>پروژه تعميرات نيروگاه بوشهر</v>
      </c>
      <c r="F763" s="1">
        <v>16392868</v>
      </c>
      <c r="G763" s="1">
        <v>9278118</v>
      </c>
      <c r="H763" s="1">
        <v>0</v>
      </c>
      <c r="I763" s="1">
        <v>13618977</v>
      </c>
      <c r="J763" s="1">
        <v>0</v>
      </c>
      <c r="K763" s="1">
        <v>3465000</v>
      </c>
      <c r="L763" s="1">
        <v>0</v>
      </c>
      <c r="M763" s="1">
        <v>1000000</v>
      </c>
      <c r="N763" s="1">
        <v>3114318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9879276</v>
      </c>
      <c r="W763" s="1">
        <v>4000000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2446963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9332674</v>
      </c>
      <c r="AM763" s="1">
        <v>0</v>
      </c>
      <c r="AN763" s="1">
        <v>0</v>
      </c>
      <c r="AO763" s="1">
        <v>72528194</v>
      </c>
      <c r="AP763" s="1">
        <v>20803701</v>
      </c>
      <c r="AQ763" s="1">
        <v>51724493</v>
      </c>
      <c r="AR763" s="1">
        <v>14505639</v>
      </c>
      <c r="AS763" s="1">
        <v>2175846</v>
      </c>
      <c r="AT763" s="3">
        <f t="shared" si="78"/>
        <v>89209679</v>
      </c>
    </row>
    <row r="764" spans="1:46" x14ac:dyDescent="0.2">
      <c r="A764" s="1" t="str">
        <f>"00880"</f>
        <v>00880</v>
      </c>
      <c r="B764" s="1" t="str">
        <f>"جاويد"</f>
        <v>جاويد</v>
      </c>
      <c r="C764" s="1" t="str">
        <f>"ميرشکاري"</f>
        <v>ميرشکاري</v>
      </c>
      <c r="D764" s="1" t="str">
        <f t="shared" si="80"/>
        <v>قراردادي بهره بردار</v>
      </c>
      <c r="E764" s="1" t="str">
        <f t="shared" si="82"/>
        <v>پروژه تعميرات نيروگاه بوشهر</v>
      </c>
      <c r="F764" s="1">
        <v>15508606</v>
      </c>
      <c r="G764" s="1">
        <v>4002957</v>
      </c>
      <c r="H764" s="1">
        <v>0</v>
      </c>
      <c r="I764" s="1">
        <v>12731608</v>
      </c>
      <c r="J764" s="1">
        <v>0</v>
      </c>
      <c r="K764" s="1">
        <v>3465000</v>
      </c>
      <c r="L764" s="1">
        <v>0</v>
      </c>
      <c r="M764" s="1">
        <v>1000000</v>
      </c>
      <c r="N764" s="1">
        <v>2804825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17356275</v>
      </c>
      <c r="W764" s="1">
        <v>4000000</v>
      </c>
      <c r="X764" s="1">
        <v>2251249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2203791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12425577</v>
      </c>
      <c r="AM764" s="1">
        <v>0</v>
      </c>
      <c r="AN764" s="1">
        <v>0</v>
      </c>
      <c r="AO764" s="1">
        <v>77749888</v>
      </c>
      <c r="AP764" s="1">
        <v>54833314</v>
      </c>
      <c r="AQ764" s="1">
        <v>22916574</v>
      </c>
      <c r="AR764" s="1">
        <v>15549978</v>
      </c>
      <c r="AS764" s="1">
        <v>2332497</v>
      </c>
      <c r="AT764" s="3">
        <f t="shared" si="78"/>
        <v>95632363</v>
      </c>
    </row>
    <row r="765" spans="1:46" x14ac:dyDescent="0.2">
      <c r="A765" s="1" t="str">
        <f>"00882"</f>
        <v>00882</v>
      </c>
      <c r="B765" s="1" t="str">
        <f>"امين"</f>
        <v>امين</v>
      </c>
      <c r="C765" s="1" t="str">
        <f>"يزدي"</f>
        <v>يزدي</v>
      </c>
      <c r="D765" s="1" t="str">
        <f t="shared" si="80"/>
        <v>قراردادي بهره بردار</v>
      </c>
      <c r="E765" s="1" t="str">
        <f t="shared" si="82"/>
        <v>پروژه تعميرات نيروگاه بوشهر</v>
      </c>
      <c r="F765" s="1">
        <v>21935255</v>
      </c>
      <c r="G765" s="1">
        <v>11590303</v>
      </c>
      <c r="H765" s="1">
        <v>0</v>
      </c>
      <c r="I765" s="1">
        <v>16223235</v>
      </c>
      <c r="J765" s="1">
        <v>0</v>
      </c>
      <c r="K765" s="1">
        <v>5500000</v>
      </c>
      <c r="L765" s="1">
        <v>0</v>
      </c>
      <c r="M765" s="1">
        <v>1000000</v>
      </c>
      <c r="N765" s="1">
        <v>3815303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10138960</v>
      </c>
      <c r="W765" s="1">
        <v>4000000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2997738</v>
      </c>
      <c r="AF765" s="1">
        <v>3670854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5723270</v>
      </c>
      <c r="AM765" s="1">
        <v>0</v>
      </c>
      <c r="AN765" s="1">
        <v>0</v>
      </c>
      <c r="AO765" s="1">
        <v>86594918</v>
      </c>
      <c r="AP765" s="1">
        <v>36215430</v>
      </c>
      <c r="AQ765" s="1">
        <v>50379488</v>
      </c>
      <c r="AR765" s="1">
        <v>16584813</v>
      </c>
      <c r="AS765" s="1">
        <v>2487722</v>
      </c>
      <c r="AT765" s="3">
        <f t="shared" si="78"/>
        <v>105667453</v>
      </c>
    </row>
    <row r="766" spans="1:46" x14ac:dyDescent="0.2">
      <c r="A766" s="1" t="str">
        <f>"00883"</f>
        <v>00883</v>
      </c>
      <c r="B766" s="1" t="str">
        <f>"حميد"</f>
        <v>حميد</v>
      </c>
      <c r="C766" s="1" t="str">
        <f>"بادروح"</f>
        <v>بادروح</v>
      </c>
      <c r="D766" s="1" t="str">
        <f t="shared" si="80"/>
        <v>قراردادي بهره بردار</v>
      </c>
      <c r="E766" s="1" t="str">
        <f t="shared" si="82"/>
        <v>پروژه تعميرات نيروگاه بوشهر</v>
      </c>
      <c r="F766" s="1">
        <v>21499422</v>
      </c>
      <c r="G766" s="1">
        <v>4099985</v>
      </c>
      <c r="H766" s="1">
        <v>0</v>
      </c>
      <c r="I766" s="1">
        <v>15993804</v>
      </c>
      <c r="J766" s="1">
        <v>0</v>
      </c>
      <c r="K766" s="1">
        <v>4125000</v>
      </c>
      <c r="L766" s="1">
        <v>0</v>
      </c>
      <c r="M766" s="1">
        <v>1000000</v>
      </c>
      <c r="N766" s="1">
        <v>3662762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8335925</v>
      </c>
      <c r="W766" s="1">
        <v>4000000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2877884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5732843</v>
      </c>
      <c r="AM766" s="1">
        <v>0</v>
      </c>
      <c r="AN766" s="1">
        <v>0</v>
      </c>
      <c r="AO766" s="1">
        <v>71327625</v>
      </c>
      <c r="AP766" s="1">
        <v>26150055</v>
      </c>
      <c r="AQ766" s="1">
        <v>45177570</v>
      </c>
      <c r="AR766" s="1">
        <v>14265525</v>
      </c>
      <c r="AS766" s="1">
        <v>2139829</v>
      </c>
      <c r="AT766" s="3">
        <f t="shared" si="78"/>
        <v>87732979</v>
      </c>
    </row>
    <row r="767" spans="1:46" x14ac:dyDescent="0.2">
      <c r="A767" s="1" t="str">
        <f>"00884"</f>
        <v>00884</v>
      </c>
      <c r="B767" s="1" t="str">
        <f>"صادق"</f>
        <v>صادق</v>
      </c>
      <c r="C767" s="1" t="str">
        <f>"بناري"</f>
        <v>بناري</v>
      </c>
      <c r="D767" s="1" t="str">
        <f t="shared" si="80"/>
        <v>قراردادي بهره بردار</v>
      </c>
      <c r="E767" s="1" t="str">
        <f t="shared" si="82"/>
        <v>پروژه تعميرات نيروگاه بوشهر</v>
      </c>
      <c r="F767" s="1">
        <v>22275356</v>
      </c>
      <c r="G767" s="1">
        <v>4362719</v>
      </c>
      <c r="H767" s="1">
        <v>0</v>
      </c>
      <c r="I767" s="1">
        <v>17730088</v>
      </c>
      <c r="J767" s="1">
        <v>0</v>
      </c>
      <c r="K767" s="1">
        <v>4125000</v>
      </c>
      <c r="L767" s="1">
        <v>0</v>
      </c>
      <c r="M767" s="1">
        <v>1000000</v>
      </c>
      <c r="N767" s="1">
        <v>3934339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8870106</v>
      </c>
      <c r="W767" s="1">
        <v>4000000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3091266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5924811</v>
      </c>
      <c r="AM767" s="1">
        <v>0</v>
      </c>
      <c r="AN767" s="1">
        <v>0</v>
      </c>
      <c r="AO767" s="1">
        <v>75313685</v>
      </c>
      <c r="AP767" s="1">
        <v>27273576</v>
      </c>
      <c r="AQ767" s="1">
        <v>48040109</v>
      </c>
      <c r="AR767" s="1">
        <v>15062737</v>
      </c>
      <c r="AS767" s="1">
        <v>2259411</v>
      </c>
      <c r="AT767" s="3">
        <f t="shared" si="78"/>
        <v>92635833</v>
      </c>
    </row>
    <row r="768" spans="1:46" x14ac:dyDescent="0.2">
      <c r="A768" s="1" t="str">
        <f>"00886"</f>
        <v>00886</v>
      </c>
      <c r="B768" s="1" t="str">
        <f>"سيد محمد علي"</f>
        <v>سيد محمد علي</v>
      </c>
      <c r="C768" s="1" t="str">
        <f>"مير بهرسي"</f>
        <v>مير بهرسي</v>
      </c>
      <c r="D768" s="1" t="str">
        <f>"قراردادي کارگري"</f>
        <v>قراردادي کارگري</v>
      </c>
      <c r="E768" s="1" t="str">
        <f t="shared" si="82"/>
        <v>پروژه تعميرات نيروگاه بوشهر</v>
      </c>
      <c r="F768" s="1">
        <v>0</v>
      </c>
      <c r="G768" s="1">
        <v>6369917</v>
      </c>
      <c r="H768" s="1">
        <v>0</v>
      </c>
      <c r="I768" s="1">
        <v>6856516</v>
      </c>
      <c r="J768" s="1">
        <v>0</v>
      </c>
      <c r="K768" s="1">
        <v>0</v>
      </c>
      <c r="L768" s="1">
        <v>11521166</v>
      </c>
      <c r="M768" s="1">
        <v>2000000</v>
      </c>
      <c r="N768" s="1">
        <v>5012074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2640000</v>
      </c>
      <c r="U768" s="1">
        <v>0</v>
      </c>
      <c r="V768" s="1">
        <v>12222717</v>
      </c>
      <c r="W768" s="1">
        <v>4000000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3670854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63816184</v>
      </c>
      <c r="AP768" s="1">
        <v>12466539</v>
      </c>
      <c r="AQ768" s="1">
        <v>51349645</v>
      </c>
      <c r="AR768" s="1">
        <v>12029066</v>
      </c>
      <c r="AS768" s="1">
        <v>1804360</v>
      </c>
      <c r="AT768" s="3">
        <f t="shared" si="78"/>
        <v>77649610</v>
      </c>
    </row>
    <row r="769" spans="1:46" x14ac:dyDescent="0.2">
      <c r="A769" s="1" t="str">
        <f>"00887"</f>
        <v>00887</v>
      </c>
      <c r="B769" s="1" t="str">
        <f>"عبدالحسين"</f>
        <v>عبدالحسين</v>
      </c>
      <c r="C769" s="1" t="str">
        <f>"بچاچري نژاد"</f>
        <v>بچاچري نژاد</v>
      </c>
      <c r="D769" s="1" t="str">
        <f>"قراردادي کارگري"</f>
        <v>قراردادي کارگري</v>
      </c>
      <c r="E769" s="1" t="str">
        <f t="shared" si="82"/>
        <v>پروژه تعميرات نيروگاه بوشهر</v>
      </c>
      <c r="F769" s="1">
        <v>0</v>
      </c>
      <c r="G769" s="1">
        <v>17323697</v>
      </c>
      <c r="H769" s="1">
        <v>0</v>
      </c>
      <c r="I769" s="1">
        <v>8176155</v>
      </c>
      <c r="J769" s="1">
        <v>0</v>
      </c>
      <c r="K769" s="1">
        <v>0</v>
      </c>
      <c r="L769" s="1">
        <v>11521166</v>
      </c>
      <c r="M769" s="1">
        <v>2000000</v>
      </c>
      <c r="N769" s="1">
        <v>6056411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2640000</v>
      </c>
      <c r="U769" s="1">
        <v>0</v>
      </c>
      <c r="V769" s="1">
        <v>12992851</v>
      </c>
      <c r="W769" s="1">
        <v>4000000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5506281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3710950</v>
      </c>
      <c r="AO769" s="1">
        <v>85283282</v>
      </c>
      <c r="AP769" s="1">
        <v>9844279</v>
      </c>
      <c r="AQ769" s="1">
        <v>75439003</v>
      </c>
      <c r="AR769" s="1">
        <v>15955400</v>
      </c>
      <c r="AS769" s="1">
        <v>2393310</v>
      </c>
      <c r="AT769" s="3">
        <f t="shared" si="78"/>
        <v>103631992</v>
      </c>
    </row>
    <row r="770" spans="1:46" x14ac:dyDescent="0.2">
      <c r="A770" s="1" t="str">
        <f>"00888"</f>
        <v>00888</v>
      </c>
      <c r="B770" s="1" t="str">
        <f>"جواد"</f>
        <v>جواد</v>
      </c>
      <c r="C770" s="1" t="str">
        <f>"رحيم زاده کچوئي"</f>
        <v>رحيم زاده کچوئي</v>
      </c>
      <c r="D770" s="1" t="str">
        <f>"قراردادي بهره بردار"</f>
        <v>قراردادي بهره بردار</v>
      </c>
      <c r="E770" s="1" t="str">
        <f t="shared" si="82"/>
        <v>پروژه تعميرات نيروگاه بوشهر</v>
      </c>
      <c r="F770" s="1">
        <v>18045507</v>
      </c>
      <c r="G770" s="1">
        <v>14731261</v>
      </c>
      <c r="H770" s="1">
        <v>0</v>
      </c>
      <c r="I770" s="1">
        <v>13130578</v>
      </c>
      <c r="J770" s="1">
        <v>0</v>
      </c>
      <c r="K770" s="1">
        <v>4620000</v>
      </c>
      <c r="L770" s="1">
        <v>0</v>
      </c>
      <c r="M770" s="1">
        <v>1000000</v>
      </c>
      <c r="N770" s="1">
        <v>3004981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9652767</v>
      </c>
      <c r="W770" s="1">
        <v>4000000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2361057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7334090</v>
      </c>
      <c r="AM770" s="1">
        <v>0</v>
      </c>
      <c r="AN770" s="1">
        <v>0</v>
      </c>
      <c r="AO770" s="1">
        <v>77880241</v>
      </c>
      <c r="AP770" s="1">
        <v>25435524</v>
      </c>
      <c r="AQ770" s="1">
        <v>52444717</v>
      </c>
      <c r="AR770" s="1">
        <v>15576048</v>
      </c>
      <c r="AS770" s="1">
        <v>2336407</v>
      </c>
      <c r="AT770" s="3">
        <f t="shared" si="78"/>
        <v>95792696</v>
      </c>
    </row>
    <row r="771" spans="1:46" x14ac:dyDescent="0.2">
      <c r="A771" s="1" t="str">
        <f>"00890"</f>
        <v>00890</v>
      </c>
      <c r="B771" s="1" t="str">
        <f>"محمدرضا"</f>
        <v>محمدرضا</v>
      </c>
      <c r="C771" s="1" t="str">
        <f>"راه پيماي فرد حقيقي"</f>
        <v>راه پيماي فرد حقيقي</v>
      </c>
      <c r="D771" s="1" t="str">
        <f>"قراردادي کارگري"</f>
        <v>قراردادي کارگري</v>
      </c>
      <c r="E771" s="1" t="str">
        <f t="shared" si="82"/>
        <v>پروژه تعميرات نيروگاه بوشهر</v>
      </c>
      <c r="F771" s="1">
        <v>0</v>
      </c>
      <c r="G771" s="1">
        <v>7612859</v>
      </c>
      <c r="H771" s="1">
        <v>0</v>
      </c>
      <c r="I771" s="1">
        <v>6795299</v>
      </c>
      <c r="J771" s="1">
        <v>0</v>
      </c>
      <c r="K771" s="1">
        <v>0</v>
      </c>
      <c r="L771" s="1">
        <v>11521166</v>
      </c>
      <c r="M771" s="1">
        <v>2000000</v>
      </c>
      <c r="N771" s="1">
        <v>6000264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2640000</v>
      </c>
      <c r="U771" s="1">
        <v>0</v>
      </c>
      <c r="V771" s="1">
        <v>9309895</v>
      </c>
      <c r="W771" s="1">
        <v>4000000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1835427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63040409</v>
      </c>
      <c r="AP771" s="1">
        <v>10957780</v>
      </c>
      <c r="AQ771" s="1">
        <v>52082629</v>
      </c>
      <c r="AR771" s="1">
        <v>12240996</v>
      </c>
      <c r="AS771" s="1">
        <v>1836149</v>
      </c>
      <c r="AT771" s="3">
        <f t="shared" ref="AT771:AT834" si="83">AO771+AR771+AS771</f>
        <v>77117554</v>
      </c>
    </row>
    <row r="772" spans="1:46" x14ac:dyDescent="0.2">
      <c r="A772" s="1" t="str">
        <f>"00891"</f>
        <v>00891</v>
      </c>
      <c r="B772" s="1" t="str">
        <f>"غلامرضا"</f>
        <v>غلامرضا</v>
      </c>
      <c r="C772" s="1" t="str">
        <f>"مسافر"</f>
        <v>مسافر</v>
      </c>
      <c r="D772" s="1" t="str">
        <f>"قراردادي کارگري"</f>
        <v>قراردادي کارگري</v>
      </c>
      <c r="E772" s="1" t="str">
        <f t="shared" si="82"/>
        <v>پروژه تعميرات نيروگاه بوشهر</v>
      </c>
      <c r="F772" s="1">
        <v>0</v>
      </c>
      <c r="G772" s="1">
        <v>8055088</v>
      </c>
      <c r="H772" s="1">
        <v>0</v>
      </c>
      <c r="I772" s="1">
        <v>4061071</v>
      </c>
      <c r="J772" s="1">
        <v>0</v>
      </c>
      <c r="K772" s="1">
        <v>0</v>
      </c>
      <c r="L772" s="1">
        <v>11572430</v>
      </c>
      <c r="M772" s="1">
        <v>2000000</v>
      </c>
      <c r="N772" s="1">
        <v>3361813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2640000</v>
      </c>
      <c r="U772" s="1">
        <v>0</v>
      </c>
      <c r="V772" s="1">
        <v>9908768</v>
      </c>
      <c r="W772" s="1">
        <v>4000000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1835427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54203048</v>
      </c>
      <c r="AP772" s="1">
        <v>8348665</v>
      </c>
      <c r="AQ772" s="1">
        <v>45854383</v>
      </c>
      <c r="AR772" s="1">
        <v>10473524</v>
      </c>
      <c r="AS772" s="1">
        <v>1571029</v>
      </c>
      <c r="AT772" s="3">
        <f t="shared" si="83"/>
        <v>66247601</v>
      </c>
    </row>
    <row r="773" spans="1:46" x14ac:dyDescent="0.2">
      <c r="A773" s="1" t="str">
        <f>"00892"</f>
        <v>00892</v>
      </c>
      <c r="B773" s="1" t="str">
        <f>"اسلام"</f>
        <v>اسلام</v>
      </c>
      <c r="C773" s="1" t="str">
        <f>"دست نشان"</f>
        <v>دست نشان</v>
      </c>
      <c r="D773" s="1" t="str">
        <f>"قراردادي کارگري"</f>
        <v>قراردادي کارگري</v>
      </c>
      <c r="E773" s="1" t="str">
        <f t="shared" si="82"/>
        <v>پروژه تعميرات نيروگاه بوشهر</v>
      </c>
      <c r="F773" s="1">
        <v>0</v>
      </c>
      <c r="G773" s="1">
        <v>7442748</v>
      </c>
      <c r="H773" s="1">
        <v>0</v>
      </c>
      <c r="I773" s="1">
        <v>6213024</v>
      </c>
      <c r="J773" s="1">
        <v>0</v>
      </c>
      <c r="K773" s="1">
        <v>0</v>
      </c>
      <c r="L773" s="1">
        <v>11521166</v>
      </c>
      <c r="M773" s="1">
        <v>2000000</v>
      </c>
      <c r="N773" s="1">
        <v>5450021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2640000</v>
      </c>
      <c r="U773" s="1">
        <v>0</v>
      </c>
      <c r="V773" s="1">
        <v>12319169</v>
      </c>
      <c r="W773" s="1">
        <v>4000000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3670854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65612023</v>
      </c>
      <c r="AP773" s="1">
        <v>12746543</v>
      </c>
      <c r="AQ773" s="1">
        <v>52865480</v>
      </c>
      <c r="AR773" s="1">
        <v>12388234</v>
      </c>
      <c r="AS773" s="1">
        <v>1858235</v>
      </c>
      <c r="AT773" s="3">
        <f t="shared" si="83"/>
        <v>79858492</v>
      </c>
    </row>
    <row r="774" spans="1:46" x14ac:dyDescent="0.2">
      <c r="A774" s="1" t="str">
        <f>"00893"</f>
        <v>00893</v>
      </c>
      <c r="B774" s="1" t="str">
        <f>"يعقوب"</f>
        <v>يعقوب</v>
      </c>
      <c r="C774" s="1" t="str">
        <f>"صفوي"</f>
        <v>صفوي</v>
      </c>
      <c r="D774" s="1" t="str">
        <f t="shared" ref="D774:D792" si="84">"قراردادي بهره بردار"</f>
        <v>قراردادي بهره بردار</v>
      </c>
      <c r="E774" s="1" t="str">
        <f t="shared" ref="E774:E792" si="85">"پروژه بهره برداري نيروگاه بوشهر"</f>
        <v>پروژه بهره برداري نيروگاه بوشهر</v>
      </c>
      <c r="F774" s="1">
        <v>21134128</v>
      </c>
      <c r="G774" s="1">
        <v>4820234</v>
      </c>
      <c r="H774" s="1">
        <v>0</v>
      </c>
      <c r="I774" s="1">
        <v>17614834</v>
      </c>
      <c r="J774" s="1">
        <v>0</v>
      </c>
      <c r="K774" s="1">
        <v>5500000</v>
      </c>
      <c r="L774" s="1">
        <v>0</v>
      </c>
      <c r="M774" s="1">
        <v>1000000</v>
      </c>
      <c r="N774" s="1">
        <v>3534909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14819231</v>
      </c>
      <c r="W774" s="1">
        <v>4000000</v>
      </c>
      <c r="X774" s="1">
        <v>3012646</v>
      </c>
      <c r="Y774" s="1">
        <v>0</v>
      </c>
      <c r="Z774" s="1">
        <v>0</v>
      </c>
      <c r="AA774" s="1">
        <v>0</v>
      </c>
      <c r="AB774" s="1">
        <v>0</v>
      </c>
      <c r="AC774" s="1">
        <v>4459102</v>
      </c>
      <c r="AD774" s="1">
        <v>0</v>
      </c>
      <c r="AE774" s="1">
        <v>2777428</v>
      </c>
      <c r="AF774" s="1">
        <v>3670854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21047364</v>
      </c>
      <c r="AM774" s="1">
        <v>0</v>
      </c>
      <c r="AN774" s="1">
        <v>0</v>
      </c>
      <c r="AO774" s="1">
        <v>107390730</v>
      </c>
      <c r="AP774" s="1">
        <v>17745142</v>
      </c>
      <c r="AQ774" s="1">
        <v>89645588</v>
      </c>
      <c r="AR774" s="1">
        <v>20743975</v>
      </c>
      <c r="AS774" s="1">
        <v>3111596</v>
      </c>
      <c r="AT774" s="3">
        <f t="shared" si="83"/>
        <v>131246301</v>
      </c>
    </row>
    <row r="775" spans="1:46" x14ac:dyDescent="0.2">
      <c r="A775" s="1" t="str">
        <f>"00895"</f>
        <v>00895</v>
      </c>
      <c r="B775" s="1" t="str">
        <f>"رضا"</f>
        <v>رضا</v>
      </c>
      <c r="C775" s="1" t="str">
        <f>"ولي"</f>
        <v>ولي</v>
      </c>
      <c r="D775" s="1" t="str">
        <f t="shared" si="84"/>
        <v>قراردادي بهره بردار</v>
      </c>
      <c r="E775" s="1" t="str">
        <f t="shared" si="85"/>
        <v>پروژه بهره برداري نيروگاه بوشهر</v>
      </c>
      <c r="F775" s="1">
        <v>21048473</v>
      </c>
      <c r="G775" s="1">
        <v>18063254</v>
      </c>
      <c r="H775" s="1">
        <v>0</v>
      </c>
      <c r="I775" s="1">
        <v>16180781</v>
      </c>
      <c r="J775" s="1">
        <v>0</v>
      </c>
      <c r="K775" s="1">
        <v>5500000</v>
      </c>
      <c r="L775" s="1">
        <v>0</v>
      </c>
      <c r="M775" s="1">
        <v>1000000</v>
      </c>
      <c r="N775" s="1">
        <v>3504930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22360133</v>
      </c>
      <c r="W775" s="1">
        <v>4000000</v>
      </c>
      <c r="X775" s="1">
        <v>3055424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2753874</v>
      </c>
      <c r="AF775" s="1">
        <v>1835427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11722148</v>
      </c>
      <c r="AM775" s="1">
        <v>0</v>
      </c>
      <c r="AN775" s="1">
        <v>0</v>
      </c>
      <c r="AO775" s="1">
        <v>111024444</v>
      </c>
      <c r="AP775" s="1">
        <v>49601789</v>
      </c>
      <c r="AQ775" s="1">
        <v>61422655</v>
      </c>
      <c r="AR775" s="1">
        <v>21837803</v>
      </c>
      <c r="AS775" s="1">
        <v>3275671</v>
      </c>
      <c r="AT775" s="3">
        <f t="shared" si="83"/>
        <v>136137918</v>
      </c>
    </row>
    <row r="776" spans="1:46" x14ac:dyDescent="0.2">
      <c r="A776" s="1" t="str">
        <f>"00896"</f>
        <v>00896</v>
      </c>
      <c r="B776" s="1" t="str">
        <f>"سيدجاسم"</f>
        <v>سيدجاسم</v>
      </c>
      <c r="C776" s="1" t="str">
        <f>"حسيني"</f>
        <v>حسيني</v>
      </c>
      <c r="D776" s="1" t="str">
        <f t="shared" si="84"/>
        <v>قراردادي بهره بردار</v>
      </c>
      <c r="E776" s="1" t="str">
        <f t="shared" si="85"/>
        <v>پروژه بهره برداري نيروگاه بوشهر</v>
      </c>
      <c r="F776" s="1">
        <v>20851970</v>
      </c>
      <c r="G776" s="1">
        <v>4698240</v>
      </c>
      <c r="H776" s="1">
        <v>0</v>
      </c>
      <c r="I776" s="1">
        <v>15875933</v>
      </c>
      <c r="J776" s="1">
        <v>0</v>
      </c>
      <c r="K776" s="1">
        <v>0</v>
      </c>
      <c r="L776" s="1">
        <v>0</v>
      </c>
      <c r="M776" s="1">
        <v>1000000</v>
      </c>
      <c r="N776" s="1">
        <v>3436154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16425763</v>
      </c>
      <c r="W776" s="1">
        <v>4000000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2699835</v>
      </c>
      <c r="AF776" s="1">
        <v>1835427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7291110</v>
      </c>
      <c r="AM776" s="1">
        <v>0</v>
      </c>
      <c r="AN776" s="1">
        <v>0</v>
      </c>
      <c r="AO776" s="1">
        <v>78114432</v>
      </c>
      <c r="AP776" s="1">
        <v>21404467</v>
      </c>
      <c r="AQ776" s="1">
        <v>56709965</v>
      </c>
      <c r="AR776" s="1">
        <v>15255801</v>
      </c>
      <c r="AS776" s="1">
        <v>2288370</v>
      </c>
      <c r="AT776" s="3">
        <f t="shared" si="83"/>
        <v>95658603</v>
      </c>
    </row>
    <row r="777" spans="1:46" x14ac:dyDescent="0.2">
      <c r="A777" s="1" t="str">
        <f>"00897"</f>
        <v>00897</v>
      </c>
      <c r="B777" s="1" t="str">
        <f>"اکبر"</f>
        <v>اکبر</v>
      </c>
      <c r="C777" s="1" t="str">
        <f>"بهاروند"</f>
        <v>بهاروند</v>
      </c>
      <c r="D777" s="1" t="str">
        <f t="shared" si="84"/>
        <v>قراردادي بهره بردار</v>
      </c>
      <c r="E777" s="1" t="str">
        <f t="shared" si="85"/>
        <v>پروژه بهره برداري نيروگاه بوشهر</v>
      </c>
      <c r="F777" s="1">
        <v>0</v>
      </c>
      <c r="G777" s="1">
        <v>399836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11745235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1199507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1835427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15180005</v>
      </c>
      <c r="AP777" s="1">
        <v>15180005</v>
      </c>
      <c r="AQ777" s="1">
        <v>0</v>
      </c>
      <c r="AR777" s="1">
        <v>0</v>
      </c>
      <c r="AS777" s="1">
        <v>0</v>
      </c>
      <c r="AT777" s="3">
        <f t="shared" si="83"/>
        <v>15180005</v>
      </c>
    </row>
    <row r="778" spans="1:46" x14ac:dyDescent="0.2">
      <c r="A778" s="1" t="str">
        <f>"00898"</f>
        <v>00898</v>
      </c>
      <c r="B778" s="1" t="str">
        <f>"محمدرضا"</f>
        <v>محمدرضا</v>
      </c>
      <c r="C778" s="1" t="str">
        <f>"آزادمنش"</f>
        <v>آزادمنش</v>
      </c>
      <c r="D778" s="1" t="str">
        <f t="shared" si="84"/>
        <v>قراردادي بهره بردار</v>
      </c>
      <c r="E778" s="1" t="str">
        <f t="shared" si="85"/>
        <v>پروژه بهره برداري نيروگاه بوشهر</v>
      </c>
      <c r="F778" s="1">
        <v>21945879</v>
      </c>
      <c r="G778" s="1">
        <v>3319871</v>
      </c>
      <c r="H778" s="1">
        <v>0</v>
      </c>
      <c r="I778" s="1">
        <v>18562750</v>
      </c>
      <c r="J778" s="1">
        <v>0</v>
      </c>
      <c r="K778" s="1">
        <v>4620000</v>
      </c>
      <c r="L778" s="1">
        <v>0</v>
      </c>
      <c r="M778" s="1">
        <v>1000000</v>
      </c>
      <c r="N778" s="1">
        <v>4373561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14508142</v>
      </c>
      <c r="W778" s="1">
        <v>8200000</v>
      </c>
      <c r="X778" s="1">
        <v>3185691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3828169</v>
      </c>
      <c r="AF778" s="1">
        <v>2472519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17235745</v>
      </c>
      <c r="AM778" s="1">
        <v>0</v>
      </c>
      <c r="AN778" s="1">
        <v>0</v>
      </c>
      <c r="AO778" s="1">
        <v>103252327</v>
      </c>
      <c r="AP778" s="1">
        <v>12854361</v>
      </c>
      <c r="AQ778" s="1">
        <v>90397966</v>
      </c>
      <c r="AR778" s="1">
        <v>20155961</v>
      </c>
      <c r="AS778" s="1">
        <v>3023394</v>
      </c>
      <c r="AT778" s="3">
        <f t="shared" si="83"/>
        <v>126431682</v>
      </c>
    </row>
    <row r="779" spans="1:46" x14ac:dyDescent="0.2">
      <c r="A779" s="1" t="str">
        <f>"00899"</f>
        <v>00899</v>
      </c>
      <c r="B779" s="1" t="str">
        <f>"احمد"</f>
        <v>احمد</v>
      </c>
      <c r="C779" s="1" t="str">
        <f>"هوشمندي"</f>
        <v>هوشمندي</v>
      </c>
      <c r="D779" s="1" t="str">
        <f t="shared" si="84"/>
        <v>قراردادي بهره بردار</v>
      </c>
      <c r="E779" s="1" t="str">
        <f t="shared" si="85"/>
        <v>پروژه بهره برداري نيروگاه بوشهر</v>
      </c>
      <c r="F779" s="1">
        <v>16030094</v>
      </c>
      <c r="G779" s="1">
        <v>6351639</v>
      </c>
      <c r="H779" s="1">
        <v>0</v>
      </c>
      <c r="I779" s="1">
        <v>12622545</v>
      </c>
      <c r="J779" s="1">
        <v>0</v>
      </c>
      <c r="K779" s="1">
        <v>4620000</v>
      </c>
      <c r="L779" s="1">
        <v>0</v>
      </c>
      <c r="M779" s="1">
        <v>1000000</v>
      </c>
      <c r="N779" s="1">
        <v>2987346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14891657</v>
      </c>
      <c r="W779" s="1">
        <v>4000000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2347201</v>
      </c>
      <c r="AF779" s="1">
        <v>1835427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7378529</v>
      </c>
      <c r="AM779" s="1">
        <v>0</v>
      </c>
      <c r="AN779" s="1">
        <v>0</v>
      </c>
      <c r="AO779" s="1">
        <v>74064438</v>
      </c>
      <c r="AP779" s="1">
        <v>28860078</v>
      </c>
      <c r="AQ779" s="1">
        <v>45204360</v>
      </c>
      <c r="AR779" s="1">
        <v>14445802</v>
      </c>
      <c r="AS779" s="1">
        <v>2166870</v>
      </c>
      <c r="AT779" s="3">
        <f t="shared" si="83"/>
        <v>90677110</v>
      </c>
    </row>
    <row r="780" spans="1:46" x14ac:dyDescent="0.2">
      <c r="A780" s="1" t="str">
        <f>"00900"</f>
        <v>00900</v>
      </c>
      <c r="B780" s="1" t="str">
        <f>"اسماعيل"</f>
        <v>اسماعيل</v>
      </c>
      <c r="C780" s="1" t="str">
        <f>"مغانلو رحيمي زاده"</f>
        <v>مغانلو رحيمي زاده</v>
      </c>
      <c r="D780" s="1" t="str">
        <f t="shared" si="84"/>
        <v>قراردادي بهره بردار</v>
      </c>
      <c r="E780" s="1" t="str">
        <f t="shared" si="85"/>
        <v>پروژه بهره برداري نيروگاه بوشهر</v>
      </c>
      <c r="F780" s="1">
        <v>15697551</v>
      </c>
      <c r="G780" s="1">
        <v>6900706</v>
      </c>
      <c r="H780" s="1">
        <v>0</v>
      </c>
      <c r="I780" s="1">
        <v>12210979</v>
      </c>
      <c r="J780" s="1">
        <v>0</v>
      </c>
      <c r="K780" s="1">
        <v>3465000</v>
      </c>
      <c r="L780" s="1">
        <v>0</v>
      </c>
      <c r="M780" s="1">
        <v>1000000</v>
      </c>
      <c r="N780" s="1">
        <v>2870957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14010727</v>
      </c>
      <c r="W780" s="1">
        <v>4000000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2255751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7283401</v>
      </c>
      <c r="AM780" s="1">
        <v>0</v>
      </c>
      <c r="AN780" s="1">
        <v>0</v>
      </c>
      <c r="AO780" s="1">
        <v>69695072</v>
      </c>
      <c r="AP780" s="1">
        <v>21054702</v>
      </c>
      <c r="AQ780" s="1">
        <v>48640370</v>
      </c>
      <c r="AR780" s="1">
        <v>13939014</v>
      </c>
      <c r="AS780" s="1">
        <v>2090852</v>
      </c>
      <c r="AT780" s="3">
        <f t="shared" si="83"/>
        <v>85724938</v>
      </c>
    </row>
    <row r="781" spans="1:46" x14ac:dyDescent="0.2">
      <c r="A781" s="1" t="str">
        <f>"00901"</f>
        <v>00901</v>
      </c>
      <c r="B781" s="1" t="str">
        <f>"پيمان"</f>
        <v>پيمان</v>
      </c>
      <c r="C781" s="1" t="str">
        <f>"بحريني"</f>
        <v>بحريني</v>
      </c>
      <c r="D781" s="1" t="str">
        <f t="shared" si="84"/>
        <v>قراردادي بهره بردار</v>
      </c>
      <c r="E781" s="1" t="str">
        <f t="shared" si="85"/>
        <v>پروژه بهره برداري نيروگاه بوشهر</v>
      </c>
      <c r="F781" s="1">
        <v>17932140</v>
      </c>
      <c r="G781" s="1">
        <v>24575613</v>
      </c>
      <c r="H781" s="1">
        <v>0</v>
      </c>
      <c r="I781" s="1">
        <v>14648274</v>
      </c>
      <c r="J781" s="1">
        <v>0</v>
      </c>
      <c r="K781" s="1">
        <v>4620000</v>
      </c>
      <c r="L781" s="1">
        <v>0</v>
      </c>
      <c r="M781" s="1">
        <v>1000000</v>
      </c>
      <c r="N781" s="1">
        <v>3375313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15693143</v>
      </c>
      <c r="W781" s="1">
        <v>4000000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2652032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7890444</v>
      </c>
      <c r="AM781" s="1">
        <v>0</v>
      </c>
      <c r="AN781" s="1">
        <v>0</v>
      </c>
      <c r="AO781" s="1">
        <v>96386959</v>
      </c>
      <c r="AP781" s="1">
        <v>36073103</v>
      </c>
      <c r="AQ781" s="1">
        <v>60313856</v>
      </c>
      <c r="AR781" s="1">
        <v>19277392</v>
      </c>
      <c r="AS781" s="1">
        <v>2891609</v>
      </c>
      <c r="AT781" s="3">
        <f t="shared" si="83"/>
        <v>118555960</v>
      </c>
    </row>
    <row r="782" spans="1:46" x14ac:dyDescent="0.2">
      <c r="A782" s="1" t="str">
        <f>"00902"</f>
        <v>00902</v>
      </c>
      <c r="B782" s="1" t="str">
        <f>"علي"</f>
        <v>علي</v>
      </c>
      <c r="C782" s="1" t="str">
        <f>"پاژنگ"</f>
        <v>پاژنگ</v>
      </c>
      <c r="D782" s="1" t="str">
        <f t="shared" si="84"/>
        <v>قراردادي بهره بردار</v>
      </c>
      <c r="E782" s="1" t="str">
        <f t="shared" si="85"/>
        <v>پروژه بهره برداري نيروگاه بوشهر</v>
      </c>
      <c r="F782" s="1">
        <v>15987266</v>
      </c>
      <c r="G782" s="1">
        <v>11839166</v>
      </c>
      <c r="H782" s="1">
        <v>0</v>
      </c>
      <c r="I782" s="1">
        <v>12261033</v>
      </c>
      <c r="J782" s="1">
        <v>0</v>
      </c>
      <c r="K782" s="1">
        <v>4620000</v>
      </c>
      <c r="L782" s="1">
        <v>0</v>
      </c>
      <c r="M782" s="1">
        <v>1000000</v>
      </c>
      <c r="N782" s="1">
        <v>2972356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13807636</v>
      </c>
      <c r="W782" s="1">
        <v>4000000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2335423</v>
      </c>
      <c r="AF782" s="1">
        <v>1835427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6758185</v>
      </c>
      <c r="AM782" s="1">
        <v>0</v>
      </c>
      <c r="AN782" s="1">
        <v>0</v>
      </c>
      <c r="AO782" s="1">
        <v>77416492</v>
      </c>
      <c r="AP782" s="1">
        <v>33886345</v>
      </c>
      <c r="AQ782" s="1">
        <v>43530147</v>
      </c>
      <c r="AR782" s="1">
        <v>15116213</v>
      </c>
      <c r="AS782" s="1">
        <v>2267432</v>
      </c>
      <c r="AT782" s="3">
        <f t="shared" si="83"/>
        <v>94800137</v>
      </c>
    </row>
    <row r="783" spans="1:46" x14ac:dyDescent="0.2">
      <c r="A783" s="1" t="str">
        <f>"00903"</f>
        <v>00903</v>
      </c>
      <c r="B783" s="1" t="str">
        <f>"محمدکاظم"</f>
        <v>محمدکاظم</v>
      </c>
      <c r="C783" s="1" t="str">
        <f>"توکلي"</f>
        <v>توکلي</v>
      </c>
      <c r="D783" s="1" t="str">
        <f t="shared" si="84"/>
        <v>قراردادي بهره بردار</v>
      </c>
      <c r="E783" s="1" t="str">
        <f t="shared" si="85"/>
        <v>پروژه بهره برداري نيروگاه بوشهر</v>
      </c>
      <c r="F783" s="1">
        <v>17801138</v>
      </c>
      <c r="G783" s="1">
        <v>4429477</v>
      </c>
      <c r="H783" s="1">
        <v>0</v>
      </c>
      <c r="I783" s="1">
        <v>14687176</v>
      </c>
      <c r="J783" s="1">
        <v>0</v>
      </c>
      <c r="K783" s="1">
        <v>4620000</v>
      </c>
      <c r="L783" s="1">
        <v>0</v>
      </c>
      <c r="M783" s="1">
        <v>1000000</v>
      </c>
      <c r="N783" s="1">
        <v>3329463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11529554</v>
      </c>
      <c r="W783" s="1">
        <v>4000000</v>
      </c>
      <c r="X783" s="1">
        <v>2584036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2616006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12808677</v>
      </c>
      <c r="AM783" s="1">
        <v>0</v>
      </c>
      <c r="AN783" s="1">
        <v>0</v>
      </c>
      <c r="AO783" s="1">
        <v>79405527</v>
      </c>
      <c r="AP783" s="1">
        <v>31559134</v>
      </c>
      <c r="AQ783" s="1">
        <v>47846393</v>
      </c>
      <c r="AR783" s="1">
        <v>15881105</v>
      </c>
      <c r="AS783" s="1">
        <v>2382166</v>
      </c>
      <c r="AT783" s="3">
        <f t="shared" si="83"/>
        <v>97668798</v>
      </c>
    </row>
    <row r="784" spans="1:46" x14ac:dyDescent="0.2">
      <c r="A784" s="1" t="str">
        <f>"00904"</f>
        <v>00904</v>
      </c>
      <c r="B784" s="1" t="str">
        <f>"مهدي"</f>
        <v>مهدي</v>
      </c>
      <c r="C784" s="1" t="str">
        <f>"جمالي"</f>
        <v>جمالي</v>
      </c>
      <c r="D784" s="1" t="str">
        <f t="shared" si="84"/>
        <v>قراردادي بهره بردار</v>
      </c>
      <c r="E784" s="1" t="str">
        <f t="shared" si="85"/>
        <v>پروژه بهره برداري نيروگاه بوشهر</v>
      </c>
      <c r="F784" s="1">
        <v>16123307</v>
      </c>
      <c r="G784" s="1">
        <v>15373337</v>
      </c>
      <c r="H784" s="1">
        <v>0</v>
      </c>
      <c r="I784" s="1">
        <v>12722367</v>
      </c>
      <c r="J784" s="1">
        <v>0</v>
      </c>
      <c r="K784" s="1">
        <v>3465000</v>
      </c>
      <c r="L784" s="1">
        <v>0</v>
      </c>
      <c r="M784" s="1">
        <v>1000000</v>
      </c>
      <c r="N784" s="1">
        <v>3019971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14096041</v>
      </c>
      <c r="W784" s="1">
        <v>4000000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2372834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7527569</v>
      </c>
      <c r="AM784" s="1">
        <v>0</v>
      </c>
      <c r="AN784" s="1">
        <v>0</v>
      </c>
      <c r="AO784" s="1">
        <v>79700426</v>
      </c>
      <c r="AP784" s="1">
        <v>15511617</v>
      </c>
      <c r="AQ784" s="1">
        <v>64188809</v>
      </c>
      <c r="AR784" s="1">
        <v>15940085</v>
      </c>
      <c r="AS784" s="1">
        <v>2391013</v>
      </c>
      <c r="AT784" s="3">
        <f t="shared" si="83"/>
        <v>98031524</v>
      </c>
    </row>
    <row r="785" spans="1:46" x14ac:dyDescent="0.2">
      <c r="A785" s="1" t="str">
        <f>"00905"</f>
        <v>00905</v>
      </c>
      <c r="B785" s="1" t="str">
        <f>"محسن"</f>
        <v>محسن</v>
      </c>
      <c r="C785" s="1" t="str">
        <f>"حياتي"</f>
        <v>حياتي</v>
      </c>
      <c r="D785" s="1" t="str">
        <f t="shared" si="84"/>
        <v>قراردادي بهره بردار</v>
      </c>
      <c r="E785" s="1" t="str">
        <f t="shared" si="85"/>
        <v>پروژه بهره برداري نيروگاه بوشهر</v>
      </c>
      <c r="F785" s="1">
        <v>15818475</v>
      </c>
      <c r="G785" s="1">
        <v>4233001</v>
      </c>
      <c r="H785" s="1">
        <v>0</v>
      </c>
      <c r="I785" s="1">
        <v>12550608</v>
      </c>
      <c r="J785" s="1">
        <v>0</v>
      </c>
      <c r="K785" s="1">
        <v>4620000</v>
      </c>
      <c r="L785" s="1">
        <v>0</v>
      </c>
      <c r="M785" s="1">
        <v>1000000</v>
      </c>
      <c r="N785" s="1">
        <v>2913280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13931878</v>
      </c>
      <c r="W785" s="1">
        <v>4000000</v>
      </c>
      <c r="X785" s="1">
        <v>2296230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2289006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12484427</v>
      </c>
      <c r="AM785" s="1">
        <v>0</v>
      </c>
      <c r="AN785" s="1">
        <v>0</v>
      </c>
      <c r="AO785" s="1">
        <v>76136905</v>
      </c>
      <c r="AP785" s="1">
        <v>21837853</v>
      </c>
      <c r="AQ785" s="1">
        <v>54299052</v>
      </c>
      <c r="AR785" s="1">
        <v>15227381</v>
      </c>
      <c r="AS785" s="1">
        <v>2284107</v>
      </c>
      <c r="AT785" s="3">
        <f t="shared" si="83"/>
        <v>93648393</v>
      </c>
    </row>
    <row r="786" spans="1:46" x14ac:dyDescent="0.2">
      <c r="A786" s="1" t="str">
        <f>"00906"</f>
        <v>00906</v>
      </c>
      <c r="B786" s="1" t="str">
        <f>"حسين"</f>
        <v>حسين</v>
      </c>
      <c r="C786" s="1" t="str">
        <f>"خوهک"</f>
        <v>خوهک</v>
      </c>
      <c r="D786" s="1" t="str">
        <f t="shared" si="84"/>
        <v>قراردادي بهره بردار</v>
      </c>
      <c r="E786" s="1" t="str">
        <f t="shared" si="85"/>
        <v>پروژه بهره برداري نيروگاه بوشهر</v>
      </c>
      <c r="F786" s="1">
        <v>15768090</v>
      </c>
      <c r="G786" s="1">
        <v>4059127</v>
      </c>
      <c r="H786" s="1">
        <v>0</v>
      </c>
      <c r="I786" s="1">
        <v>12339589</v>
      </c>
      <c r="J786" s="1">
        <v>0</v>
      </c>
      <c r="K786" s="1">
        <v>3465000</v>
      </c>
      <c r="L786" s="1">
        <v>0</v>
      </c>
      <c r="M786" s="1">
        <v>1000000</v>
      </c>
      <c r="N786" s="1">
        <v>2895645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18585255</v>
      </c>
      <c r="W786" s="1">
        <v>4000000</v>
      </c>
      <c r="X786" s="1">
        <v>2288916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2275150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12051416</v>
      </c>
      <c r="AM786" s="1">
        <v>0</v>
      </c>
      <c r="AN786" s="1">
        <v>0</v>
      </c>
      <c r="AO786" s="1">
        <v>78728188</v>
      </c>
      <c r="AP786" s="1">
        <v>9432695</v>
      </c>
      <c r="AQ786" s="1">
        <v>69295493</v>
      </c>
      <c r="AR786" s="1">
        <v>15745638</v>
      </c>
      <c r="AS786" s="1">
        <v>2361846</v>
      </c>
      <c r="AT786" s="3">
        <f t="shared" si="83"/>
        <v>96835672</v>
      </c>
    </row>
    <row r="787" spans="1:46" x14ac:dyDescent="0.2">
      <c r="A787" s="1" t="str">
        <f>"00907"</f>
        <v>00907</v>
      </c>
      <c r="B787" s="1" t="str">
        <f>"مقداد"</f>
        <v>مقداد</v>
      </c>
      <c r="C787" s="1" t="str">
        <f>"ديرنه"</f>
        <v>ديرنه</v>
      </c>
      <c r="D787" s="1" t="str">
        <f t="shared" si="84"/>
        <v>قراردادي بهره بردار</v>
      </c>
      <c r="E787" s="1" t="str">
        <f t="shared" si="85"/>
        <v>پروژه بهره برداري نيروگاه بوشهر</v>
      </c>
      <c r="F787" s="1">
        <v>18362935</v>
      </c>
      <c r="G787" s="1">
        <v>21563953</v>
      </c>
      <c r="H787" s="1">
        <v>0</v>
      </c>
      <c r="I787" s="1">
        <v>15655912</v>
      </c>
      <c r="J787" s="1">
        <v>0</v>
      </c>
      <c r="K787" s="1">
        <v>4620000</v>
      </c>
      <c r="L787" s="1">
        <v>0</v>
      </c>
      <c r="M787" s="1">
        <v>1000000</v>
      </c>
      <c r="N787" s="1">
        <v>3526092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14785922</v>
      </c>
      <c r="W787" s="1">
        <v>4000000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2770501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8563643</v>
      </c>
      <c r="AM787" s="1">
        <v>0</v>
      </c>
      <c r="AN787" s="1">
        <v>0</v>
      </c>
      <c r="AO787" s="1">
        <v>94848958</v>
      </c>
      <c r="AP787" s="1">
        <v>35353093</v>
      </c>
      <c r="AQ787" s="1">
        <v>59495865</v>
      </c>
      <c r="AR787" s="1">
        <v>18969792</v>
      </c>
      <c r="AS787" s="1">
        <v>2845469</v>
      </c>
      <c r="AT787" s="3">
        <f t="shared" si="83"/>
        <v>116664219</v>
      </c>
    </row>
    <row r="788" spans="1:46" x14ac:dyDescent="0.2">
      <c r="A788" s="1" t="str">
        <f>"00908"</f>
        <v>00908</v>
      </c>
      <c r="B788" s="1" t="str">
        <f>"حسين"</f>
        <v>حسين</v>
      </c>
      <c r="C788" s="1" t="str">
        <f>"شيخياني"</f>
        <v>شيخياني</v>
      </c>
      <c r="D788" s="1" t="str">
        <f t="shared" si="84"/>
        <v>قراردادي بهره بردار</v>
      </c>
      <c r="E788" s="1" t="str">
        <f t="shared" si="85"/>
        <v>پروژه بهره برداري نيروگاه بوشهر</v>
      </c>
      <c r="F788" s="1">
        <v>14873750</v>
      </c>
      <c r="G788" s="1">
        <v>10744804</v>
      </c>
      <c r="H788" s="1">
        <v>0</v>
      </c>
      <c r="I788" s="1">
        <v>12374785</v>
      </c>
      <c r="J788" s="1">
        <v>0</v>
      </c>
      <c r="K788" s="1">
        <v>4620000</v>
      </c>
      <c r="L788" s="1">
        <v>0</v>
      </c>
      <c r="M788" s="1">
        <v>1000000</v>
      </c>
      <c r="N788" s="1">
        <v>2582627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17710745</v>
      </c>
      <c r="W788" s="1">
        <v>4000000</v>
      </c>
      <c r="X788" s="1">
        <v>2159093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2029206</v>
      </c>
      <c r="AF788" s="1">
        <v>1835427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11336574</v>
      </c>
      <c r="AM788" s="1">
        <v>0</v>
      </c>
      <c r="AN788" s="1">
        <v>0</v>
      </c>
      <c r="AO788" s="1">
        <v>85267011</v>
      </c>
      <c r="AP788" s="1">
        <v>25634765</v>
      </c>
      <c r="AQ788" s="1">
        <v>59632246</v>
      </c>
      <c r="AR788" s="1">
        <v>16686317</v>
      </c>
      <c r="AS788" s="1">
        <v>2502948</v>
      </c>
      <c r="AT788" s="3">
        <f t="shared" si="83"/>
        <v>104456276</v>
      </c>
    </row>
    <row r="789" spans="1:46" x14ac:dyDescent="0.2">
      <c r="A789" s="1" t="str">
        <f>"00909"</f>
        <v>00909</v>
      </c>
      <c r="B789" s="1" t="str">
        <f>"عبدالله"</f>
        <v>عبدالله</v>
      </c>
      <c r="C789" s="1" t="str">
        <f>"عالي پور"</f>
        <v>عالي پور</v>
      </c>
      <c r="D789" s="1" t="str">
        <f t="shared" si="84"/>
        <v>قراردادي بهره بردار</v>
      </c>
      <c r="E789" s="1" t="str">
        <f t="shared" si="85"/>
        <v>پروژه بهره برداري نيروگاه بوشهر</v>
      </c>
      <c r="F789" s="1">
        <v>16304694</v>
      </c>
      <c r="G789" s="1">
        <v>14788438</v>
      </c>
      <c r="H789" s="1">
        <v>0</v>
      </c>
      <c r="I789" s="1">
        <v>14092947</v>
      </c>
      <c r="J789" s="1">
        <v>0</v>
      </c>
      <c r="K789" s="1">
        <v>3465000</v>
      </c>
      <c r="L789" s="1">
        <v>0</v>
      </c>
      <c r="M789" s="1">
        <v>1000000</v>
      </c>
      <c r="N789" s="1">
        <v>3083456</v>
      </c>
      <c r="O789" s="1">
        <v>0</v>
      </c>
      <c r="P789" s="1">
        <v>0</v>
      </c>
      <c r="Q789" s="1">
        <v>0</v>
      </c>
      <c r="R789" s="1">
        <v>2062987</v>
      </c>
      <c r="S789" s="1">
        <v>0</v>
      </c>
      <c r="T789" s="1">
        <v>0</v>
      </c>
      <c r="U789" s="1">
        <v>0</v>
      </c>
      <c r="V789" s="1">
        <v>13087049</v>
      </c>
      <c r="W789" s="1">
        <v>4000000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2422716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9223943</v>
      </c>
      <c r="AM789" s="1">
        <v>0</v>
      </c>
      <c r="AN789" s="1">
        <v>0</v>
      </c>
      <c r="AO789" s="1">
        <v>83531230</v>
      </c>
      <c r="AP789" s="1">
        <v>26769730</v>
      </c>
      <c r="AQ789" s="1">
        <v>56761500</v>
      </c>
      <c r="AR789" s="1">
        <v>16293649</v>
      </c>
      <c r="AS789" s="1">
        <v>2444047</v>
      </c>
      <c r="AT789" s="3">
        <f t="shared" si="83"/>
        <v>102268926</v>
      </c>
    </row>
    <row r="790" spans="1:46" x14ac:dyDescent="0.2">
      <c r="A790" s="1" t="str">
        <f>"00910"</f>
        <v>00910</v>
      </c>
      <c r="B790" s="1" t="str">
        <f>"مهدي"</f>
        <v>مهدي</v>
      </c>
      <c r="C790" s="1" t="str">
        <f>"كسرائي"</f>
        <v>كسرائي</v>
      </c>
      <c r="D790" s="1" t="str">
        <f t="shared" si="84"/>
        <v>قراردادي بهره بردار</v>
      </c>
      <c r="E790" s="1" t="str">
        <f t="shared" si="85"/>
        <v>پروژه بهره برداري نيروگاه بوشهر</v>
      </c>
      <c r="F790" s="1">
        <v>17788542</v>
      </c>
      <c r="G790" s="1">
        <v>3381376</v>
      </c>
      <c r="H790" s="1">
        <v>0</v>
      </c>
      <c r="I790" s="1">
        <v>14020739</v>
      </c>
      <c r="J790" s="1">
        <v>0</v>
      </c>
      <c r="K790" s="1">
        <v>4620000</v>
      </c>
      <c r="L790" s="1">
        <v>0</v>
      </c>
      <c r="M790" s="1">
        <v>1000000</v>
      </c>
      <c r="N790" s="1">
        <v>3325054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16985226</v>
      </c>
      <c r="W790" s="1">
        <v>4000000</v>
      </c>
      <c r="X790" s="1">
        <v>2582208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2612543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13723504</v>
      </c>
      <c r="AM790" s="1">
        <v>0</v>
      </c>
      <c r="AN790" s="1">
        <v>0</v>
      </c>
      <c r="AO790" s="1">
        <v>84039192</v>
      </c>
      <c r="AP790" s="1">
        <v>29084794</v>
      </c>
      <c r="AQ790" s="1">
        <v>54954398</v>
      </c>
      <c r="AR790" s="1">
        <v>16807838</v>
      </c>
      <c r="AS790" s="1">
        <v>2521176</v>
      </c>
      <c r="AT790" s="3">
        <f t="shared" si="83"/>
        <v>103368206</v>
      </c>
    </row>
    <row r="791" spans="1:46" x14ac:dyDescent="0.2">
      <c r="A791" s="1" t="str">
        <f>"00911"</f>
        <v>00911</v>
      </c>
      <c r="B791" s="1" t="str">
        <f>"مصيب"</f>
        <v>مصيب</v>
      </c>
      <c r="C791" s="1" t="str">
        <f>"كشاورز"</f>
        <v>كشاورز</v>
      </c>
      <c r="D791" s="1" t="str">
        <f t="shared" si="84"/>
        <v>قراردادي بهره بردار</v>
      </c>
      <c r="E791" s="1" t="str">
        <f t="shared" si="85"/>
        <v>پروژه بهره برداري نيروگاه بوشهر</v>
      </c>
      <c r="F791" s="1">
        <v>15758013</v>
      </c>
      <c r="G791" s="1">
        <v>4056190</v>
      </c>
      <c r="H791" s="1">
        <v>0</v>
      </c>
      <c r="I791" s="1">
        <v>12328709</v>
      </c>
      <c r="J791" s="1">
        <v>0</v>
      </c>
      <c r="K791" s="1">
        <v>3465000</v>
      </c>
      <c r="L791" s="1">
        <v>0</v>
      </c>
      <c r="M791" s="1">
        <v>1000000</v>
      </c>
      <c r="N791" s="1">
        <v>2892118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18571808</v>
      </c>
      <c r="W791" s="1">
        <v>4000000</v>
      </c>
      <c r="X791" s="1">
        <v>2287454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2272379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12045874</v>
      </c>
      <c r="AM791" s="1">
        <v>0</v>
      </c>
      <c r="AN791" s="1">
        <v>0</v>
      </c>
      <c r="AO791" s="1">
        <v>78677545</v>
      </c>
      <c r="AP791" s="1">
        <v>39477719</v>
      </c>
      <c r="AQ791" s="1">
        <v>39199826</v>
      </c>
      <c r="AR791" s="1">
        <v>15735509</v>
      </c>
      <c r="AS791" s="1">
        <v>2360326</v>
      </c>
      <c r="AT791" s="3">
        <f t="shared" si="83"/>
        <v>96773380</v>
      </c>
    </row>
    <row r="792" spans="1:46" x14ac:dyDescent="0.2">
      <c r="A792" s="1" t="str">
        <f>"00913"</f>
        <v>00913</v>
      </c>
      <c r="B792" s="1" t="str">
        <f>"امير"</f>
        <v>امير</v>
      </c>
      <c r="C792" s="1" t="str">
        <f>"محمدي"</f>
        <v>محمدي</v>
      </c>
      <c r="D792" s="1" t="str">
        <f t="shared" si="84"/>
        <v>قراردادي بهره بردار</v>
      </c>
      <c r="E792" s="1" t="str">
        <f t="shared" si="85"/>
        <v>پروژه بهره برداري نيروگاه بوشهر</v>
      </c>
      <c r="F792" s="1">
        <v>21446517</v>
      </c>
      <c r="G792" s="1">
        <v>6162016</v>
      </c>
      <c r="H792" s="1">
        <v>0</v>
      </c>
      <c r="I792" s="1">
        <v>18635039</v>
      </c>
      <c r="J792" s="1">
        <v>0</v>
      </c>
      <c r="K792" s="1">
        <v>0</v>
      </c>
      <c r="L792" s="1">
        <v>0</v>
      </c>
      <c r="M792" s="1">
        <v>1000000</v>
      </c>
      <c r="N792" s="1">
        <v>3644245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15155504</v>
      </c>
      <c r="W792" s="1">
        <v>4000000</v>
      </c>
      <c r="X792" s="1">
        <v>3113204</v>
      </c>
      <c r="Y792" s="1">
        <v>0</v>
      </c>
      <c r="Z792" s="1">
        <v>0</v>
      </c>
      <c r="AA792" s="1">
        <v>0</v>
      </c>
      <c r="AB792" s="1">
        <v>0</v>
      </c>
      <c r="AC792" s="1">
        <v>4459102</v>
      </c>
      <c r="AD792" s="1">
        <v>0</v>
      </c>
      <c r="AE792" s="1">
        <v>2863336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21120826</v>
      </c>
      <c r="AM792" s="1">
        <v>0</v>
      </c>
      <c r="AN792" s="1">
        <v>0</v>
      </c>
      <c r="AO792" s="1">
        <v>101599789</v>
      </c>
      <c r="AP792" s="1">
        <v>20172425</v>
      </c>
      <c r="AQ792" s="1">
        <v>81427364</v>
      </c>
      <c r="AR792" s="1">
        <v>20319958</v>
      </c>
      <c r="AS792" s="1">
        <v>3047994</v>
      </c>
      <c r="AT792" s="3">
        <f t="shared" si="83"/>
        <v>124967741</v>
      </c>
    </row>
    <row r="793" spans="1:46" x14ac:dyDescent="0.2">
      <c r="A793" s="1" t="str">
        <f>"00914"</f>
        <v>00914</v>
      </c>
      <c r="B793" s="1" t="str">
        <f>"يعقوب"</f>
        <v>يعقوب</v>
      </c>
      <c r="C793" s="1" t="str">
        <f>"پذيرا"</f>
        <v>پذيرا</v>
      </c>
      <c r="D793" s="1" t="str">
        <f>"قراردادي کارگري"</f>
        <v>قراردادي کارگري</v>
      </c>
      <c r="E793" s="1" t="str">
        <f>"پروژه تعميرات نيروگاه بوشهر"</f>
        <v>پروژه تعميرات نيروگاه بوشهر</v>
      </c>
      <c r="F793" s="1">
        <v>0</v>
      </c>
      <c r="G793" s="1">
        <v>1574356</v>
      </c>
      <c r="H793" s="1">
        <v>0</v>
      </c>
      <c r="I793" s="1">
        <v>5150495</v>
      </c>
      <c r="J793" s="1">
        <v>0</v>
      </c>
      <c r="K793" s="1">
        <v>0</v>
      </c>
      <c r="L793" s="1">
        <v>11521166</v>
      </c>
      <c r="M793" s="1">
        <v>2000000</v>
      </c>
      <c r="N793" s="1">
        <v>3986451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2640000</v>
      </c>
      <c r="U793" s="1">
        <v>0</v>
      </c>
      <c r="V793" s="1">
        <v>8952416</v>
      </c>
      <c r="W793" s="1">
        <v>4000000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3670854</v>
      </c>
      <c r="AG793" s="1">
        <v>0</v>
      </c>
      <c r="AH793" s="1">
        <v>0</v>
      </c>
      <c r="AI793" s="1">
        <v>5000000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56069995</v>
      </c>
      <c r="AP793" s="1">
        <v>7561546</v>
      </c>
      <c r="AQ793" s="1">
        <v>48508449</v>
      </c>
      <c r="AR793" s="1">
        <v>9479828</v>
      </c>
      <c r="AS793" s="1">
        <v>1421974</v>
      </c>
      <c r="AT793" s="3">
        <f t="shared" si="83"/>
        <v>66971797</v>
      </c>
    </row>
    <row r="794" spans="1:46" x14ac:dyDescent="0.2">
      <c r="A794" s="1" t="str">
        <f>"00916"</f>
        <v>00916</v>
      </c>
      <c r="B794" s="1" t="str">
        <f>"عبدالرحيم"</f>
        <v>عبدالرحيم</v>
      </c>
      <c r="C794" s="1" t="str">
        <f>"آب يار"</f>
        <v>آب يار</v>
      </c>
      <c r="D794" s="1" t="str">
        <f t="shared" ref="D794:D825" si="86">"قراردادي بهره بردار"</f>
        <v>قراردادي بهره بردار</v>
      </c>
      <c r="E794" s="1" t="str">
        <f t="shared" ref="E794:E825" si="87">"پروژه بهره برداري نيروگاه بوشهر"</f>
        <v>پروژه بهره برداري نيروگاه بوشهر</v>
      </c>
      <c r="F794" s="1">
        <v>16659910</v>
      </c>
      <c r="G794" s="1">
        <v>23184355</v>
      </c>
      <c r="H794" s="1">
        <v>0</v>
      </c>
      <c r="I794" s="1">
        <v>16748397</v>
      </c>
      <c r="J794" s="1">
        <v>0</v>
      </c>
      <c r="K794" s="1">
        <v>4620000</v>
      </c>
      <c r="L794" s="1">
        <v>0</v>
      </c>
      <c r="M794" s="1">
        <v>1000000</v>
      </c>
      <c r="N794" s="1">
        <v>3238643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9678012</v>
      </c>
      <c r="W794" s="1">
        <v>4000000</v>
      </c>
      <c r="X794" s="1">
        <v>2418374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2544648</v>
      </c>
      <c r="AF794" s="1">
        <v>3670854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13121979</v>
      </c>
      <c r="AM794" s="1">
        <v>0</v>
      </c>
      <c r="AN794" s="1">
        <v>0</v>
      </c>
      <c r="AO794" s="1">
        <v>100885172</v>
      </c>
      <c r="AP794" s="1">
        <v>48656653</v>
      </c>
      <c r="AQ794" s="1">
        <v>52228519</v>
      </c>
      <c r="AR794" s="1">
        <v>19442864</v>
      </c>
      <c r="AS794" s="1">
        <v>2916430</v>
      </c>
      <c r="AT794" s="3">
        <f t="shared" si="83"/>
        <v>123244466</v>
      </c>
    </row>
    <row r="795" spans="1:46" x14ac:dyDescent="0.2">
      <c r="A795" s="1" t="str">
        <f>"00917"</f>
        <v>00917</v>
      </c>
      <c r="B795" s="1" t="str">
        <f>"ميثم"</f>
        <v>ميثم</v>
      </c>
      <c r="C795" s="1" t="str">
        <f>"آبائي"</f>
        <v>آبائي</v>
      </c>
      <c r="D795" s="1" t="str">
        <f t="shared" si="86"/>
        <v>قراردادي بهره بردار</v>
      </c>
      <c r="E795" s="1" t="str">
        <f t="shared" si="87"/>
        <v>پروژه بهره برداري نيروگاه بوشهر</v>
      </c>
      <c r="F795" s="1">
        <v>17251938</v>
      </c>
      <c r="G795" s="1">
        <v>21891580</v>
      </c>
      <c r="H795" s="1">
        <v>0</v>
      </c>
      <c r="I795" s="1">
        <v>17552933</v>
      </c>
      <c r="J795" s="1">
        <v>0</v>
      </c>
      <c r="K795" s="1">
        <v>4620000</v>
      </c>
      <c r="L795" s="1">
        <v>0</v>
      </c>
      <c r="M795" s="1">
        <v>1000000</v>
      </c>
      <c r="N795" s="1">
        <v>3445853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10205098</v>
      </c>
      <c r="W795" s="1">
        <v>4000000</v>
      </c>
      <c r="X795" s="1">
        <v>2504314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2707456</v>
      </c>
      <c r="AF795" s="1">
        <v>1835427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13469007</v>
      </c>
      <c r="AM795" s="1">
        <v>0</v>
      </c>
      <c r="AN795" s="1">
        <v>0</v>
      </c>
      <c r="AO795" s="1">
        <v>100483606</v>
      </c>
      <c r="AP795" s="1">
        <v>43075759</v>
      </c>
      <c r="AQ795" s="1">
        <v>57407847</v>
      </c>
      <c r="AR795" s="1">
        <v>19729636</v>
      </c>
      <c r="AS795" s="1">
        <v>2959445</v>
      </c>
      <c r="AT795" s="3">
        <f t="shared" si="83"/>
        <v>123172687</v>
      </c>
    </row>
    <row r="796" spans="1:46" x14ac:dyDescent="0.2">
      <c r="A796" s="1" t="str">
        <f>"00918"</f>
        <v>00918</v>
      </c>
      <c r="B796" s="1" t="str">
        <f>"محمدعلي"</f>
        <v>محمدعلي</v>
      </c>
      <c r="C796" s="1" t="str">
        <f>"آبادي"</f>
        <v>آبادي</v>
      </c>
      <c r="D796" s="1" t="str">
        <f t="shared" si="86"/>
        <v>قراردادي بهره بردار</v>
      </c>
      <c r="E796" s="1" t="str">
        <f t="shared" si="87"/>
        <v>پروژه بهره برداري نيروگاه بوشهر</v>
      </c>
      <c r="F796" s="1">
        <v>17309881</v>
      </c>
      <c r="G796" s="1">
        <v>0</v>
      </c>
      <c r="H796" s="1">
        <v>0</v>
      </c>
      <c r="I796" s="1">
        <v>16585260</v>
      </c>
      <c r="J796" s="1">
        <v>0</v>
      </c>
      <c r="K796" s="1">
        <v>4620000</v>
      </c>
      <c r="L796" s="1">
        <v>0</v>
      </c>
      <c r="M796" s="1">
        <v>1000000</v>
      </c>
      <c r="N796" s="1">
        <v>3466133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9044771</v>
      </c>
      <c r="W796" s="1">
        <v>4000000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2723390</v>
      </c>
      <c r="AF796" s="1">
        <v>1835427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8154111</v>
      </c>
      <c r="AM796" s="1">
        <v>0</v>
      </c>
      <c r="AN796" s="1">
        <v>0</v>
      </c>
      <c r="AO796" s="1">
        <v>68738973</v>
      </c>
      <c r="AP796" s="1">
        <v>31132554</v>
      </c>
      <c r="AQ796" s="1">
        <v>37606419</v>
      </c>
      <c r="AR796" s="1">
        <v>13380709</v>
      </c>
      <c r="AS796" s="1">
        <v>2007106</v>
      </c>
      <c r="AT796" s="3">
        <f t="shared" si="83"/>
        <v>84126788</v>
      </c>
    </row>
    <row r="797" spans="1:46" x14ac:dyDescent="0.2">
      <c r="A797" s="1" t="str">
        <f>"00919"</f>
        <v>00919</v>
      </c>
      <c r="B797" s="1" t="str">
        <f>"اکبر"</f>
        <v>اکبر</v>
      </c>
      <c r="C797" s="1" t="str">
        <f>"آذربخش"</f>
        <v>آذربخش</v>
      </c>
      <c r="D797" s="1" t="str">
        <f t="shared" si="86"/>
        <v>قراردادي بهره بردار</v>
      </c>
      <c r="E797" s="1" t="str">
        <f t="shared" si="87"/>
        <v>پروژه بهره برداري نيروگاه بوشهر</v>
      </c>
      <c r="F797" s="1">
        <v>15307064</v>
      </c>
      <c r="G797" s="1">
        <v>18888559</v>
      </c>
      <c r="H797" s="1">
        <v>0</v>
      </c>
      <c r="I797" s="1">
        <v>14655280</v>
      </c>
      <c r="J797" s="1">
        <v>0</v>
      </c>
      <c r="K797" s="1">
        <v>4620000</v>
      </c>
      <c r="L797" s="1">
        <v>0</v>
      </c>
      <c r="M797" s="1">
        <v>1000000</v>
      </c>
      <c r="N797" s="1">
        <v>2765147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8706119</v>
      </c>
      <c r="W797" s="1">
        <v>4000000</v>
      </c>
      <c r="X797" s="1">
        <v>2221993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2172615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12159996</v>
      </c>
      <c r="AM797" s="1">
        <v>0</v>
      </c>
      <c r="AN797" s="1">
        <v>0</v>
      </c>
      <c r="AO797" s="1">
        <v>86496773</v>
      </c>
      <c r="AP797" s="1">
        <v>40455080</v>
      </c>
      <c r="AQ797" s="1">
        <v>46041693</v>
      </c>
      <c r="AR797" s="1">
        <v>17299355</v>
      </c>
      <c r="AS797" s="1">
        <v>2594903</v>
      </c>
      <c r="AT797" s="3">
        <f t="shared" si="83"/>
        <v>106391031</v>
      </c>
    </row>
    <row r="798" spans="1:46" x14ac:dyDescent="0.2">
      <c r="A798" s="1" t="str">
        <f>"00920"</f>
        <v>00920</v>
      </c>
      <c r="B798" s="1" t="str">
        <f>"احمد"</f>
        <v>احمد</v>
      </c>
      <c r="C798" s="1" t="str">
        <f>"اسماعيلي"</f>
        <v>اسماعيلي</v>
      </c>
      <c r="D798" s="1" t="str">
        <f t="shared" si="86"/>
        <v>قراردادي بهره بردار</v>
      </c>
      <c r="E798" s="1" t="str">
        <f t="shared" si="87"/>
        <v>پروژه بهره برداري نيروگاه بوشهر</v>
      </c>
      <c r="F798" s="1">
        <v>17478672</v>
      </c>
      <c r="G798" s="1">
        <v>22320453</v>
      </c>
      <c r="H798" s="1">
        <v>0</v>
      </c>
      <c r="I798" s="1">
        <v>18170072</v>
      </c>
      <c r="J798" s="1">
        <v>0</v>
      </c>
      <c r="K798" s="1">
        <v>3465000</v>
      </c>
      <c r="L798" s="1">
        <v>0</v>
      </c>
      <c r="M798" s="1">
        <v>1000000</v>
      </c>
      <c r="N798" s="1">
        <v>3525209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10287948</v>
      </c>
      <c r="W798" s="1">
        <v>4000000</v>
      </c>
      <c r="X798" s="1">
        <v>2537227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2769808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13666770</v>
      </c>
      <c r="AM798" s="1">
        <v>0</v>
      </c>
      <c r="AN798" s="1">
        <v>0</v>
      </c>
      <c r="AO798" s="1">
        <v>99221159</v>
      </c>
      <c r="AP798" s="1">
        <v>18686628</v>
      </c>
      <c r="AQ798" s="1">
        <v>80534531</v>
      </c>
      <c r="AR798" s="1">
        <v>19844232</v>
      </c>
      <c r="AS798" s="1">
        <v>2976635</v>
      </c>
      <c r="AT798" s="3">
        <f t="shared" si="83"/>
        <v>122042026</v>
      </c>
    </row>
    <row r="799" spans="1:46" x14ac:dyDescent="0.2">
      <c r="A799" s="1" t="str">
        <f>"00921"</f>
        <v>00921</v>
      </c>
      <c r="B799" s="1" t="str">
        <f>"حسين"</f>
        <v>حسين</v>
      </c>
      <c r="C799" s="1" t="str">
        <f>"اسماعيلي فرد"</f>
        <v>اسماعيلي فرد</v>
      </c>
      <c r="D799" s="1" t="str">
        <f t="shared" si="86"/>
        <v>قراردادي بهره بردار</v>
      </c>
      <c r="E799" s="1" t="str">
        <f t="shared" si="87"/>
        <v>پروژه بهره برداري نيروگاه بوشهر</v>
      </c>
      <c r="F799" s="1">
        <v>32029956</v>
      </c>
      <c r="G799" s="1">
        <v>0</v>
      </c>
      <c r="H799" s="1">
        <v>0</v>
      </c>
      <c r="I799" s="1">
        <v>28121925</v>
      </c>
      <c r="J799" s="1">
        <v>0</v>
      </c>
      <c r="K799" s="1">
        <v>0</v>
      </c>
      <c r="L799" s="1">
        <v>0</v>
      </c>
      <c r="M799" s="1">
        <v>1000000</v>
      </c>
      <c r="N799" s="1">
        <v>5027701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19149911</v>
      </c>
      <c r="W799" s="1">
        <v>4000000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3950336</v>
      </c>
      <c r="AF799" s="1">
        <v>3670854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7469727</v>
      </c>
      <c r="AM799" s="1">
        <v>0</v>
      </c>
      <c r="AN799" s="1">
        <v>0</v>
      </c>
      <c r="AO799" s="1">
        <v>104420410</v>
      </c>
      <c r="AP799" s="1">
        <v>45470262</v>
      </c>
      <c r="AQ799" s="1">
        <v>58950148</v>
      </c>
      <c r="AR799" s="1">
        <v>20149911</v>
      </c>
      <c r="AS799" s="1">
        <v>3022487</v>
      </c>
      <c r="AT799" s="3">
        <f t="shared" si="83"/>
        <v>127592808</v>
      </c>
    </row>
    <row r="800" spans="1:46" x14ac:dyDescent="0.2">
      <c r="A800" s="1" t="str">
        <f>"00922"</f>
        <v>00922</v>
      </c>
      <c r="B800" s="1" t="str">
        <f>"رضا"</f>
        <v>رضا</v>
      </c>
      <c r="C800" s="1" t="str">
        <f>"اسماعيلي نژاد"</f>
        <v>اسماعيلي نژاد</v>
      </c>
      <c r="D800" s="1" t="str">
        <f t="shared" si="86"/>
        <v>قراردادي بهره بردار</v>
      </c>
      <c r="E800" s="1" t="str">
        <f t="shared" si="87"/>
        <v>پروژه بهره برداري نيروگاه بوشهر</v>
      </c>
      <c r="F800" s="1">
        <v>33093087</v>
      </c>
      <c r="G800" s="1">
        <v>23536769</v>
      </c>
      <c r="H800" s="1">
        <v>0</v>
      </c>
      <c r="I800" s="1">
        <v>31967473</v>
      </c>
      <c r="J800" s="1">
        <v>0</v>
      </c>
      <c r="K800" s="1">
        <v>0</v>
      </c>
      <c r="L800" s="1">
        <v>0</v>
      </c>
      <c r="M800" s="1">
        <v>1000000</v>
      </c>
      <c r="N800" s="1">
        <v>5399796</v>
      </c>
      <c r="O800" s="1">
        <v>0</v>
      </c>
      <c r="P800" s="1">
        <v>0</v>
      </c>
      <c r="Q800" s="1">
        <v>0</v>
      </c>
      <c r="R800" s="1">
        <v>38690</v>
      </c>
      <c r="S800" s="1">
        <v>0</v>
      </c>
      <c r="T800" s="1">
        <v>0</v>
      </c>
      <c r="U800" s="1">
        <v>0</v>
      </c>
      <c r="V800" s="1">
        <v>21508658</v>
      </c>
      <c r="W800" s="1">
        <v>4000000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4242697</v>
      </c>
      <c r="AF800" s="1">
        <v>1835427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8022554</v>
      </c>
      <c r="AM800" s="1">
        <v>0</v>
      </c>
      <c r="AN800" s="1">
        <v>0</v>
      </c>
      <c r="AO800" s="1">
        <v>134645151</v>
      </c>
      <c r="AP800" s="1">
        <v>54119512</v>
      </c>
      <c r="AQ800" s="1">
        <v>80525639</v>
      </c>
      <c r="AR800" s="1">
        <v>26552511</v>
      </c>
      <c r="AS800" s="1">
        <v>3982877</v>
      </c>
      <c r="AT800" s="3">
        <f t="shared" si="83"/>
        <v>165180539</v>
      </c>
    </row>
    <row r="801" spans="1:46" x14ac:dyDescent="0.2">
      <c r="A801" s="1" t="str">
        <f>"00923"</f>
        <v>00923</v>
      </c>
      <c r="B801" s="1" t="str">
        <f>"قاسم"</f>
        <v>قاسم</v>
      </c>
      <c r="C801" s="1" t="str">
        <f>"اکراميان"</f>
        <v>اکراميان</v>
      </c>
      <c r="D801" s="1" t="str">
        <f t="shared" si="86"/>
        <v>قراردادي بهره بردار</v>
      </c>
      <c r="E801" s="1" t="str">
        <f t="shared" si="87"/>
        <v>پروژه بهره برداري نيروگاه بوشهر</v>
      </c>
      <c r="F801" s="1">
        <v>25867283</v>
      </c>
      <c r="G801" s="1">
        <v>39180020</v>
      </c>
      <c r="H801" s="1">
        <v>0</v>
      </c>
      <c r="I801" s="1">
        <v>29515934</v>
      </c>
      <c r="J801" s="1">
        <v>0</v>
      </c>
      <c r="K801" s="1">
        <v>4620000</v>
      </c>
      <c r="L801" s="1">
        <v>0</v>
      </c>
      <c r="M801" s="1">
        <v>1000000</v>
      </c>
      <c r="N801" s="1">
        <v>5284670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17284419</v>
      </c>
      <c r="W801" s="1">
        <v>8200000</v>
      </c>
      <c r="X801" s="1">
        <v>3754929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4640321</v>
      </c>
      <c r="AF801" s="1">
        <v>2472519</v>
      </c>
      <c r="AG801" s="1">
        <v>5396507</v>
      </c>
      <c r="AH801" s="1">
        <v>0</v>
      </c>
      <c r="AI801" s="1">
        <v>0</v>
      </c>
      <c r="AJ801" s="1">
        <v>0</v>
      </c>
      <c r="AK801" s="1">
        <v>0</v>
      </c>
      <c r="AL801" s="1">
        <v>19084481</v>
      </c>
      <c r="AM801" s="1">
        <v>0</v>
      </c>
      <c r="AN801" s="1">
        <v>0</v>
      </c>
      <c r="AO801" s="1">
        <v>166301083</v>
      </c>
      <c r="AP801" s="1">
        <v>66699822</v>
      </c>
      <c r="AQ801" s="1">
        <v>99601261</v>
      </c>
      <c r="AR801" s="1">
        <v>32765712</v>
      </c>
      <c r="AS801" s="1">
        <v>4914857</v>
      </c>
      <c r="AT801" s="3">
        <f t="shared" si="83"/>
        <v>203981652</v>
      </c>
    </row>
    <row r="802" spans="1:46" x14ac:dyDescent="0.2">
      <c r="A802" s="1" t="str">
        <f>"00924"</f>
        <v>00924</v>
      </c>
      <c r="B802" s="1" t="str">
        <f>"بهنام"</f>
        <v>بهنام</v>
      </c>
      <c r="C802" s="1" t="str">
        <f>"اميني"</f>
        <v>اميني</v>
      </c>
      <c r="D802" s="1" t="str">
        <f t="shared" si="86"/>
        <v>قراردادي بهره بردار</v>
      </c>
      <c r="E802" s="1" t="str">
        <f t="shared" si="87"/>
        <v>پروژه بهره برداري نيروگاه بوشهر</v>
      </c>
      <c r="F802" s="1">
        <v>18113527</v>
      </c>
      <c r="G802" s="1">
        <v>25947599</v>
      </c>
      <c r="H802" s="1">
        <v>0</v>
      </c>
      <c r="I802" s="1">
        <v>19868757</v>
      </c>
      <c r="J802" s="1">
        <v>0</v>
      </c>
      <c r="K802" s="1">
        <v>4620000</v>
      </c>
      <c r="L802" s="1">
        <v>0</v>
      </c>
      <c r="M802" s="1">
        <v>1000000</v>
      </c>
      <c r="N802" s="1">
        <v>3747409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10707711</v>
      </c>
      <c r="W802" s="1">
        <v>4000000</v>
      </c>
      <c r="X802" s="1">
        <v>2629383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2944393</v>
      </c>
      <c r="AF802" s="1">
        <v>7341708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13998305</v>
      </c>
      <c r="AM802" s="1">
        <v>0</v>
      </c>
      <c r="AN802" s="1">
        <v>0</v>
      </c>
      <c r="AO802" s="1">
        <v>114918792</v>
      </c>
      <c r="AP802" s="1">
        <v>42991976</v>
      </c>
      <c r="AQ802" s="1">
        <v>71926816</v>
      </c>
      <c r="AR802" s="1">
        <v>21515417</v>
      </c>
      <c r="AS802" s="1">
        <v>3227313</v>
      </c>
      <c r="AT802" s="3">
        <f t="shared" si="83"/>
        <v>139661522</v>
      </c>
    </row>
    <row r="803" spans="1:46" x14ac:dyDescent="0.2">
      <c r="A803" s="1" t="str">
        <f>"00925"</f>
        <v>00925</v>
      </c>
      <c r="B803" s="1" t="str">
        <f>"سياوش"</f>
        <v>سياوش</v>
      </c>
      <c r="C803" s="1" t="str">
        <f>"ايرانپور"</f>
        <v>ايرانپور</v>
      </c>
      <c r="D803" s="1" t="str">
        <f t="shared" si="86"/>
        <v>قراردادي بهره بردار</v>
      </c>
      <c r="E803" s="1" t="str">
        <f t="shared" si="87"/>
        <v>پروژه بهره برداري نيروگاه بوشهر</v>
      </c>
      <c r="F803" s="1">
        <v>30664514</v>
      </c>
      <c r="G803" s="1">
        <v>47741428</v>
      </c>
      <c r="H803" s="1">
        <v>0</v>
      </c>
      <c r="I803" s="1">
        <v>31177588</v>
      </c>
      <c r="J803" s="1">
        <v>0</v>
      </c>
      <c r="K803" s="1">
        <v>5500000</v>
      </c>
      <c r="L803" s="1">
        <v>0</v>
      </c>
      <c r="M803" s="1">
        <v>1000000</v>
      </c>
      <c r="N803" s="1">
        <v>4549796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17615286</v>
      </c>
      <c r="W803" s="1">
        <v>4000000</v>
      </c>
      <c r="X803" s="1">
        <v>4451300</v>
      </c>
      <c r="Y803" s="1">
        <v>0</v>
      </c>
      <c r="Z803" s="1">
        <v>0</v>
      </c>
      <c r="AA803" s="1">
        <v>0</v>
      </c>
      <c r="AB803" s="1">
        <v>0</v>
      </c>
      <c r="AC803" s="1">
        <v>3892267</v>
      </c>
      <c r="AD803" s="1">
        <v>0</v>
      </c>
      <c r="AE803" s="1">
        <v>3574839</v>
      </c>
      <c r="AF803" s="1">
        <v>1835427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17648975</v>
      </c>
      <c r="AM803" s="1">
        <v>0</v>
      </c>
      <c r="AN803" s="1">
        <v>0</v>
      </c>
      <c r="AO803" s="1">
        <v>173651420</v>
      </c>
      <c r="AP803" s="1">
        <v>61595617</v>
      </c>
      <c r="AQ803" s="1">
        <v>112055803</v>
      </c>
      <c r="AR803" s="1">
        <v>26552511</v>
      </c>
      <c r="AS803" s="1">
        <v>3982877</v>
      </c>
      <c r="AT803" s="3">
        <f t="shared" si="83"/>
        <v>204186808</v>
      </c>
    </row>
    <row r="804" spans="1:46" x14ac:dyDescent="0.2">
      <c r="A804" s="1" t="str">
        <f>"00926"</f>
        <v>00926</v>
      </c>
      <c r="B804" s="1" t="str">
        <f>"حسين"</f>
        <v>حسين</v>
      </c>
      <c r="C804" s="1" t="str">
        <f>"بادسار"</f>
        <v>بادسار</v>
      </c>
      <c r="D804" s="1" t="str">
        <f t="shared" si="86"/>
        <v>قراردادي بهره بردار</v>
      </c>
      <c r="E804" s="1" t="str">
        <f t="shared" si="87"/>
        <v>پروژه بهره برداري نيروگاه بوشهر</v>
      </c>
      <c r="F804" s="1">
        <v>16891683</v>
      </c>
      <c r="G804" s="1">
        <v>21244019</v>
      </c>
      <c r="H804" s="1">
        <v>0</v>
      </c>
      <c r="I804" s="1">
        <v>16463486</v>
      </c>
      <c r="J804" s="1">
        <v>0</v>
      </c>
      <c r="K804" s="1">
        <v>4620000</v>
      </c>
      <c r="L804" s="1">
        <v>0</v>
      </c>
      <c r="M804" s="1">
        <v>1000000</v>
      </c>
      <c r="N804" s="1">
        <v>3319764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10124683</v>
      </c>
      <c r="W804" s="1">
        <v>4000000</v>
      </c>
      <c r="X804" s="1">
        <v>2452019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2608385</v>
      </c>
      <c r="AF804" s="1">
        <v>5506281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13312435</v>
      </c>
      <c r="AM804" s="1">
        <v>0</v>
      </c>
      <c r="AN804" s="1">
        <v>0</v>
      </c>
      <c r="AO804" s="1">
        <v>101542755</v>
      </c>
      <c r="AP804" s="1">
        <v>15820827</v>
      </c>
      <c r="AQ804" s="1">
        <v>85721928</v>
      </c>
      <c r="AR804" s="1">
        <v>19207295</v>
      </c>
      <c r="AS804" s="1">
        <v>2881094</v>
      </c>
      <c r="AT804" s="3">
        <f t="shared" si="83"/>
        <v>123631144</v>
      </c>
    </row>
    <row r="805" spans="1:46" x14ac:dyDescent="0.2">
      <c r="A805" s="1" t="str">
        <f>"00927"</f>
        <v>00927</v>
      </c>
      <c r="B805" s="1" t="str">
        <f>"محمدمهدي"</f>
        <v>محمدمهدي</v>
      </c>
      <c r="C805" s="1" t="str">
        <f>"باروني"</f>
        <v>باروني</v>
      </c>
      <c r="D805" s="1" t="str">
        <f t="shared" si="86"/>
        <v>قراردادي بهره بردار</v>
      </c>
      <c r="E805" s="1" t="str">
        <f t="shared" si="87"/>
        <v>پروژه بهره برداري نيروگاه بوشهر</v>
      </c>
      <c r="F805" s="1">
        <v>15818475</v>
      </c>
      <c r="G805" s="1">
        <v>28495971</v>
      </c>
      <c r="H805" s="1">
        <v>0</v>
      </c>
      <c r="I805" s="1">
        <v>16704693</v>
      </c>
      <c r="J805" s="1">
        <v>0</v>
      </c>
      <c r="K805" s="1">
        <v>0</v>
      </c>
      <c r="L805" s="1">
        <v>0</v>
      </c>
      <c r="M805" s="1">
        <v>1000000</v>
      </c>
      <c r="N805" s="1">
        <v>2944141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9552269</v>
      </c>
      <c r="W805" s="1">
        <v>4000000</v>
      </c>
      <c r="X805" s="1">
        <v>2296230</v>
      </c>
      <c r="Y805" s="1">
        <v>0</v>
      </c>
      <c r="Z805" s="1">
        <v>0</v>
      </c>
      <c r="AA805" s="1">
        <v>0</v>
      </c>
      <c r="AB805" s="1">
        <v>0</v>
      </c>
      <c r="AC805" s="1">
        <v>1531714</v>
      </c>
      <c r="AD805" s="1">
        <v>0</v>
      </c>
      <c r="AE805" s="1">
        <v>2313254</v>
      </c>
      <c r="AF805" s="1">
        <v>3670854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12321607</v>
      </c>
      <c r="AM805" s="1">
        <v>0</v>
      </c>
      <c r="AN805" s="1">
        <v>0</v>
      </c>
      <c r="AO805" s="1">
        <v>100649208</v>
      </c>
      <c r="AP805" s="1">
        <v>42956063</v>
      </c>
      <c r="AQ805" s="1">
        <v>57693145</v>
      </c>
      <c r="AR805" s="1">
        <v>19395671</v>
      </c>
      <c r="AS805" s="1">
        <v>2909351</v>
      </c>
      <c r="AT805" s="3">
        <f t="shared" si="83"/>
        <v>122954230</v>
      </c>
    </row>
    <row r="806" spans="1:46" x14ac:dyDescent="0.2">
      <c r="A806" s="1" t="str">
        <f>"00928"</f>
        <v>00928</v>
      </c>
      <c r="B806" s="1" t="str">
        <f>"احد"</f>
        <v>احد</v>
      </c>
      <c r="C806" s="1" t="str">
        <f>"باصري"</f>
        <v>باصري</v>
      </c>
      <c r="D806" s="1" t="str">
        <f t="shared" si="86"/>
        <v>قراردادي بهره بردار</v>
      </c>
      <c r="E806" s="1" t="str">
        <f t="shared" si="87"/>
        <v>پروژه بهره برداري نيروگاه بوشهر</v>
      </c>
      <c r="F806" s="1">
        <v>32029956</v>
      </c>
      <c r="G806" s="1">
        <v>9790659</v>
      </c>
      <c r="H806" s="1">
        <v>0</v>
      </c>
      <c r="I806" s="1">
        <v>30105573</v>
      </c>
      <c r="J806" s="1">
        <v>0</v>
      </c>
      <c r="K806" s="1">
        <v>0</v>
      </c>
      <c r="L806" s="1">
        <v>0</v>
      </c>
      <c r="M806" s="1">
        <v>1000000</v>
      </c>
      <c r="N806" s="1">
        <v>5027701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20450330</v>
      </c>
      <c r="W806" s="1">
        <v>4000000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3950336</v>
      </c>
      <c r="AF806" s="1">
        <v>3670854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7541551</v>
      </c>
      <c r="AM806" s="1">
        <v>0</v>
      </c>
      <c r="AN806" s="1">
        <v>0</v>
      </c>
      <c r="AO806" s="1">
        <v>117566960</v>
      </c>
      <c r="AP806" s="1">
        <v>39626381</v>
      </c>
      <c r="AQ806" s="1">
        <v>77940579</v>
      </c>
      <c r="AR806" s="1">
        <v>22779221</v>
      </c>
      <c r="AS806" s="1">
        <v>3416883</v>
      </c>
      <c r="AT806" s="3">
        <f t="shared" si="83"/>
        <v>143763064</v>
      </c>
    </row>
    <row r="807" spans="1:46" x14ac:dyDescent="0.2">
      <c r="A807" s="1" t="str">
        <f>"00929"</f>
        <v>00929</v>
      </c>
      <c r="B807" s="1" t="str">
        <f>"علي اصغر"</f>
        <v>علي اصغر</v>
      </c>
      <c r="C807" s="1" t="str">
        <f>"بوستان"</f>
        <v>بوستان</v>
      </c>
      <c r="D807" s="1" t="str">
        <f t="shared" si="86"/>
        <v>قراردادي بهره بردار</v>
      </c>
      <c r="E807" s="1" t="str">
        <f t="shared" si="87"/>
        <v>پروژه بهره برداري نيروگاه بوشهر</v>
      </c>
      <c r="F807" s="1">
        <v>23840696</v>
      </c>
      <c r="G807" s="1">
        <v>39286431</v>
      </c>
      <c r="H807" s="1">
        <v>0</v>
      </c>
      <c r="I807" s="1">
        <v>24343940</v>
      </c>
      <c r="J807" s="1">
        <v>0</v>
      </c>
      <c r="K807" s="1">
        <v>4620000</v>
      </c>
      <c r="L807" s="1">
        <v>0</v>
      </c>
      <c r="M807" s="1">
        <v>1000000</v>
      </c>
      <c r="N807" s="1">
        <v>4575366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17295477</v>
      </c>
      <c r="W807" s="1">
        <v>8200000</v>
      </c>
      <c r="X807" s="1">
        <v>3460746</v>
      </c>
      <c r="Y807" s="1">
        <v>0</v>
      </c>
      <c r="Z807" s="1">
        <v>10969097</v>
      </c>
      <c r="AA807" s="1">
        <v>0</v>
      </c>
      <c r="AB807" s="1">
        <v>0</v>
      </c>
      <c r="AC807" s="1">
        <v>0</v>
      </c>
      <c r="AD807" s="1">
        <v>0</v>
      </c>
      <c r="AE807" s="1">
        <v>4013127</v>
      </c>
      <c r="AF807" s="1">
        <v>9890076</v>
      </c>
      <c r="AG807" s="1">
        <v>23797110</v>
      </c>
      <c r="AH807" s="1">
        <v>0</v>
      </c>
      <c r="AI807" s="1">
        <v>0</v>
      </c>
      <c r="AJ807" s="1">
        <v>0</v>
      </c>
      <c r="AK807" s="1">
        <v>0</v>
      </c>
      <c r="AL807" s="1">
        <v>16956564</v>
      </c>
      <c r="AM807" s="1">
        <v>0</v>
      </c>
      <c r="AN807" s="1">
        <v>0</v>
      </c>
      <c r="AO807" s="1">
        <v>192248630</v>
      </c>
      <c r="AP807" s="1">
        <v>50523896</v>
      </c>
      <c r="AQ807" s="1">
        <v>141724734</v>
      </c>
      <c r="AR807" s="1">
        <v>31340275</v>
      </c>
      <c r="AS807" s="1">
        <v>4701042</v>
      </c>
      <c r="AT807" s="3">
        <f t="shared" si="83"/>
        <v>228289947</v>
      </c>
    </row>
    <row r="808" spans="1:46" x14ac:dyDescent="0.2">
      <c r="A808" s="1" t="str">
        <f>"00930"</f>
        <v>00930</v>
      </c>
      <c r="B808" s="1" t="str">
        <f>"فيض اله"</f>
        <v>فيض اله</v>
      </c>
      <c r="C808" s="1" t="str">
        <f>"بهي مقدم"</f>
        <v>بهي مقدم</v>
      </c>
      <c r="D808" s="1" t="str">
        <f t="shared" si="86"/>
        <v>قراردادي بهره بردار</v>
      </c>
      <c r="E808" s="1" t="str">
        <f t="shared" si="87"/>
        <v>پروژه بهره برداري نيروگاه بوشهر</v>
      </c>
      <c r="F808" s="1">
        <v>16052767</v>
      </c>
      <c r="G808" s="1">
        <v>22174044</v>
      </c>
      <c r="H808" s="1">
        <v>0</v>
      </c>
      <c r="I808" s="1">
        <v>16205889</v>
      </c>
      <c r="J808" s="1">
        <v>0</v>
      </c>
      <c r="K808" s="1">
        <v>4620000</v>
      </c>
      <c r="L808" s="1">
        <v>0</v>
      </c>
      <c r="M808" s="1">
        <v>1000000</v>
      </c>
      <c r="N808" s="1">
        <v>3026144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9648545</v>
      </c>
      <c r="W808" s="1">
        <v>4000000</v>
      </c>
      <c r="X808" s="1">
        <v>2330240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2377683</v>
      </c>
      <c r="AF808" s="1">
        <v>5506281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13119333</v>
      </c>
      <c r="AM808" s="1">
        <v>0</v>
      </c>
      <c r="AN808" s="1">
        <v>0</v>
      </c>
      <c r="AO808" s="1">
        <v>100060926</v>
      </c>
      <c r="AP808" s="1">
        <v>28469146</v>
      </c>
      <c r="AQ808" s="1">
        <v>71591780</v>
      </c>
      <c r="AR808" s="1">
        <v>18910929</v>
      </c>
      <c r="AS808" s="1">
        <v>2836639</v>
      </c>
      <c r="AT808" s="3">
        <f t="shared" si="83"/>
        <v>121808494</v>
      </c>
    </row>
    <row r="809" spans="1:46" x14ac:dyDescent="0.2">
      <c r="A809" s="1" t="str">
        <f>"00931"</f>
        <v>00931</v>
      </c>
      <c r="B809" s="1" t="str">
        <f>"محمدجواد"</f>
        <v>محمدجواد</v>
      </c>
      <c r="C809" s="1" t="str">
        <f>"پرهيزکار"</f>
        <v>پرهيزکار</v>
      </c>
      <c r="D809" s="1" t="str">
        <f t="shared" si="86"/>
        <v>قراردادي بهره بردار</v>
      </c>
      <c r="E809" s="1" t="str">
        <f t="shared" si="87"/>
        <v>پروژه بهره برداري نيروگاه بوشهر</v>
      </c>
      <c r="F809" s="1">
        <v>32380134</v>
      </c>
      <c r="G809" s="1">
        <v>7653804</v>
      </c>
      <c r="H809" s="1">
        <v>0</v>
      </c>
      <c r="I809" s="1">
        <v>29581456</v>
      </c>
      <c r="J809" s="1">
        <v>0</v>
      </c>
      <c r="K809" s="1">
        <v>0</v>
      </c>
      <c r="L809" s="1">
        <v>0</v>
      </c>
      <c r="M809" s="1">
        <v>1000000</v>
      </c>
      <c r="N809" s="1">
        <v>5150263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19720970</v>
      </c>
      <c r="W809" s="1">
        <v>4000000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4046635</v>
      </c>
      <c r="AF809" s="1">
        <v>1835427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7725394</v>
      </c>
      <c r="AM809" s="1">
        <v>0</v>
      </c>
      <c r="AN809" s="1">
        <v>0</v>
      </c>
      <c r="AO809" s="1">
        <v>113094083</v>
      </c>
      <c r="AP809" s="1">
        <v>30877661</v>
      </c>
      <c r="AQ809" s="1">
        <v>82216422</v>
      </c>
      <c r="AR809" s="1">
        <v>22251731</v>
      </c>
      <c r="AS809" s="1">
        <v>3337760</v>
      </c>
      <c r="AT809" s="3">
        <f t="shared" si="83"/>
        <v>138683574</v>
      </c>
    </row>
    <row r="810" spans="1:46" x14ac:dyDescent="0.2">
      <c r="A810" s="1" t="str">
        <f>"00932"</f>
        <v>00932</v>
      </c>
      <c r="B810" s="1" t="str">
        <f>"مختار"</f>
        <v>مختار</v>
      </c>
      <c r="C810" s="1" t="str">
        <f>"جعفري"</f>
        <v>جعفري</v>
      </c>
      <c r="D810" s="1" t="str">
        <f t="shared" si="86"/>
        <v>قراردادي بهره بردار</v>
      </c>
      <c r="E810" s="1" t="str">
        <f t="shared" si="87"/>
        <v>پروژه بهره برداري نيروگاه بوشهر</v>
      </c>
      <c r="F810" s="1">
        <v>16448292</v>
      </c>
      <c r="G810" s="1">
        <v>27001287</v>
      </c>
      <c r="H810" s="1">
        <v>0</v>
      </c>
      <c r="I810" s="1">
        <v>16173112</v>
      </c>
      <c r="J810" s="1">
        <v>0</v>
      </c>
      <c r="K810" s="1">
        <v>4620000</v>
      </c>
      <c r="L810" s="1">
        <v>0</v>
      </c>
      <c r="M810" s="1">
        <v>1000000</v>
      </c>
      <c r="N810" s="1">
        <v>3164577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9482240</v>
      </c>
      <c r="W810" s="1">
        <v>4000000</v>
      </c>
      <c r="X810" s="1">
        <v>2387655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2486453</v>
      </c>
      <c r="AF810" s="1">
        <v>1835427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12982915</v>
      </c>
      <c r="AM810" s="1">
        <v>0</v>
      </c>
      <c r="AN810" s="1">
        <v>0</v>
      </c>
      <c r="AO810" s="1">
        <v>101581958</v>
      </c>
      <c r="AP810" s="1">
        <v>30260921</v>
      </c>
      <c r="AQ810" s="1">
        <v>71321037</v>
      </c>
      <c r="AR810" s="1">
        <v>19949306</v>
      </c>
      <c r="AS810" s="1">
        <v>2992396</v>
      </c>
      <c r="AT810" s="3">
        <f t="shared" si="83"/>
        <v>124523660</v>
      </c>
    </row>
    <row r="811" spans="1:46" x14ac:dyDescent="0.2">
      <c r="A811" s="1" t="str">
        <f>"00933"</f>
        <v>00933</v>
      </c>
      <c r="B811" s="1" t="str">
        <f>"پيام"</f>
        <v>پيام</v>
      </c>
      <c r="C811" s="1" t="str">
        <f>"جعفري زاده"</f>
        <v>جعفري زاده</v>
      </c>
      <c r="D811" s="1" t="str">
        <f t="shared" si="86"/>
        <v>قراردادي بهره بردار</v>
      </c>
      <c r="E811" s="1" t="str">
        <f t="shared" si="87"/>
        <v>پروژه بهره برداري نيروگاه بوشهر</v>
      </c>
      <c r="F811" s="1">
        <v>16463408</v>
      </c>
      <c r="G811" s="1">
        <v>23555195</v>
      </c>
      <c r="H811" s="1">
        <v>0</v>
      </c>
      <c r="I811" s="1">
        <v>16626964</v>
      </c>
      <c r="J811" s="1">
        <v>0</v>
      </c>
      <c r="K811" s="1">
        <v>4620000</v>
      </c>
      <c r="L811" s="1">
        <v>0</v>
      </c>
      <c r="M811" s="1">
        <v>1000000</v>
      </c>
      <c r="N811" s="1">
        <v>3169868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9832815</v>
      </c>
      <c r="W811" s="1">
        <v>4000000</v>
      </c>
      <c r="X811" s="1">
        <v>2389850</v>
      </c>
      <c r="Y811" s="1">
        <v>0</v>
      </c>
      <c r="Z811" s="1">
        <v>0</v>
      </c>
      <c r="AA811" s="1">
        <v>0</v>
      </c>
      <c r="AB811" s="1">
        <v>0</v>
      </c>
      <c r="AC811" s="1">
        <v>1531714</v>
      </c>
      <c r="AD811" s="1">
        <v>0</v>
      </c>
      <c r="AE811" s="1">
        <v>2490610</v>
      </c>
      <c r="AF811" s="1">
        <v>1835427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12867785</v>
      </c>
      <c r="AM811" s="1">
        <v>0</v>
      </c>
      <c r="AN811" s="1">
        <v>0</v>
      </c>
      <c r="AO811" s="1">
        <v>100383636</v>
      </c>
      <c r="AP811" s="1">
        <v>38237962</v>
      </c>
      <c r="AQ811" s="1">
        <v>62145674</v>
      </c>
      <c r="AR811" s="1">
        <v>19709642</v>
      </c>
      <c r="AS811" s="1">
        <v>2956446</v>
      </c>
      <c r="AT811" s="3">
        <f t="shared" si="83"/>
        <v>123049724</v>
      </c>
    </row>
    <row r="812" spans="1:46" x14ac:dyDescent="0.2">
      <c r="A812" s="1" t="str">
        <f>"00934"</f>
        <v>00934</v>
      </c>
      <c r="B812" s="1" t="str">
        <f>"اميد"</f>
        <v>اميد</v>
      </c>
      <c r="C812" s="1" t="str">
        <f>"جوکار"</f>
        <v>جوکار</v>
      </c>
      <c r="D812" s="1" t="str">
        <f t="shared" si="86"/>
        <v>قراردادي بهره بردار</v>
      </c>
      <c r="E812" s="1" t="str">
        <f t="shared" si="87"/>
        <v>پروژه بهره برداري نيروگاه بوشهر</v>
      </c>
      <c r="F812" s="1">
        <v>36642734</v>
      </c>
      <c r="G812" s="1">
        <v>0</v>
      </c>
      <c r="H812" s="1">
        <v>0</v>
      </c>
      <c r="I812" s="1">
        <v>35606997</v>
      </c>
      <c r="J812" s="1">
        <v>0</v>
      </c>
      <c r="K812" s="1">
        <v>0</v>
      </c>
      <c r="L812" s="1">
        <v>0</v>
      </c>
      <c r="M812" s="1">
        <v>1000000</v>
      </c>
      <c r="N812" s="1">
        <v>6642173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23494781</v>
      </c>
      <c r="W812" s="1">
        <v>4000000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5218850</v>
      </c>
      <c r="AF812" s="1">
        <v>3670854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9868371</v>
      </c>
      <c r="AM812" s="1">
        <v>0</v>
      </c>
      <c r="AN812" s="1">
        <v>0</v>
      </c>
      <c r="AO812" s="1">
        <v>126144760</v>
      </c>
      <c r="AP812" s="1">
        <v>29141813</v>
      </c>
      <c r="AQ812" s="1">
        <v>97002947</v>
      </c>
      <c r="AR812" s="1">
        <v>24494781</v>
      </c>
      <c r="AS812" s="1">
        <v>3674217</v>
      </c>
      <c r="AT812" s="3">
        <f t="shared" si="83"/>
        <v>154313758</v>
      </c>
    </row>
    <row r="813" spans="1:46" x14ac:dyDescent="0.2">
      <c r="A813" s="1" t="str">
        <f>"00935"</f>
        <v>00935</v>
      </c>
      <c r="B813" s="1" t="str">
        <f>"حسين"</f>
        <v>حسين</v>
      </c>
      <c r="C813" s="1" t="str">
        <f>"چغادکي نژاد"</f>
        <v>چغادکي نژاد</v>
      </c>
      <c r="D813" s="1" t="str">
        <f t="shared" si="86"/>
        <v>قراردادي بهره بردار</v>
      </c>
      <c r="E813" s="1" t="str">
        <f t="shared" si="87"/>
        <v>پروژه بهره برداري نيروگاه بوشهر</v>
      </c>
      <c r="F813" s="1">
        <v>16944588</v>
      </c>
      <c r="G813" s="1">
        <v>24052854</v>
      </c>
      <c r="H813" s="1">
        <v>0</v>
      </c>
      <c r="I813" s="1">
        <v>17734964</v>
      </c>
      <c r="J813" s="1">
        <v>0</v>
      </c>
      <c r="K813" s="1">
        <v>4620000</v>
      </c>
      <c r="L813" s="1">
        <v>0</v>
      </c>
      <c r="M813" s="1">
        <v>1000000</v>
      </c>
      <c r="N813" s="1">
        <v>3338280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10040556</v>
      </c>
      <c r="W813" s="1">
        <v>4000000</v>
      </c>
      <c r="X813" s="1">
        <v>2459698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2622935</v>
      </c>
      <c r="AF813" s="1">
        <v>3670854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13632507</v>
      </c>
      <c r="AM813" s="1">
        <v>0</v>
      </c>
      <c r="AN813" s="1">
        <v>0</v>
      </c>
      <c r="AO813" s="1">
        <v>104117236</v>
      </c>
      <c r="AP813" s="1">
        <v>31233885</v>
      </c>
      <c r="AQ813" s="1">
        <v>72883351</v>
      </c>
      <c r="AR813" s="1">
        <v>20089276</v>
      </c>
      <c r="AS813" s="1">
        <v>3013391</v>
      </c>
      <c r="AT813" s="3">
        <f t="shared" si="83"/>
        <v>127219903</v>
      </c>
    </row>
    <row r="814" spans="1:46" x14ac:dyDescent="0.2">
      <c r="A814" s="1" t="str">
        <f>"00936"</f>
        <v>00936</v>
      </c>
      <c r="B814" s="1" t="str">
        <f>"سيدمحمد"</f>
        <v>سيدمحمد</v>
      </c>
      <c r="C814" s="1" t="str">
        <f>"حسيني"</f>
        <v>حسيني</v>
      </c>
      <c r="D814" s="1" t="str">
        <f t="shared" si="86"/>
        <v>قراردادي بهره بردار</v>
      </c>
      <c r="E814" s="1" t="str">
        <f t="shared" si="87"/>
        <v>پروژه بهره برداري نيروگاه بوشهر</v>
      </c>
      <c r="F814" s="1">
        <v>28971567</v>
      </c>
      <c r="G814" s="1">
        <v>21082641</v>
      </c>
      <c r="H814" s="1">
        <v>0</v>
      </c>
      <c r="I814" s="1">
        <v>27639079</v>
      </c>
      <c r="J814" s="1">
        <v>0</v>
      </c>
      <c r="K814" s="1">
        <v>5500000</v>
      </c>
      <c r="L814" s="1">
        <v>0</v>
      </c>
      <c r="M814" s="1">
        <v>1000000</v>
      </c>
      <c r="N814" s="1">
        <v>4763714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18682178</v>
      </c>
      <c r="W814" s="1">
        <v>1900000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3402653</v>
      </c>
      <c r="AF814" s="1">
        <v>3033762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7077518</v>
      </c>
      <c r="AM814" s="1">
        <v>0</v>
      </c>
      <c r="AN814" s="1">
        <v>0</v>
      </c>
      <c r="AO814" s="1">
        <v>123053112</v>
      </c>
      <c r="AP814" s="1">
        <v>49570477</v>
      </c>
      <c r="AQ814" s="1">
        <v>73482635</v>
      </c>
      <c r="AR814" s="1">
        <v>24003870</v>
      </c>
      <c r="AS814" s="1">
        <v>3600581</v>
      </c>
      <c r="AT814" s="3">
        <f t="shared" si="83"/>
        <v>150657563</v>
      </c>
    </row>
    <row r="815" spans="1:46" x14ac:dyDescent="0.2">
      <c r="A815" s="1" t="str">
        <f>"00937"</f>
        <v>00937</v>
      </c>
      <c r="B815" s="1" t="str">
        <f>"سيدمسلم"</f>
        <v>سيدمسلم</v>
      </c>
      <c r="C815" s="1" t="str">
        <f>"حسيني"</f>
        <v>حسيني</v>
      </c>
      <c r="D815" s="1" t="str">
        <f t="shared" si="86"/>
        <v>قراردادي بهره بردار</v>
      </c>
      <c r="E815" s="1" t="str">
        <f t="shared" si="87"/>
        <v>پروژه بهره برداري نيروگاه بوشهر</v>
      </c>
      <c r="F815" s="1">
        <v>16629679</v>
      </c>
      <c r="G815" s="1">
        <v>20848043</v>
      </c>
      <c r="H815" s="1">
        <v>0</v>
      </c>
      <c r="I815" s="1">
        <v>16267801</v>
      </c>
      <c r="J815" s="1">
        <v>0</v>
      </c>
      <c r="K815" s="1">
        <v>0</v>
      </c>
      <c r="L815" s="1">
        <v>0</v>
      </c>
      <c r="M815" s="1">
        <v>1000000</v>
      </c>
      <c r="N815" s="1">
        <v>3228062</v>
      </c>
      <c r="O815" s="1">
        <v>0</v>
      </c>
      <c r="P815" s="1">
        <v>0</v>
      </c>
      <c r="Q815" s="1">
        <v>0</v>
      </c>
      <c r="R815" s="1">
        <v>1137</v>
      </c>
      <c r="S815" s="1">
        <v>0</v>
      </c>
      <c r="T815" s="1">
        <v>0</v>
      </c>
      <c r="U815" s="1">
        <v>0</v>
      </c>
      <c r="V815" s="1">
        <v>9718636</v>
      </c>
      <c r="W815" s="1">
        <v>4000000</v>
      </c>
      <c r="X815" s="1">
        <v>2413986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2536334</v>
      </c>
      <c r="AF815" s="1">
        <v>3670854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13170852</v>
      </c>
      <c r="AM815" s="1">
        <v>0</v>
      </c>
      <c r="AN815" s="1">
        <v>0</v>
      </c>
      <c r="AO815" s="1">
        <v>93485384</v>
      </c>
      <c r="AP815" s="1">
        <v>27834753</v>
      </c>
      <c r="AQ815" s="1">
        <v>65650631</v>
      </c>
      <c r="AR815" s="1">
        <v>17962679</v>
      </c>
      <c r="AS815" s="1">
        <v>2694402</v>
      </c>
      <c r="AT815" s="3">
        <f t="shared" si="83"/>
        <v>114142465</v>
      </c>
    </row>
    <row r="816" spans="1:46" x14ac:dyDescent="0.2">
      <c r="A816" s="1" t="str">
        <f>"00938"</f>
        <v>00938</v>
      </c>
      <c r="B816" s="1" t="str">
        <f>"فرشاد"</f>
        <v>فرشاد</v>
      </c>
      <c r="C816" s="1" t="str">
        <f>"خدري"</f>
        <v>خدري</v>
      </c>
      <c r="D816" s="1" t="str">
        <f t="shared" si="86"/>
        <v>قراردادي بهره بردار</v>
      </c>
      <c r="E816" s="1" t="str">
        <f t="shared" si="87"/>
        <v>پروژه بهره برداري نيروگاه بوشهر</v>
      </c>
      <c r="F816" s="1">
        <v>17846485</v>
      </c>
      <c r="G816" s="1">
        <v>23108649</v>
      </c>
      <c r="H816" s="1">
        <v>0</v>
      </c>
      <c r="I816" s="1">
        <v>19001968</v>
      </c>
      <c r="J816" s="1">
        <v>0</v>
      </c>
      <c r="K816" s="1">
        <v>4620000</v>
      </c>
      <c r="L816" s="1">
        <v>0</v>
      </c>
      <c r="M816" s="1">
        <v>1000000</v>
      </c>
      <c r="N816" s="1">
        <v>3653944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11013346</v>
      </c>
      <c r="W816" s="1">
        <v>4000000</v>
      </c>
      <c r="X816" s="1">
        <v>2590619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2870957</v>
      </c>
      <c r="AF816" s="1">
        <v>3670854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13838836</v>
      </c>
      <c r="AM816" s="1">
        <v>0</v>
      </c>
      <c r="AN816" s="1">
        <v>0</v>
      </c>
      <c r="AO816" s="1">
        <v>107215658</v>
      </c>
      <c r="AP816" s="1">
        <v>21547985</v>
      </c>
      <c r="AQ816" s="1">
        <v>85667673</v>
      </c>
      <c r="AR816" s="1">
        <v>20708961</v>
      </c>
      <c r="AS816" s="1">
        <v>3106344</v>
      </c>
      <c r="AT816" s="3">
        <f t="shared" si="83"/>
        <v>131030963</v>
      </c>
    </row>
    <row r="817" spans="1:46" x14ac:dyDescent="0.2">
      <c r="A817" s="1" t="str">
        <f>"00939"</f>
        <v>00939</v>
      </c>
      <c r="B817" s="1" t="str">
        <f>"مهدي"</f>
        <v>مهدي</v>
      </c>
      <c r="C817" s="1" t="str">
        <f>"خليلي"</f>
        <v>خليلي</v>
      </c>
      <c r="D817" s="1" t="str">
        <f t="shared" si="86"/>
        <v>قراردادي بهره بردار</v>
      </c>
      <c r="E817" s="1" t="str">
        <f t="shared" si="87"/>
        <v>پروژه بهره برداري نيروگاه بوشهر</v>
      </c>
      <c r="F817" s="1">
        <v>16984896</v>
      </c>
      <c r="G817" s="1">
        <v>23313812</v>
      </c>
      <c r="H817" s="1">
        <v>0</v>
      </c>
      <c r="I817" s="1">
        <v>17188346</v>
      </c>
      <c r="J817" s="1">
        <v>0</v>
      </c>
      <c r="K817" s="1">
        <v>4620000</v>
      </c>
      <c r="L817" s="1">
        <v>0</v>
      </c>
      <c r="M817" s="1">
        <v>1000000</v>
      </c>
      <c r="N817" s="1">
        <v>3352389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10032086</v>
      </c>
      <c r="W817" s="1">
        <v>4000000</v>
      </c>
      <c r="X817" s="1">
        <v>2465549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2634019</v>
      </c>
      <c r="AF817" s="1">
        <v>5506281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13344808</v>
      </c>
      <c r="AM817" s="1">
        <v>0</v>
      </c>
      <c r="AN817" s="1">
        <v>0</v>
      </c>
      <c r="AO817" s="1">
        <v>104442186</v>
      </c>
      <c r="AP817" s="1">
        <v>38396545</v>
      </c>
      <c r="AQ817" s="1">
        <v>66045641</v>
      </c>
      <c r="AR817" s="1">
        <v>19787181</v>
      </c>
      <c r="AS817" s="1">
        <v>2968077</v>
      </c>
      <c r="AT817" s="3">
        <f t="shared" si="83"/>
        <v>127197444</v>
      </c>
    </row>
    <row r="818" spans="1:46" x14ac:dyDescent="0.2">
      <c r="A818" s="1" t="str">
        <f>"00940"</f>
        <v>00940</v>
      </c>
      <c r="B818" s="1" t="str">
        <f>"رسول"</f>
        <v>رسول</v>
      </c>
      <c r="C818" s="1" t="str">
        <f>"خورسند نژاد"</f>
        <v>خورسند نژاد</v>
      </c>
      <c r="D818" s="1" t="str">
        <f t="shared" si="86"/>
        <v>قراردادي بهره بردار</v>
      </c>
      <c r="E818" s="1" t="str">
        <f t="shared" si="87"/>
        <v>پروژه بهره برداري نيروگاه بوشهر</v>
      </c>
      <c r="F818" s="1">
        <v>33367687</v>
      </c>
      <c r="G818" s="1">
        <v>45506657</v>
      </c>
      <c r="H818" s="1">
        <v>0</v>
      </c>
      <c r="I818" s="1">
        <v>35236402</v>
      </c>
      <c r="J818" s="1">
        <v>0</v>
      </c>
      <c r="K818" s="1">
        <v>0</v>
      </c>
      <c r="L818" s="1">
        <v>0</v>
      </c>
      <c r="M818" s="1">
        <v>1000000</v>
      </c>
      <c r="N818" s="1">
        <v>5495906</v>
      </c>
      <c r="O818" s="1">
        <v>0</v>
      </c>
      <c r="P818" s="1">
        <v>0</v>
      </c>
      <c r="Q818" s="1">
        <v>0</v>
      </c>
      <c r="R818" s="1">
        <v>805980</v>
      </c>
      <c r="S818" s="1">
        <v>0</v>
      </c>
      <c r="T818" s="1">
        <v>0</v>
      </c>
      <c r="U818" s="1">
        <v>0</v>
      </c>
      <c r="V818" s="1">
        <v>19641970</v>
      </c>
      <c r="W818" s="1">
        <v>4000000</v>
      </c>
      <c r="X818" s="1">
        <v>4843697</v>
      </c>
      <c r="Y818" s="1">
        <v>0</v>
      </c>
      <c r="Z818" s="1">
        <v>0</v>
      </c>
      <c r="AA818" s="1">
        <v>0</v>
      </c>
      <c r="AB818" s="1">
        <v>0</v>
      </c>
      <c r="AC818" s="1">
        <v>3401010</v>
      </c>
      <c r="AD818" s="1">
        <v>0</v>
      </c>
      <c r="AE818" s="1">
        <v>4318212</v>
      </c>
      <c r="AF818" s="1">
        <v>3670854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20216989</v>
      </c>
      <c r="AM818" s="1">
        <v>0</v>
      </c>
      <c r="AN818" s="1">
        <v>0</v>
      </c>
      <c r="AO818" s="1">
        <v>181505364</v>
      </c>
      <c r="AP818" s="1">
        <v>65228936</v>
      </c>
      <c r="AQ818" s="1">
        <v>116276428</v>
      </c>
      <c r="AR818" s="1">
        <v>26552511</v>
      </c>
      <c r="AS818" s="1">
        <v>3982877</v>
      </c>
      <c r="AT818" s="3">
        <f t="shared" si="83"/>
        <v>212040752</v>
      </c>
    </row>
    <row r="819" spans="1:46" x14ac:dyDescent="0.2">
      <c r="A819" s="1" t="str">
        <f>"00941"</f>
        <v>00941</v>
      </c>
      <c r="B819" s="1" t="str">
        <f>"عباس"</f>
        <v>عباس</v>
      </c>
      <c r="C819" s="1" t="str">
        <f>"دريسي"</f>
        <v>دريسي</v>
      </c>
      <c r="D819" s="1" t="str">
        <f t="shared" si="86"/>
        <v>قراردادي بهره بردار</v>
      </c>
      <c r="E819" s="1" t="str">
        <f t="shared" si="87"/>
        <v>پروژه بهره برداري نيروگاه بوشهر</v>
      </c>
      <c r="F819" s="1">
        <v>16931991</v>
      </c>
      <c r="G819" s="1">
        <v>25413343</v>
      </c>
      <c r="H819" s="1">
        <v>0</v>
      </c>
      <c r="I819" s="1">
        <v>17116725</v>
      </c>
      <c r="J819" s="1">
        <v>0</v>
      </c>
      <c r="K819" s="1">
        <v>4620000</v>
      </c>
      <c r="L819" s="1">
        <v>0</v>
      </c>
      <c r="M819" s="1">
        <v>1000000</v>
      </c>
      <c r="N819" s="1">
        <v>3333871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9864020</v>
      </c>
      <c r="W819" s="1">
        <v>4000000</v>
      </c>
      <c r="X819" s="1">
        <v>2457870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2619470</v>
      </c>
      <c r="AF819" s="1">
        <v>1835427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13316970</v>
      </c>
      <c r="AM819" s="1">
        <v>0</v>
      </c>
      <c r="AN819" s="1">
        <v>0</v>
      </c>
      <c r="AO819" s="1">
        <v>102509687</v>
      </c>
      <c r="AP819" s="1">
        <v>43610512</v>
      </c>
      <c r="AQ819" s="1">
        <v>58899175</v>
      </c>
      <c r="AR819" s="1">
        <v>20134852</v>
      </c>
      <c r="AS819" s="1">
        <v>3020228</v>
      </c>
      <c r="AT819" s="3">
        <f t="shared" si="83"/>
        <v>125664767</v>
      </c>
    </row>
    <row r="820" spans="1:46" x14ac:dyDescent="0.2">
      <c r="A820" s="1" t="str">
        <f>"00942"</f>
        <v>00942</v>
      </c>
      <c r="B820" s="1" t="str">
        <f>"سعيد"</f>
        <v>سعيد</v>
      </c>
      <c r="C820" s="1" t="str">
        <f>"دشتي"</f>
        <v>دشتي</v>
      </c>
      <c r="D820" s="1" t="str">
        <f t="shared" si="86"/>
        <v>قراردادي بهره بردار</v>
      </c>
      <c r="E820" s="1" t="str">
        <f t="shared" si="87"/>
        <v>پروژه بهره برداري نيروگاه بوشهر</v>
      </c>
      <c r="F820" s="1">
        <v>20521946</v>
      </c>
      <c r="G820" s="1">
        <v>27911403</v>
      </c>
      <c r="H820" s="1">
        <v>0</v>
      </c>
      <c r="I820" s="1">
        <v>24417815</v>
      </c>
      <c r="J820" s="1">
        <v>0</v>
      </c>
      <c r="K820" s="1">
        <v>4620000</v>
      </c>
      <c r="L820" s="1">
        <v>0</v>
      </c>
      <c r="M820" s="1">
        <v>1000000</v>
      </c>
      <c r="N820" s="1">
        <v>4193572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13302290</v>
      </c>
      <c r="W820" s="1">
        <v>4000000</v>
      </c>
      <c r="X820" s="1">
        <v>2978992</v>
      </c>
      <c r="Y820" s="1">
        <v>0</v>
      </c>
      <c r="Z820" s="1">
        <v>0</v>
      </c>
      <c r="AA820" s="1">
        <v>0</v>
      </c>
      <c r="AB820" s="1">
        <v>0</v>
      </c>
      <c r="AC820" s="1">
        <v>1531714</v>
      </c>
      <c r="AD820" s="1">
        <v>0</v>
      </c>
      <c r="AE820" s="1">
        <v>3294949</v>
      </c>
      <c r="AF820" s="1">
        <v>3670854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15142808</v>
      </c>
      <c r="AM820" s="1">
        <v>0</v>
      </c>
      <c r="AN820" s="1">
        <v>0</v>
      </c>
      <c r="AO820" s="1">
        <v>126586343</v>
      </c>
      <c r="AP820" s="1">
        <v>42289365</v>
      </c>
      <c r="AQ820" s="1">
        <v>84296978</v>
      </c>
      <c r="AR820" s="1">
        <v>24583098</v>
      </c>
      <c r="AS820" s="1">
        <v>3687465</v>
      </c>
      <c r="AT820" s="3">
        <f t="shared" si="83"/>
        <v>154856906</v>
      </c>
    </row>
    <row r="821" spans="1:46" x14ac:dyDescent="0.2">
      <c r="A821" s="1" t="str">
        <f>"00943"</f>
        <v>00943</v>
      </c>
      <c r="B821" s="1" t="str">
        <f>"يحيي"</f>
        <v>يحيي</v>
      </c>
      <c r="C821" s="1" t="str">
        <f>"دهقان"</f>
        <v>دهقان</v>
      </c>
      <c r="D821" s="1" t="str">
        <f t="shared" si="86"/>
        <v>قراردادي بهره بردار</v>
      </c>
      <c r="E821" s="1" t="str">
        <f t="shared" si="87"/>
        <v>پروژه بهره برداري نيروگاه بوشهر</v>
      </c>
      <c r="F821" s="1">
        <v>31987129</v>
      </c>
      <c r="G821" s="1">
        <v>0</v>
      </c>
      <c r="H821" s="1">
        <v>0</v>
      </c>
      <c r="I821" s="1">
        <v>29036352</v>
      </c>
      <c r="J821" s="1">
        <v>0</v>
      </c>
      <c r="K821" s="1">
        <v>5500000</v>
      </c>
      <c r="L821" s="1">
        <v>0</v>
      </c>
      <c r="M821" s="1">
        <v>1000000</v>
      </c>
      <c r="N821" s="1">
        <v>5012711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19355552</v>
      </c>
      <c r="W821" s="1">
        <v>4000000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3938558</v>
      </c>
      <c r="AF821" s="1">
        <v>3670854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7447457</v>
      </c>
      <c r="AM821" s="1">
        <v>0</v>
      </c>
      <c r="AN821" s="1">
        <v>0</v>
      </c>
      <c r="AO821" s="1">
        <v>110948613</v>
      </c>
      <c r="AP821" s="1">
        <v>52264658</v>
      </c>
      <c r="AQ821" s="1">
        <v>58683955</v>
      </c>
      <c r="AR821" s="1">
        <v>21455552</v>
      </c>
      <c r="AS821" s="1">
        <v>3218333</v>
      </c>
      <c r="AT821" s="3">
        <f t="shared" si="83"/>
        <v>135622498</v>
      </c>
    </row>
    <row r="822" spans="1:46" x14ac:dyDescent="0.2">
      <c r="A822" s="1" t="str">
        <f>"00944"</f>
        <v>00944</v>
      </c>
      <c r="B822" s="1" t="str">
        <f>"علي"</f>
        <v>علي</v>
      </c>
      <c r="C822" s="1" t="str">
        <f>"دهقاني"</f>
        <v>دهقاني</v>
      </c>
      <c r="D822" s="1" t="str">
        <f t="shared" si="86"/>
        <v>قراردادي بهره بردار</v>
      </c>
      <c r="E822" s="1" t="str">
        <f t="shared" si="87"/>
        <v>پروژه بهره برداري نيروگاه بوشهر</v>
      </c>
      <c r="F822" s="1">
        <v>15768090</v>
      </c>
      <c r="G822" s="1">
        <v>21229371</v>
      </c>
      <c r="H822" s="1">
        <v>0</v>
      </c>
      <c r="I822" s="1">
        <v>15336606</v>
      </c>
      <c r="J822" s="1">
        <v>0</v>
      </c>
      <c r="K822" s="1">
        <v>0</v>
      </c>
      <c r="L822" s="1">
        <v>0</v>
      </c>
      <c r="M822" s="1">
        <v>1000000</v>
      </c>
      <c r="N822" s="1">
        <v>2926506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9032351</v>
      </c>
      <c r="W822" s="1">
        <v>4000000</v>
      </c>
      <c r="X822" s="1">
        <v>2288916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2299398</v>
      </c>
      <c r="AF822" s="1">
        <v>1835427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12492917</v>
      </c>
      <c r="AM822" s="1">
        <v>0</v>
      </c>
      <c r="AN822" s="1">
        <v>0</v>
      </c>
      <c r="AO822" s="1">
        <v>88209582</v>
      </c>
      <c r="AP822" s="1">
        <v>32545105</v>
      </c>
      <c r="AQ822" s="1">
        <v>55664477</v>
      </c>
      <c r="AR822" s="1">
        <v>17274831</v>
      </c>
      <c r="AS822" s="1">
        <v>2591225</v>
      </c>
      <c r="AT822" s="3">
        <f t="shared" si="83"/>
        <v>108075638</v>
      </c>
    </row>
    <row r="823" spans="1:46" x14ac:dyDescent="0.2">
      <c r="A823" s="1" t="str">
        <f>"00945"</f>
        <v>00945</v>
      </c>
      <c r="B823" s="1" t="str">
        <f>"محسن"</f>
        <v>محسن</v>
      </c>
      <c r="C823" s="1" t="str">
        <f>"رجبي کرهرودي"</f>
        <v>رجبي کرهرودي</v>
      </c>
      <c r="D823" s="1" t="str">
        <f t="shared" si="86"/>
        <v>قراردادي بهره بردار</v>
      </c>
      <c r="E823" s="1" t="str">
        <f t="shared" si="87"/>
        <v>پروژه بهره برداري نيروگاه بوشهر</v>
      </c>
      <c r="F823" s="1">
        <v>15458220</v>
      </c>
      <c r="G823" s="1">
        <v>26135528</v>
      </c>
      <c r="H823" s="1">
        <v>0</v>
      </c>
      <c r="I823" s="1">
        <v>15917482</v>
      </c>
      <c r="J823" s="1">
        <v>0</v>
      </c>
      <c r="K823" s="1">
        <v>0</v>
      </c>
      <c r="L823" s="1">
        <v>0</v>
      </c>
      <c r="M823" s="1">
        <v>1000000</v>
      </c>
      <c r="N823" s="1">
        <v>2818052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8755976</v>
      </c>
      <c r="W823" s="1">
        <v>4000000</v>
      </c>
      <c r="X823" s="1">
        <v>2243935</v>
      </c>
      <c r="Y823" s="1">
        <v>0</v>
      </c>
      <c r="Z823" s="1">
        <v>0</v>
      </c>
      <c r="AA823" s="1">
        <v>0</v>
      </c>
      <c r="AB823" s="1">
        <v>0</v>
      </c>
      <c r="AC823" s="1">
        <v>1531714</v>
      </c>
      <c r="AD823" s="1">
        <v>0</v>
      </c>
      <c r="AE823" s="1">
        <v>2214183</v>
      </c>
      <c r="AF823" s="1">
        <v>1835427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12094495</v>
      </c>
      <c r="AM823" s="1">
        <v>0</v>
      </c>
      <c r="AN823" s="1">
        <v>0</v>
      </c>
      <c r="AO823" s="1">
        <v>94005012</v>
      </c>
      <c r="AP823" s="1">
        <v>38523433</v>
      </c>
      <c r="AQ823" s="1">
        <v>55481579</v>
      </c>
      <c r="AR823" s="1">
        <v>18433917</v>
      </c>
      <c r="AS823" s="1">
        <v>2765088</v>
      </c>
      <c r="AT823" s="3">
        <f t="shared" si="83"/>
        <v>115204017</v>
      </c>
    </row>
    <row r="824" spans="1:46" x14ac:dyDescent="0.2">
      <c r="A824" s="1" t="str">
        <f>"00946"</f>
        <v>00946</v>
      </c>
      <c r="B824" s="1" t="str">
        <f>"فتح اله"</f>
        <v>فتح اله</v>
      </c>
      <c r="C824" s="1" t="str">
        <f>"روانان"</f>
        <v>روانان</v>
      </c>
      <c r="D824" s="1" t="str">
        <f t="shared" si="86"/>
        <v>قراردادي بهره بردار</v>
      </c>
      <c r="E824" s="1" t="str">
        <f t="shared" si="87"/>
        <v>پروژه بهره برداري نيروگاه بوشهر</v>
      </c>
      <c r="F824" s="1">
        <v>15846187</v>
      </c>
      <c r="G824" s="1">
        <v>19736798</v>
      </c>
      <c r="H824" s="1">
        <v>0</v>
      </c>
      <c r="I824" s="1">
        <v>15921324</v>
      </c>
      <c r="J824" s="1">
        <v>0</v>
      </c>
      <c r="K824" s="1">
        <v>4620000</v>
      </c>
      <c r="L824" s="1">
        <v>0</v>
      </c>
      <c r="M824" s="1">
        <v>1000000</v>
      </c>
      <c r="N824" s="1">
        <v>2953840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8678592</v>
      </c>
      <c r="W824" s="1">
        <v>4000000</v>
      </c>
      <c r="X824" s="1">
        <v>2300253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2320875</v>
      </c>
      <c r="AF824" s="1">
        <v>1835427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12549727</v>
      </c>
      <c r="AM824" s="1">
        <v>0</v>
      </c>
      <c r="AN824" s="1">
        <v>0</v>
      </c>
      <c r="AO824" s="1">
        <v>91763023</v>
      </c>
      <c r="AP824" s="1">
        <v>24339833</v>
      </c>
      <c r="AQ824" s="1">
        <v>67423190</v>
      </c>
      <c r="AR824" s="1">
        <v>17985519</v>
      </c>
      <c r="AS824" s="1">
        <v>2697828</v>
      </c>
      <c r="AT824" s="3">
        <f t="shared" si="83"/>
        <v>112446370</v>
      </c>
    </row>
    <row r="825" spans="1:46" x14ac:dyDescent="0.2">
      <c r="A825" s="1" t="str">
        <f>"00947"</f>
        <v>00947</v>
      </c>
      <c r="B825" s="1" t="str">
        <f>"عليرضا"</f>
        <v>عليرضا</v>
      </c>
      <c r="C825" s="1" t="str">
        <f>"زارع پور"</f>
        <v>زارع پور</v>
      </c>
      <c r="D825" s="1" t="str">
        <f t="shared" si="86"/>
        <v>قراردادي بهره بردار</v>
      </c>
      <c r="E825" s="1" t="str">
        <f t="shared" si="87"/>
        <v>پروژه بهره برداري نيروگاه بوشهر</v>
      </c>
      <c r="F825" s="1">
        <v>19295063</v>
      </c>
      <c r="G825" s="1">
        <v>25533695</v>
      </c>
      <c r="H825" s="1">
        <v>0</v>
      </c>
      <c r="I825" s="1">
        <v>21813020</v>
      </c>
      <c r="J825" s="1">
        <v>0</v>
      </c>
      <c r="K825" s="1">
        <v>4620000</v>
      </c>
      <c r="L825" s="1">
        <v>0</v>
      </c>
      <c r="M825" s="1">
        <v>1000000</v>
      </c>
      <c r="N825" s="1">
        <v>3764163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12169099</v>
      </c>
      <c r="W825" s="1">
        <v>4000000</v>
      </c>
      <c r="X825" s="1">
        <v>2800896</v>
      </c>
      <c r="Y825" s="1">
        <v>0</v>
      </c>
      <c r="Z825" s="1">
        <v>0</v>
      </c>
      <c r="AA825" s="1">
        <v>0</v>
      </c>
      <c r="AB825" s="1">
        <v>0</v>
      </c>
      <c r="AC825" s="1">
        <v>1531714</v>
      </c>
      <c r="AD825" s="1">
        <v>0</v>
      </c>
      <c r="AE825" s="1">
        <v>2957556</v>
      </c>
      <c r="AF825" s="1">
        <v>3670854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13854581</v>
      </c>
      <c r="AM825" s="1">
        <v>0</v>
      </c>
      <c r="AN825" s="1">
        <v>0</v>
      </c>
      <c r="AO825" s="1">
        <v>117010641</v>
      </c>
      <c r="AP825" s="1">
        <v>48991623</v>
      </c>
      <c r="AQ825" s="1">
        <v>68019018</v>
      </c>
      <c r="AR825" s="1">
        <v>22667957</v>
      </c>
      <c r="AS825" s="1">
        <v>3400194</v>
      </c>
      <c r="AT825" s="3">
        <f t="shared" si="83"/>
        <v>143078792</v>
      </c>
    </row>
    <row r="826" spans="1:46" x14ac:dyDescent="0.2">
      <c r="A826" s="1" t="str">
        <f>"00948"</f>
        <v>00948</v>
      </c>
      <c r="B826" s="1" t="str">
        <f>"سعيد"</f>
        <v>سعيد</v>
      </c>
      <c r="C826" s="1" t="str">
        <f>"زارعي"</f>
        <v>زارعي</v>
      </c>
      <c r="D826" s="1" t="str">
        <f t="shared" ref="D826:D859" si="88">"قراردادي بهره بردار"</f>
        <v>قراردادي بهره بردار</v>
      </c>
      <c r="E826" s="1" t="str">
        <f t="shared" ref="E826:E859" si="89">"پروژه بهره برداري نيروگاه بوشهر"</f>
        <v>پروژه بهره برداري نيروگاه بوشهر</v>
      </c>
      <c r="F826" s="1">
        <v>18284837</v>
      </c>
      <c r="G826" s="1">
        <v>23257141</v>
      </c>
      <c r="H826" s="1">
        <v>0</v>
      </c>
      <c r="I826" s="1">
        <v>17831324</v>
      </c>
      <c r="J826" s="1">
        <v>0</v>
      </c>
      <c r="K826" s="1">
        <v>4620000</v>
      </c>
      <c r="L826" s="1">
        <v>0</v>
      </c>
      <c r="M826" s="1">
        <v>1000000</v>
      </c>
      <c r="N826" s="1">
        <v>3410583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10007700</v>
      </c>
      <c r="W826" s="1">
        <v>4000000</v>
      </c>
      <c r="X826" s="1">
        <v>2654251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2679744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11167909</v>
      </c>
      <c r="AM826" s="1">
        <v>0</v>
      </c>
      <c r="AN826" s="1">
        <v>0</v>
      </c>
      <c r="AO826" s="1">
        <v>98913489</v>
      </c>
      <c r="AP826" s="1">
        <v>31181540</v>
      </c>
      <c r="AQ826" s="1">
        <v>67731949</v>
      </c>
      <c r="AR826" s="1">
        <v>19782698</v>
      </c>
      <c r="AS826" s="1">
        <v>2967405</v>
      </c>
      <c r="AT826" s="3">
        <f t="shared" si="83"/>
        <v>121663592</v>
      </c>
    </row>
    <row r="827" spans="1:46" x14ac:dyDescent="0.2">
      <c r="A827" s="1" t="str">
        <f>"00949"</f>
        <v>00949</v>
      </c>
      <c r="B827" s="1" t="str">
        <f>"رضا"</f>
        <v>رضا</v>
      </c>
      <c r="C827" s="1" t="str">
        <f>"زبردست"</f>
        <v>زبردست</v>
      </c>
      <c r="D827" s="1" t="str">
        <f t="shared" si="88"/>
        <v>قراردادي بهره بردار</v>
      </c>
      <c r="E827" s="1" t="str">
        <f t="shared" si="89"/>
        <v>پروژه بهره برداري نيروگاه بوشهر</v>
      </c>
      <c r="F827" s="1">
        <v>16768239</v>
      </c>
      <c r="G827" s="1">
        <v>22382609</v>
      </c>
      <c r="H827" s="1">
        <v>0</v>
      </c>
      <c r="I827" s="1">
        <v>18673472</v>
      </c>
      <c r="J827" s="1">
        <v>0</v>
      </c>
      <c r="K827" s="1">
        <v>3465000</v>
      </c>
      <c r="L827" s="1">
        <v>0</v>
      </c>
      <c r="M827" s="1">
        <v>1000000</v>
      </c>
      <c r="N827" s="1">
        <v>3276558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10316597</v>
      </c>
      <c r="W827" s="1">
        <v>4000000</v>
      </c>
      <c r="X827" s="1">
        <v>2434099</v>
      </c>
      <c r="Y827" s="1">
        <v>0</v>
      </c>
      <c r="Z827" s="1">
        <v>0</v>
      </c>
      <c r="AA827" s="1">
        <v>0</v>
      </c>
      <c r="AB827" s="1">
        <v>0</v>
      </c>
      <c r="AC827" s="1">
        <v>1531714</v>
      </c>
      <c r="AD827" s="1">
        <v>0</v>
      </c>
      <c r="AE827" s="1">
        <v>2574438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12940969</v>
      </c>
      <c r="AM827" s="1">
        <v>0</v>
      </c>
      <c r="AN827" s="1">
        <v>0</v>
      </c>
      <c r="AO827" s="1">
        <v>99363695</v>
      </c>
      <c r="AP827" s="1">
        <v>35442975</v>
      </c>
      <c r="AQ827" s="1">
        <v>63920720</v>
      </c>
      <c r="AR827" s="1">
        <v>19872739</v>
      </c>
      <c r="AS827" s="1">
        <v>2980911</v>
      </c>
      <c r="AT827" s="3">
        <f t="shared" si="83"/>
        <v>122217345</v>
      </c>
    </row>
    <row r="828" spans="1:46" x14ac:dyDescent="0.2">
      <c r="A828" s="1" t="str">
        <f>"00950"</f>
        <v>00950</v>
      </c>
      <c r="B828" s="1" t="str">
        <f>"قاسم"</f>
        <v>قاسم</v>
      </c>
      <c r="C828" s="1" t="str">
        <f>"زنده بودي"</f>
        <v>زنده بودي</v>
      </c>
      <c r="D828" s="1" t="str">
        <f t="shared" si="88"/>
        <v>قراردادي بهره بردار</v>
      </c>
      <c r="E828" s="1" t="str">
        <f t="shared" si="89"/>
        <v>پروژه بهره برداري نيروگاه بوشهر</v>
      </c>
      <c r="F828" s="1">
        <v>15934362</v>
      </c>
      <c r="G828" s="1">
        <v>22402039</v>
      </c>
      <c r="H828" s="1">
        <v>0</v>
      </c>
      <c r="I828" s="1">
        <v>16319385</v>
      </c>
      <c r="J828" s="1">
        <v>0</v>
      </c>
      <c r="K828" s="1">
        <v>4620000</v>
      </c>
      <c r="L828" s="1">
        <v>0</v>
      </c>
      <c r="M828" s="1">
        <v>1000000</v>
      </c>
      <c r="N828" s="1">
        <v>2984702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9351443</v>
      </c>
      <c r="W828" s="1">
        <v>4000000</v>
      </c>
      <c r="X828" s="1">
        <v>2313053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2345122</v>
      </c>
      <c r="AF828" s="1">
        <v>1835427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12964777</v>
      </c>
      <c r="AM828" s="1">
        <v>0</v>
      </c>
      <c r="AN828" s="1">
        <v>0</v>
      </c>
      <c r="AO828" s="1">
        <v>96070310</v>
      </c>
      <c r="AP828" s="1">
        <v>30593282</v>
      </c>
      <c r="AQ828" s="1">
        <v>65477028</v>
      </c>
      <c r="AR828" s="1">
        <v>18846977</v>
      </c>
      <c r="AS828" s="1">
        <v>2827046</v>
      </c>
      <c r="AT828" s="3">
        <f t="shared" si="83"/>
        <v>117744333</v>
      </c>
    </row>
    <row r="829" spans="1:46" x14ac:dyDescent="0.2">
      <c r="A829" s="1" t="str">
        <f>"00951"</f>
        <v>00951</v>
      </c>
      <c r="B829" s="1" t="str">
        <f>"شهرام"</f>
        <v>شهرام</v>
      </c>
      <c r="C829" s="1" t="str">
        <f>"زنگنه"</f>
        <v>زنگنه</v>
      </c>
      <c r="D829" s="1" t="str">
        <f t="shared" si="88"/>
        <v>قراردادي بهره بردار</v>
      </c>
      <c r="E829" s="1" t="str">
        <f t="shared" si="89"/>
        <v>پروژه بهره برداري نيروگاه بوشهر</v>
      </c>
      <c r="F829" s="1">
        <v>19939996</v>
      </c>
      <c r="G829" s="1">
        <v>25672624</v>
      </c>
      <c r="H829" s="1">
        <v>0</v>
      </c>
      <c r="I829" s="1">
        <v>21963498</v>
      </c>
      <c r="J829" s="1">
        <v>0</v>
      </c>
      <c r="K829" s="1">
        <v>4620000</v>
      </c>
      <c r="L829" s="1">
        <v>0</v>
      </c>
      <c r="M829" s="1">
        <v>1000000</v>
      </c>
      <c r="N829" s="1">
        <v>3989889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12235310</v>
      </c>
      <c r="W829" s="1">
        <v>4000000</v>
      </c>
      <c r="X829" s="1">
        <v>2894516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3134912</v>
      </c>
      <c r="AF829" s="1">
        <v>5506281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14531760</v>
      </c>
      <c r="AM829" s="1">
        <v>0</v>
      </c>
      <c r="AN829" s="1">
        <v>0</v>
      </c>
      <c r="AO829" s="1">
        <v>119488786</v>
      </c>
      <c r="AP829" s="1">
        <v>49216757</v>
      </c>
      <c r="AQ829" s="1">
        <v>70272029</v>
      </c>
      <c r="AR829" s="1">
        <v>22796501</v>
      </c>
      <c r="AS829" s="1">
        <v>3419475</v>
      </c>
      <c r="AT829" s="3">
        <f t="shared" si="83"/>
        <v>145704762</v>
      </c>
    </row>
    <row r="830" spans="1:46" x14ac:dyDescent="0.2">
      <c r="A830" s="1" t="str">
        <f>"00952"</f>
        <v>00952</v>
      </c>
      <c r="B830" s="1" t="str">
        <f>"علي"</f>
        <v>علي</v>
      </c>
      <c r="C830" s="1" t="str">
        <f>"ساعي"</f>
        <v>ساعي</v>
      </c>
      <c r="D830" s="1" t="str">
        <f t="shared" si="88"/>
        <v>قراردادي بهره بردار</v>
      </c>
      <c r="E830" s="1" t="str">
        <f t="shared" si="89"/>
        <v>پروژه بهره برداري نيروگاه بوشهر</v>
      </c>
      <c r="F830" s="1">
        <v>32881469</v>
      </c>
      <c r="G830" s="1">
        <v>28512355</v>
      </c>
      <c r="H830" s="1">
        <v>0</v>
      </c>
      <c r="I830" s="1">
        <v>30731980</v>
      </c>
      <c r="J830" s="1">
        <v>0</v>
      </c>
      <c r="K830" s="1">
        <v>0</v>
      </c>
      <c r="L830" s="1">
        <v>0</v>
      </c>
      <c r="M830" s="1">
        <v>1000000</v>
      </c>
      <c r="N830" s="1">
        <v>5325730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17439139</v>
      </c>
      <c r="W830" s="1">
        <v>4000000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4184502</v>
      </c>
      <c r="AF830" s="1">
        <v>1835427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7988595</v>
      </c>
      <c r="AM830" s="1">
        <v>0</v>
      </c>
      <c r="AN830" s="1">
        <v>0</v>
      </c>
      <c r="AO830" s="1">
        <v>133899197</v>
      </c>
      <c r="AP830" s="1">
        <v>68535435</v>
      </c>
      <c r="AQ830" s="1">
        <v>65363762</v>
      </c>
      <c r="AR830" s="1">
        <v>26412754</v>
      </c>
      <c r="AS830" s="1">
        <v>3961913</v>
      </c>
      <c r="AT830" s="3">
        <f t="shared" si="83"/>
        <v>164273864</v>
      </c>
    </row>
    <row r="831" spans="1:46" x14ac:dyDescent="0.2">
      <c r="A831" s="1" t="str">
        <f>"00953"</f>
        <v>00953</v>
      </c>
      <c r="B831" s="1" t="str">
        <f>"علي اکبر"</f>
        <v>علي اکبر</v>
      </c>
      <c r="C831" s="1" t="str">
        <f>"سلماني مشکاني"</f>
        <v>سلماني مشکاني</v>
      </c>
      <c r="D831" s="1" t="str">
        <f t="shared" si="88"/>
        <v>قراردادي بهره بردار</v>
      </c>
      <c r="E831" s="1" t="str">
        <f t="shared" si="89"/>
        <v>پروژه بهره برداري نيروگاه بوشهر</v>
      </c>
      <c r="F831" s="1">
        <v>21008165</v>
      </c>
      <c r="G831" s="1">
        <v>6977891</v>
      </c>
      <c r="H831" s="1">
        <v>0</v>
      </c>
      <c r="I831" s="1">
        <v>21389267</v>
      </c>
      <c r="J831" s="1">
        <v>0</v>
      </c>
      <c r="K831" s="1">
        <v>4620000</v>
      </c>
      <c r="L831" s="1">
        <v>0</v>
      </c>
      <c r="M831" s="1">
        <v>1000000</v>
      </c>
      <c r="N831" s="1">
        <v>3834702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5618562</v>
      </c>
      <c r="W831" s="1">
        <v>4000000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3012980</v>
      </c>
      <c r="AF831" s="1">
        <v>3670854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6940504</v>
      </c>
      <c r="AM831" s="1">
        <v>0</v>
      </c>
      <c r="AN831" s="1">
        <v>0</v>
      </c>
      <c r="AO831" s="1">
        <v>82072925</v>
      </c>
      <c r="AP831" s="1">
        <v>11035013</v>
      </c>
      <c r="AQ831" s="1">
        <v>71037912</v>
      </c>
      <c r="AR831" s="1">
        <v>15680414</v>
      </c>
      <c r="AS831" s="1">
        <v>2352062</v>
      </c>
      <c r="AT831" s="3">
        <f t="shared" si="83"/>
        <v>100105401</v>
      </c>
    </row>
    <row r="832" spans="1:46" x14ac:dyDescent="0.2">
      <c r="A832" s="1" t="str">
        <f>"00954"</f>
        <v>00954</v>
      </c>
      <c r="B832" s="1" t="str">
        <f>"کامران"</f>
        <v>کامران</v>
      </c>
      <c r="C832" s="1" t="str">
        <f>"صادقي"</f>
        <v>صادقي</v>
      </c>
      <c r="D832" s="1" t="str">
        <f t="shared" si="88"/>
        <v>قراردادي بهره بردار</v>
      </c>
      <c r="E832" s="1" t="str">
        <f t="shared" si="89"/>
        <v>پروژه بهره برداري نيروگاه بوشهر</v>
      </c>
      <c r="F832" s="1">
        <v>18957482</v>
      </c>
      <c r="G832" s="1">
        <v>22492153</v>
      </c>
      <c r="H832" s="1">
        <v>0</v>
      </c>
      <c r="I832" s="1">
        <v>19001256</v>
      </c>
      <c r="J832" s="1">
        <v>0</v>
      </c>
      <c r="K832" s="1">
        <v>0</v>
      </c>
      <c r="L832" s="1">
        <v>0</v>
      </c>
      <c r="M832" s="1">
        <v>1000000</v>
      </c>
      <c r="N832" s="1">
        <v>3646009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10719530</v>
      </c>
      <c r="W832" s="1">
        <v>4000000</v>
      </c>
      <c r="X832" s="1">
        <v>2751893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2864721</v>
      </c>
      <c r="AF832" s="1">
        <v>1835427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11216406</v>
      </c>
      <c r="AM832" s="1">
        <v>0</v>
      </c>
      <c r="AN832" s="1">
        <v>0</v>
      </c>
      <c r="AO832" s="1">
        <v>98484877</v>
      </c>
      <c r="AP832" s="1">
        <v>39516893</v>
      </c>
      <c r="AQ832" s="1">
        <v>58967984</v>
      </c>
      <c r="AR832" s="1">
        <v>19329890</v>
      </c>
      <c r="AS832" s="1">
        <v>2899484</v>
      </c>
      <c r="AT832" s="3">
        <f t="shared" si="83"/>
        <v>120714251</v>
      </c>
    </row>
    <row r="833" spans="1:46" x14ac:dyDescent="0.2">
      <c r="A833" s="1" t="str">
        <f>"00956"</f>
        <v>00956</v>
      </c>
      <c r="B833" s="1" t="str">
        <f>"امين"</f>
        <v>امين</v>
      </c>
      <c r="C833" s="1" t="str">
        <f>"ظاهري عبده وند"</f>
        <v>ظاهري عبده وند</v>
      </c>
      <c r="D833" s="1" t="str">
        <f t="shared" si="88"/>
        <v>قراردادي بهره بردار</v>
      </c>
      <c r="E833" s="1" t="str">
        <f t="shared" si="89"/>
        <v>پروژه بهره برداري نيروگاه بوشهر</v>
      </c>
      <c r="F833" s="1">
        <v>17088186</v>
      </c>
      <c r="G833" s="1">
        <v>22963772</v>
      </c>
      <c r="H833" s="1">
        <v>0</v>
      </c>
      <c r="I833" s="1">
        <v>19152193</v>
      </c>
      <c r="J833" s="1">
        <v>0</v>
      </c>
      <c r="K833" s="1">
        <v>4620000</v>
      </c>
      <c r="L833" s="1">
        <v>0</v>
      </c>
      <c r="M833" s="1">
        <v>1000000</v>
      </c>
      <c r="N833" s="1">
        <v>3388540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10584467</v>
      </c>
      <c r="W833" s="1">
        <v>4000000</v>
      </c>
      <c r="X833" s="1">
        <v>2480543</v>
      </c>
      <c r="Y833" s="1">
        <v>0</v>
      </c>
      <c r="Z833" s="1">
        <v>0</v>
      </c>
      <c r="AA833" s="1">
        <v>0</v>
      </c>
      <c r="AB833" s="1">
        <v>0</v>
      </c>
      <c r="AC833" s="1">
        <v>1531714</v>
      </c>
      <c r="AD833" s="1">
        <v>0</v>
      </c>
      <c r="AE833" s="1">
        <v>2662424</v>
      </c>
      <c r="AF833" s="1">
        <v>1835427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13390281</v>
      </c>
      <c r="AM833" s="1">
        <v>0</v>
      </c>
      <c r="AN833" s="1">
        <v>0</v>
      </c>
      <c r="AO833" s="1">
        <v>104697547</v>
      </c>
      <c r="AP833" s="1">
        <v>45629611</v>
      </c>
      <c r="AQ833" s="1">
        <v>59067936</v>
      </c>
      <c r="AR833" s="1">
        <v>20572424</v>
      </c>
      <c r="AS833" s="1">
        <v>3085864</v>
      </c>
      <c r="AT833" s="3">
        <f t="shared" si="83"/>
        <v>128355835</v>
      </c>
    </row>
    <row r="834" spans="1:46" x14ac:dyDescent="0.2">
      <c r="A834" s="1" t="str">
        <f>"00957"</f>
        <v>00957</v>
      </c>
      <c r="B834" s="1" t="str">
        <f>"محمود"</f>
        <v>محمود</v>
      </c>
      <c r="C834" s="1" t="str">
        <f>"عابدي"</f>
        <v>عابدي</v>
      </c>
      <c r="D834" s="1" t="str">
        <f t="shared" si="88"/>
        <v>قراردادي بهره بردار</v>
      </c>
      <c r="E834" s="1" t="str">
        <f t="shared" si="89"/>
        <v>پروژه بهره برداري نيروگاه بوشهر</v>
      </c>
      <c r="F834" s="1">
        <v>17826331</v>
      </c>
      <c r="G834" s="1">
        <v>23222899</v>
      </c>
      <c r="H834" s="1">
        <v>0</v>
      </c>
      <c r="I834" s="1">
        <v>19613574</v>
      </c>
      <c r="J834" s="1">
        <v>0</v>
      </c>
      <c r="K834" s="1">
        <v>4620000</v>
      </c>
      <c r="L834" s="1">
        <v>0</v>
      </c>
      <c r="M834" s="1">
        <v>1000000</v>
      </c>
      <c r="N834" s="1">
        <v>3646891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10825713</v>
      </c>
      <c r="W834" s="1">
        <v>4000000</v>
      </c>
      <c r="X834" s="1">
        <v>2587693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2865414</v>
      </c>
      <c r="AF834" s="1">
        <v>1835427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13784923</v>
      </c>
      <c r="AM834" s="1">
        <v>0</v>
      </c>
      <c r="AN834" s="1">
        <v>0</v>
      </c>
      <c r="AO834" s="1">
        <v>105828865</v>
      </c>
      <c r="AP834" s="1">
        <v>41588753</v>
      </c>
      <c r="AQ834" s="1">
        <v>64240112</v>
      </c>
      <c r="AR834" s="1">
        <v>20798688</v>
      </c>
      <c r="AS834" s="1">
        <v>3119803</v>
      </c>
      <c r="AT834" s="3">
        <f t="shared" si="83"/>
        <v>129747356</v>
      </c>
    </row>
    <row r="835" spans="1:46" x14ac:dyDescent="0.2">
      <c r="A835" s="1" t="str">
        <f>"00958"</f>
        <v>00958</v>
      </c>
      <c r="B835" s="1" t="str">
        <f>"هادي"</f>
        <v>هادي</v>
      </c>
      <c r="C835" s="1" t="str">
        <f>"عباسي"</f>
        <v>عباسي</v>
      </c>
      <c r="D835" s="1" t="str">
        <f t="shared" si="88"/>
        <v>قراردادي بهره بردار</v>
      </c>
      <c r="E835" s="1" t="str">
        <f t="shared" si="89"/>
        <v>پروژه بهره برداري نيروگاه بوشهر</v>
      </c>
      <c r="F835" s="1">
        <v>16075441</v>
      </c>
      <c r="G835" s="1">
        <v>28363518</v>
      </c>
      <c r="H835" s="1">
        <v>0</v>
      </c>
      <c r="I835" s="1">
        <v>16237121</v>
      </c>
      <c r="J835" s="1">
        <v>0</v>
      </c>
      <c r="K835" s="1">
        <v>0</v>
      </c>
      <c r="L835" s="1">
        <v>0</v>
      </c>
      <c r="M835" s="1">
        <v>1000000</v>
      </c>
      <c r="N835" s="1">
        <v>3034079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9365960</v>
      </c>
      <c r="W835" s="1">
        <v>4000000</v>
      </c>
      <c r="X835" s="1">
        <v>2333532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2383919</v>
      </c>
      <c r="AF835" s="1">
        <v>1835427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12896252</v>
      </c>
      <c r="AM835" s="1">
        <v>0</v>
      </c>
      <c r="AN835" s="1">
        <v>0</v>
      </c>
      <c r="AO835" s="1">
        <v>97525249</v>
      </c>
      <c r="AP835" s="1">
        <v>37849765</v>
      </c>
      <c r="AQ835" s="1">
        <v>59675484</v>
      </c>
      <c r="AR835" s="1">
        <v>19137964</v>
      </c>
      <c r="AS835" s="1">
        <v>2870695</v>
      </c>
      <c r="AT835" s="3">
        <f t="shared" ref="AT835:AT898" si="90">AO835+AR835+AS835</f>
        <v>119533908</v>
      </c>
    </row>
    <row r="836" spans="1:46" x14ac:dyDescent="0.2">
      <c r="A836" s="1" t="str">
        <f>"00959"</f>
        <v>00959</v>
      </c>
      <c r="B836" s="1" t="str">
        <f>"فرج اله"</f>
        <v>فرج اله</v>
      </c>
      <c r="C836" s="1" t="str">
        <f>"عرب انصاري"</f>
        <v>عرب انصاري</v>
      </c>
      <c r="D836" s="1" t="str">
        <f t="shared" si="88"/>
        <v>قراردادي بهره بردار</v>
      </c>
      <c r="E836" s="1" t="str">
        <f t="shared" si="89"/>
        <v>پروژه بهره برداري نيروگاه بوشهر</v>
      </c>
      <c r="F836" s="1">
        <v>32889026</v>
      </c>
      <c r="G836" s="1">
        <v>26441006</v>
      </c>
      <c r="H836" s="1">
        <v>0</v>
      </c>
      <c r="I836" s="1">
        <v>31636451</v>
      </c>
      <c r="J836" s="1">
        <v>0</v>
      </c>
      <c r="K836" s="1">
        <v>0</v>
      </c>
      <c r="L836" s="1">
        <v>0</v>
      </c>
      <c r="M836" s="1">
        <v>1000000</v>
      </c>
      <c r="N836" s="1">
        <v>5328375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22128356</v>
      </c>
      <c r="W836" s="1">
        <v>4000000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4186580</v>
      </c>
      <c r="AF836" s="1">
        <v>3670854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7916443</v>
      </c>
      <c r="AM836" s="1">
        <v>0</v>
      </c>
      <c r="AN836" s="1">
        <v>0</v>
      </c>
      <c r="AO836" s="1">
        <v>139197091</v>
      </c>
      <c r="AP836" s="1">
        <v>57996317</v>
      </c>
      <c r="AQ836" s="1">
        <v>81200774</v>
      </c>
      <c r="AR836" s="1">
        <v>26552511</v>
      </c>
      <c r="AS836" s="1">
        <v>3982877</v>
      </c>
      <c r="AT836" s="3">
        <f t="shared" si="90"/>
        <v>169732479</v>
      </c>
    </row>
    <row r="837" spans="1:46" x14ac:dyDescent="0.2">
      <c r="A837" s="1" t="str">
        <f>"00960"</f>
        <v>00960</v>
      </c>
      <c r="B837" s="1" t="str">
        <f>"کورش"</f>
        <v>کورش</v>
      </c>
      <c r="C837" s="1" t="str">
        <f>"عفيفيان"</f>
        <v>عفيفيان</v>
      </c>
      <c r="D837" s="1" t="str">
        <f t="shared" si="88"/>
        <v>قراردادي بهره بردار</v>
      </c>
      <c r="E837" s="1" t="str">
        <f t="shared" si="89"/>
        <v>پروژه بهره برداري نيروگاه بوشهر</v>
      </c>
      <c r="F837" s="1">
        <v>31251503</v>
      </c>
      <c r="G837" s="1">
        <v>37570991</v>
      </c>
      <c r="H837" s="1">
        <v>0</v>
      </c>
      <c r="I837" s="1">
        <v>32058952</v>
      </c>
      <c r="J837" s="1">
        <v>0</v>
      </c>
      <c r="K837" s="1">
        <v>5500000</v>
      </c>
      <c r="L837" s="1">
        <v>0</v>
      </c>
      <c r="M837" s="1">
        <v>1000000</v>
      </c>
      <c r="N837" s="1">
        <v>4755242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17514296</v>
      </c>
      <c r="W837" s="1">
        <v>4000000</v>
      </c>
      <c r="X837" s="1">
        <v>4536509</v>
      </c>
      <c r="Y837" s="1">
        <v>0</v>
      </c>
      <c r="Z837" s="1">
        <v>0</v>
      </c>
      <c r="AA837" s="1">
        <v>0</v>
      </c>
      <c r="AB837" s="1">
        <v>0</v>
      </c>
      <c r="AC837" s="1">
        <v>3401010</v>
      </c>
      <c r="AD837" s="1">
        <v>0</v>
      </c>
      <c r="AE837" s="1">
        <v>3736262</v>
      </c>
      <c r="AF837" s="1">
        <v>3670854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18206614</v>
      </c>
      <c r="AM837" s="1">
        <v>0</v>
      </c>
      <c r="AN837" s="1">
        <v>0</v>
      </c>
      <c r="AO837" s="1">
        <v>167202233</v>
      </c>
      <c r="AP837" s="1">
        <v>60197133</v>
      </c>
      <c r="AQ837" s="1">
        <v>107005100</v>
      </c>
      <c r="AR837" s="1">
        <v>26552511</v>
      </c>
      <c r="AS837" s="1">
        <v>3982877</v>
      </c>
      <c r="AT837" s="3">
        <f t="shared" si="90"/>
        <v>197737621</v>
      </c>
    </row>
    <row r="838" spans="1:46" x14ac:dyDescent="0.2">
      <c r="A838" s="1" t="str">
        <f>"00961"</f>
        <v>00961</v>
      </c>
      <c r="B838" s="1" t="str">
        <f>"احمد"</f>
        <v>احمد</v>
      </c>
      <c r="C838" s="1" t="str">
        <f>"علي زاده"</f>
        <v>علي زاده</v>
      </c>
      <c r="D838" s="1" t="str">
        <f t="shared" si="88"/>
        <v>قراردادي بهره بردار</v>
      </c>
      <c r="E838" s="1" t="str">
        <f t="shared" si="89"/>
        <v>پروژه بهره برداري نيروگاه بوشهر</v>
      </c>
      <c r="F838" s="1">
        <v>17450960</v>
      </c>
      <c r="G838" s="1">
        <v>22636639</v>
      </c>
      <c r="H838" s="1">
        <v>0</v>
      </c>
      <c r="I838" s="1">
        <v>19069756</v>
      </c>
      <c r="J838" s="1">
        <v>0</v>
      </c>
      <c r="K838" s="1">
        <v>4620000</v>
      </c>
      <c r="L838" s="1">
        <v>0</v>
      </c>
      <c r="M838" s="1">
        <v>1000000</v>
      </c>
      <c r="N838" s="1">
        <v>3515511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10433684</v>
      </c>
      <c r="W838" s="1">
        <v>4000000</v>
      </c>
      <c r="X838" s="1">
        <v>2533204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2762187</v>
      </c>
      <c r="AF838" s="1">
        <v>3670854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13599883</v>
      </c>
      <c r="AM838" s="1">
        <v>0</v>
      </c>
      <c r="AN838" s="1">
        <v>0</v>
      </c>
      <c r="AO838" s="1">
        <v>105292678</v>
      </c>
      <c r="AP838" s="1">
        <v>37267665</v>
      </c>
      <c r="AQ838" s="1">
        <v>68025013</v>
      </c>
      <c r="AR838" s="1">
        <v>20324365</v>
      </c>
      <c r="AS838" s="1">
        <v>3048655</v>
      </c>
      <c r="AT838" s="3">
        <f t="shared" si="90"/>
        <v>128665698</v>
      </c>
    </row>
    <row r="839" spans="1:46" x14ac:dyDescent="0.2">
      <c r="A839" s="1" t="str">
        <f>"00962"</f>
        <v>00962</v>
      </c>
      <c r="B839" s="1" t="str">
        <f>"کيانوش"</f>
        <v>کيانوش</v>
      </c>
      <c r="C839" s="1" t="str">
        <f>"غذباني"</f>
        <v>غذباني</v>
      </c>
      <c r="D839" s="1" t="str">
        <f t="shared" si="88"/>
        <v>قراردادي بهره بردار</v>
      </c>
      <c r="E839" s="1" t="str">
        <f t="shared" si="89"/>
        <v>پروژه بهره برداري نيروگاه بوشهر</v>
      </c>
      <c r="F839" s="1">
        <v>16921914</v>
      </c>
      <c r="G839" s="1">
        <v>21635867</v>
      </c>
      <c r="H839" s="1">
        <v>0</v>
      </c>
      <c r="I839" s="1">
        <v>17403139</v>
      </c>
      <c r="J839" s="1">
        <v>0</v>
      </c>
      <c r="K839" s="1">
        <v>4620000</v>
      </c>
      <c r="L839" s="1">
        <v>0</v>
      </c>
      <c r="M839" s="1">
        <v>1000000</v>
      </c>
      <c r="N839" s="1">
        <v>3330344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10311434</v>
      </c>
      <c r="W839" s="1">
        <v>4000000</v>
      </c>
      <c r="X839" s="1">
        <v>2456407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2616700</v>
      </c>
      <c r="AF839" s="1">
        <v>3670854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13293792</v>
      </c>
      <c r="AM839" s="1">
        <v>0</v>
      </c>
      <c r="AN839" s="1">
        <v>0</v>
      </c>
      <c r="AO839" s="1">
        <v>101260451</v>
      </c>
      <c r="AP839" s="1">
        <v>44296050</v>
      </c>
      <c r="AQ839" s="1">
        <v>56964401</v>
      </c>
      <c r="AR839" s="1">
        <v>19517919</v>
      </c>
      <c r="AS839" s="1">
        <v>2927688</v>
      </c>
      <c r="AT839" s="3">
        <f t="shared" si="90"/>
        <v>123706058</v>
      </c>
    </row>
    <row r="840" spans="1:46" x14ac:dyDescent="0.2">
      <c r="A840" s="1" t="str">
        <f>"00963"</f>
        <v>00963</v>
      </c>
      <c r="B840" s="1" t="str">
        <f>"پشوتن"</f>
        <v>پشوتن</v>
      </c>
      <c r="C840" s="1" t="str">
        <f>"قائدي"</f>
        <v>قائدي</v>
      </c>
      <c r="D840" s="1" t="str">
        <f t="shared" si="88"/>
        <v>قراردادي بهره بردار</v>
      </c>
      <c r="E840" s="1" t="str">
        <f t="shared" si="89"/>
        <v>پروژه بهره برداري نيروگاه بوشهر</v>
      </c>
      <c r="F840" s="1">
        <v>21219783</v>
      </c>
      <c r="G840" s="1">
        <v>31118204</v>
      </c>
      <c r="H840" s="1">
        <v>0</v>
      </c>
      <c r="I840" s="1">
        <v>24754056</v>
      </c>
      <c r="J840" s="1">
        <v>0</v>
      </c>
      <c r="K840" s="1">
        <v>4620000</v>
      </c>
      <c r="L840" s="1">
        <v>0</v>
      </c>
      <c r="M840" s="1">
        <v>1000000</v>
      </c>
      <c r="N840" s="1">
        <v>4437814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13431503</v>
      </c>
      <c r="W840" s="1">
        <v>4000000</v>
      </c>
      <c r="X840" s="1">
        <v>3080291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3486854</v>
      </c>
      <c r="AF840" s="1">
        <v>3670854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15875537</v>
      </c>
      <c r="AM840" s="1">
        <v>0</v>
      </c>
      <c r="AN840" s="1">
        <v>0</v>
      </c>
      <c r="AO840" s="1">
        <v>130694896</v>
      </c>
      <c r="AP840" s="1">
        <v>32262339</v>
      </c>
      <c r="AQ840" s="1">
        <v>98432557</v>
      </c>
      <c r="AR840" s="1">
        <v>25404808</v>
      </c>
      <c r="AS840" s="1">
        <v>3810721</v>
      </c>
      <c r="AT840" s="3">
        <f t="shared" si="90"/>
        <v>159910425</v>
      </c>
    </row>
    <row r="841" spans="1:46" x14ac:dyDescent="0.2">
      <c r="A841" s="1" t="str">
        <f>"00964"</f>
        <v>00964</v>
      </c>
      <c r="B841" s="1" t="str">
        <f>"داوود"</f>
        <v>داوود</v>
      </c>
      <c r="C841" s="1" t="str">
        <f>"قايدي"</f>
        <v>قايدي</v>
      </c>
      <c r="D841" s="1" t="str">
        <f t="shared" si="88"/>
        <v>قراردادي بهره بردار</v>
      </c>
      <c r="E841" s="1" t="str">
        <f t="shared" si="89"/>
        <v>پروژه بهره برداري نيروگاه بوشهر</v>
      </c>
      <c r="F841" s="1">
        <v>19211928</v>
      </c>
      <c r="G841" s="1">
        <v>24002487</v>
      </c>
      <c r="H841" s="1">
        <v>0</v>
      </c>
      <c r="I841" s="1">
        <v>19653530</v>
      </c>
      <c r="J841" s="1">
        <v>0</v>
      </c>
      <c r="K841" s="1">
        <v>0</v>
      </c>
      <c r="L841" s="1">
        <v>0</v>
      </c>
      <c r="M841" s="1">
        <v>1000000</v>
      </c>
      <c r="N841" s="1">
        <v>3735065</v>
      </c>
      <c r="O841" s="1">
        <v>0</v>
      </c>
      <c r="P841" s="1">
        <v>0</v>
      </c>
      <c r="Q841" s="1">
        <v>0</v>
      </c>
      <c r="R841" s="1">
        <v>459667</v>
      </c>
      <c r="S841" s="1">
        <v>0</v>
      </c>
      <c r="T841" s="1">
        <v>0</v>
      </c>
      <c r="U841" s="1">
        <v>0</v>
      </c>
      <c r="V841" s="1">
        <v>11189130</v>
      </c>
      <c r="W841" s="1">
        <v>4000000</v>
      </c>
      <c r="X841" s="1">
        <v>2788828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2934694</v>
      </c>
      <c r="AF841" s="1">
        <v>1835427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14140140</v>
      </c>
      <c r="AM841" s="1">
        <v>0</v>
      </c>
      <c r="AN841" s="1">
        <v>0</v>
      </c>
      <c r="AO841" s="1">
        <v>104950896</v>
      </c>
      <c r="AP841" s="1">
        <v>21545083</v>
      </c>
      <c r="AQ841" s="1">
        <v>83405813</v>
      </c>
      <c r="AR841" s="1">
        <v>20531160</v>
      </c>
      <c r="AS841" s="1">
        <v>3079674</v>
      </c>
      <c r="AT841" s="3">
        <f t="shared" si="90"/>
        <v>128561730</v>
      </c>
    </row>
    <row r="842" spans="1:46" x14ac:dyDescent="0.2">
      <c r="A842" s="1" t="str">
        <f>"00965"</f>
        <v>00965</v>
      </c>
      <c r="B842" s="1" t="str">
        <f>"اسدالله"</f>
        <v>اسدالله</v>
      </c>
      <c r="C842" s="1" t="str">
        <f>"قبادي فر"</f>
        <v>قبادي فر</v>
      </c>
      <c r="D842" s="1" t="str">
        <f t="shared" si="88"/>
        <v>قراردادي بهره بردار</v>
      </c>
      <c r="E842" s="1" t="str">
        <f t="shared" si="89"/>
        <v>پروژه بهره برداري نيروگاه بوشهر</v>
      </c>
      <c r="F842" s="1">
        <v>22177104</v>
      </c>
      <c r="G842" s="1">
        <v>27480113</v>
      </c>
      <c r="H842" s="1">
        <v>0</v>
      </c>
      <c r="I842" s="1">
        <v>22532592</v>
      </c>
      <c r="J842" s="1">
        <v>0</v>
      </c>
      <c r="K842" s="1">
        <v>4620000</v>
      </c>
      <c r="L842" s="1">
        <v>0</v>
      </c>
      <c r="M842" s="1">
        <v>1000000</v>
      </c>
      <c r="N842" s="1">
        <v>4243831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13096742</v>
      </c>
      <c r="W842" s="1">
        <v>4000000</v>
      </c>
      <c r="X842" s="1">
        <v>3219257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3334439</v>
      </c>
      <c r="AF842" s="1">
        <v>1835427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15747055</v>
      </c>
      <c r="AM842" s="1">
        <v>0</v>
      </c>
      <c r="AN842" s="1">
        <v>0</v>
      </c>
      <c r="AO842" s="1">
        <v>123286560</v>
      </c>
      <c r="AP842" s="1">
        <v>52201666</v>
      </c>
      <c r="AQ842" s="1">
        <v>71084894</v>
      </c>
      <c r="AR842" s="1">
        <v>24290227</v>
      </c>
      <c r="AS842" s="1">
        <v>3643534</v>
      </c>
      <c r="AT842" s="3">
        <f t="shared" si="90"/>
        <v>151220321</v>
      </c>
    </row>
    <row r="843" spans="1:46" x14ac:dyDescent="0.2">
      <c r="A843" s="1" t="str">
        <f>"00966"</f>
        <v>00966</v>
      </c>
      <c r="B843" s="1" t="str">
        <f>"جواد"</f>
        <v>جواد</v>
      </c>
      <c r="C843" s="1" t="str">
        <f>"قربان پور"</f>
        <v>قربان پور</v>
      </c>
      <c r="D843" s="1" t="str">
        <f t="shared" si="88"/>
        <v>قراردادي بهره بردار</v>
      </c>
      <c r="E843" s="1" t="str">
        <f t="shared" si="89"/>
        <v>پروژه بهره برداري نيروگاه بوشهر</v>
      </c>
      <c r="F843" s="1">
        <v>19851821</v>
      </c>
      <c r="G843" s="1">
        <v>29240018</v>
      </c>
      <c r="H843" s="1">
        <v>0</v>
      </c>
      <c r="I843" s="1">
        <v>19367073</v>
      </c>
      <c r="J843" s="1">
        <v>0</v>
      </c>
      <c r="K843" s="1">
        <v>4620000</v>
      </c>
      <c r="L843" s="1">
        <v>0</v>
      </c>
      <c r="M843" s="1">
        <v>1000000</v>
      </c>
      <c r="N843" s="1">
        <v>3959028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11148396</v>
      </c>
      <c r="W843" s="1">
        <v>4000000</v>
      </c>
      <c r="X843" s="1">
        <v>2881716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3110665</v>
      </c>
      <c r="AF843" s="1">
        <v>1835427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11625156</v>
      </c>
      <c r="AM843" s="1">
        <v>0</v>
      </c>
      <c r="AN843" s="1">
        <v>0</v>
      </c>
      <c r="AO843" s="1">
        <v>112639300</v>
      </c>
      <c r="AP843" s="1">
        <v>43623682</v>
      </c>
      <c r="AQ843" s="1">
        <v>69015618</v>
      </c>
      <c r="AR843" s="1">
        <v>22160775</v>
      </c>
      <c r="AS843" s="1">
        <v>3324116</v>
      </c>
      <c r="AT843" s="3">
        <f t="shared" si="90"/>
        <v>138124191</v>
      </c>
    </row>
    <row r="844" spans="1:46" x14ac:dyDescent="0.2">
      <c r="A844" s="1" t="str">
        <f>"00967"</f>
        <v>00967</v>
      </c>
      <c r="B844" s="1" t="str">
        <f>"حميد"</f>
        <v>حميد</v>
      </c>
      <c r="C844" s="1" t="str">
        <f>"قياسوند"</f>
        <v>قياسوند</v>
      </c>
      <c r="D844" s="1" t="str">
        <f t="shared" si="88"/>
        <v>قراردادي بهره بردار</v>
      </c>
      <c r="E844" s="1" t="str">
        <f t="shared" si="89"/>
        <v>پروژه بهره برداري نيروگاه بوشهر</v>
      </c>
      <c r="F844" s="1">
        <v>28167921</v>
      </c>
      <c r="G844" s="1">
        <v>6501799</v>
      </c>
      <c r="H844" s="1">
        <v>0</v>
      </c>
      <c r="I844" s="1">
        <v>30465145</v>
      </c>
      <c r="J844" s="1">
        <v>0</v>
      </c>
      <c r="K844" s="1">
        <v>0</v>
      </c>
      <c r="L844" s="1">
        <v>0</v>
      </c>
      <c r="M844" s="1">
        <v>1000000</v>
      </c>
      <c r="N844" s="1">
        <v>4486310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14873717</v>
      </c>
      <c r="W844" s="1">
        <v>4000000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3892267</v>
      </c>
      <c r="AD844" s="1">
        <v>0</v>
      </c>
      <c r="AE844" s="1">
        <v>3524958</v>
      </c>
      <c r="AF844" s="1">
        <v>5506281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6729466</v>
      </c>
      <c r="AM844" s="1">
        <v>0</v>
      </c>
      <c r="AN844" s="1">
        <v>0</v>
      </c>
      <c r="AO844" s="1">
        <v>109147864</v>
      </c>
      <c r="AP844" s="1">
        <v>49372225</v>
      </c>
      <c r="AQ844" s="1">
        <v>59775639</v>
      </c>
      <c r="AR844" s="1">
        <v>20728317</v>
      </c>
      <c r="AS844" s="1">
        <v>3109247</v>
      </c>
      <c r="AT844" s="3">
        <f t="shared" si="90"/>
        <v>132985428</v>
      </c>
    </row>
    <row r="845" spans="1:46" x14ac:dyDescent="0.2">
      <c r="A845" s="1" t="str">
        <f>"00968"</f>
        <v>00968</v>
      </c>
      <c r="B845" s="1" t="str">
        <f>"پيمان"</f>
        <v>پيمان</v>
      </c>
      <c r="C845" s="1" t="str">
        <f>"كمري قنواتي"</f>
        <v>كمري قنواتي</v>
      </c>
      <c r="D845" s="1" t="str">
        <f t="shared" si="88"/>
        <v>قراردادي بهره بردار</v>
      </c>
      <c r="E845" s="1" t="str">
        <f t="shared" si="89"/>
        <v>پروژه بهره برداري نيروگاه بوشهر</v>
      </c>
      <c r="F845" s="1">
        <v>16239193</v>
      </c>
      <c r="G845" s="1">
        <v>23025254</v>
      </c>
      <c r="H845" s="1">
        <v>0</v>
      </c>
      <c r="I845" s="1">
        <v>16042769</v>
      </c>
      <c r="J845" s="1">
        <v>0</v>
      </c>
      <c r="K845" s="1">
        <v>4620000</v>
      </c>
      <c r="L845" s="1">
        <v>0</v>
      </c>
      <c r="M845" s="1">
        <v>1000000</v>
      </c>
      <c r="N845" s="1">
        <v>3091392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9720975</v>
      </c>
      <c r="W845" s="1">
        <v>4000000</v>
      </c>
      <c r="X845" s="1">
        <v>2357302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2428951</v>
      </c>
      <c r="AF845" s="1">
        <v>3670854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14042897</v>
      </c>
      <c r="AM845" s="1">
        <v>0</v>
      </c>
      <c r="AN845" s="1">
        <v>0</v>
      </c>
      <c r="AO845" s="1">
        <v>100239587</v>
      </c>
      <c r="AP845" s="1">
        <v>33778170</v>
      </c>
      <c r="AQ845" s="1">
        <v>66461417</v>
      </c>
      <c r="AR845" s="1">
        <v>19313747</v>
      </c>
      <c r="AS845" s="1">
        <v>2897062</v>
      </c>
      <c r="AT845" s="3">
        <f t="shared" si="90"/>
        <v>122450396</v>
      </c>
    </row>
    <row r="846" spans="1:46" x14ac:dyDescent="0.2">
      <c r="A846" s="1" t="str">
        <f>"00969"</f>
        <v>00969</v>
      </c>
      <c r="B846" s="1" t="str">
        <f>"فرشيد"</f>
        <v>فرشيد</v>
      </c>
      <c r="C846" s="1" t="str">
        <f>"كولاني"</f>
        <v>كولاني</v>
      </c>
      <c r="D846" s="1" t="str">
        <f t="shared" si="88"/>
        <v>قراردادي بهره بردار</v>
      </c>
      <c r="E846" s="1" t="str">
        <f t="shared" si="89"/>
        <v>پروژه بهره برداري نيروگاه بوشهر</v>
      </c>
      <c r="F846" s="1">
        <v>30064928</v>
      </c>
      <c r="G846" s="1">
        <v>6042723</v>
      </c>
      <c r="H846" s="1">
        <v>0</v>
      </c>
      <c r="I846" s="1">
        <v>27485768</v>
      </c>
      <c r="J846" s="1">
        <v>0</v>
      </c>
      <c r="K846" s="1">
        <v>0</v>
      </c>
      <c r="L846" s="1">
        <v>0</v>
      </c>
      <c r="M846" s="1">
        <v>1000000</v>
      </c>
      <c r="N846" s="1">
        <v>4339941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13823521</v>
      </c>
      <c r="W846" s="1">
        <v>4000000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3409954</v>
      </c>
      <c r="AF846" s="1">
        <v>3670854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6509911</v>
      </c>
      <c r="AM846" s="1">
        <v>0</v>
      </c>
      <c r="AN846" s="1">
        <v>0</v>
      </c>
      <c r="AO846" s="1">
        <v>100347600</v>
      </c>
      <c r="AP846" s="1">
        <v>26461830</v>
      </c>
      <c r="AQ846" s="1">
        <v>73885770</v>
      </c>
      <c r="AR846" s="1">
        <v>19335349</v>
      </c>
      <c r="AS846" s="1">
        <v>2900302</v>
      </c>
      <c r="AT846" s="3">
        <f t="shared" si="90"/>
        <v>122583251</v>
      </c>
    </row>
    <row r="847" spans="1:46" x14ac:dyDescent="0.2">
      <c r="A847" s="1" t="str">
        <f>"00970"</f>
        <v>00970</v>
      </c>
      <c r="B847" s="1" t="str">
        <f>"داود"</f>
        <v>داود</v>
      </c>
      <c r="C847" s="1" t="str">
        <f>"لحصائي"</f>
        <v>لحصائي</v>
      </c>
      <c r="D847" s="1" t="str">
        <f t="shared" si="88"/>
        <v>قراردادي بهره بردار</v>
      </c>
      <c r="E847" s="1" t="str">
        <f t="shared" si="89"/>
        <v>پروژه بهره برداري نيروگاه بوشهر</v>
      </c>
      <c r="F847" s="1">
        <v>17047878</v>
      </c>
      <c r="G847" s="1">
        <v>21948857</v>
      </c>
      <c r="H847" s="1">
        <v>0</v>
      </c>
      <c r="I847" s="1">
        <v>18185775</v>
      </c>
      <c r="J847" s="1">
        <v>0</v>
      </c>
      <c r="K847" s="1">
        <v>0</v>
      </c>
      <c r="L847" s="1">
        <v>0</v>
      </c>
      <c r="M847" s="1">
        <v>1000000</v>
      </c>
      <c r="N847" s="1">
        <v>3374432</v>
      </c>
      <c r="O847" s="1">
        <v>0</v>
      </c>
      <c r="P847" s="1">
        <v>0</v>
      </c>
      <c r="Q847" s="1">
        <v>0</v>
      </c>
      <c r="R847" s="1">
        <v>546574</v>
      </c>
      <c r="S847" s="1">
        <v>0</v>
      </c>
      <c r="T847" s="1">
        <v>0</v>
      </c>
      <c r="U847" s="1">
        <v>0</v>
      </c>
      <c r="V847" s="1">
        <v>10231798</v>
      </c>
      <c r="W847" s="1">
        <v>4000000</v>
      </c>
      <c r="X847" s="1">
        <v>2474692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2651339</v>
      </c>
      <c r="AF847" s="1">
        <v>3670854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13310167</v>
      </c>
      <c r="AM847" s="1">
        <v>0</v>
      </c>
      <c r="AN847" s="1">
        <v>0</v>
      </c>
      <c r="AO847" s="1">
        <v>98442366</v>
      </c>
      <c r="AP847" s="1">
        <v>33240744</v>
      </c>
      <c r="AQ847" s="1">
        <v>65201622</v>
      </c>
      <c r="AR847" s="1">
        <v>18844988</v>
      </c>
      <c r="AS847" s="1">
        <v>2826748</v>
      </c>
      <c r="AT847" s="3">
        <f t="shared" si="90"/>
        <v>120114102</v>
      </c>
    </row>
    <row r="848" spans="1:46" x14ac:dyDescent="0.2">
      <c r="A848" s="1" t="str">
        <f>"00971"</f>
        <v>00971</v>
      </c>
      <c r="B848" s="1" t="str">
        <f>"مجتبي"</f>
        <v>مجتبي</v>
      </c>
      <c r="C848" s="1" t="str">
        <f>"مصيبي"</f>
        <v>مصيبي</v>
      </c>
      <c r="D848" s="1" t="str">
        <f t="shared" si="88"/>
        <v>قراردادي بهره بردار</v>
      </c>
      <c r="E848" s="1" t="str">
        <f t="shared" si="89"/>
        <v>پروژه بهره برداري نيروگاه بوشهر</v>
      </c>
      <c r="F848" s="1">
        <v>16239193</v>
      </c>
      <c r="G848" s="1">
        <v>20569970</v>
      </c>
      <c r="H848" s="1">
        <v>0</v>
      </c>
      <c r="I848" s="1">
        <v>16746530</v>
      </c>
      <c r="J848" s="1">
        <v>0</v>
      </c>
      <c r="K848" s="1">
        <v>4620000</v>
      </c>
      <c r="L848" s="1">
        <v>0</v>
      </c>
      <c r="M848" s="1">
        <v>1000000</v>
      </c>
      <c r="N848" s="1">
        <v>3091392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9481115</v>
      </c>
      <c r="W848" s="1">
        <v>4000000</v>
      </c>
      <c r="X848" s="1">
        <v>2357302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2428951</v>
      </c>
      <c r="AF848" s="1">
        <v>1835427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12743206</v>
      </c>
      <c r="AM848" s="1">
        <v>0</v>
      </c>
      <c r="AN848" s="1">
        <v>0</v>
      </c>
      <c r="AO848" s="1">
        <v>95113086</v>
      </c>
      <c r="AP848" s="1">
        <v>36597772</v>
      </c>
      <c r="AQ848" s="1">
        <v>58515314</v>
      </c>
      <c r="AR848" s="1">
        <v>18655532</v>
      </c>
      <c r="AS848" s="1">
        <v>2798330</v>
      </c>
      <c r="AT848" s="3">
        <f t="shared" si="90"/>
        <v>116566948</v>
      </c>
    </row>
    <row r="849" spans="1:46" x14ac:dyDescent="0.2">
      <c r="A849" s="1" t="str">
        <f>"00972"</f>
        <v>00972</v>
      </c>
      <c r="B849" s="1" t="str">
        <f>"رضا"</f>
        <v>رضا</v>
      </c>
      <c r="C849" s="1" t="str">
        <f>"مقدم"</f>
        <v>مقدم</v>
      </c>
      <c r="D849" s="1" t="str">
        <f t="shared" si="88"/>
        <v>قراردادي بهره بردار</v>
      </c>
      <c r="E849" s="1" t="str">
        <f t="shared" si="89"/>
        <v>پروژه بهره برداري نيروگاه بوشهر</v>
      </c>
      <c r="F849" s="1">
        <v>34272104</v>
      </c>
      <c r="G849" s="1">
        <v>27997029</v>
      </c>
      <c r="H849" s="1">
        <v>0</v>
      </c>
      <c r="I849" s="1">
        <v>36706168</v>
      </c>
      <c r="J849" s="1">
        <v>0</v>
      </c>
      <c r="K849" s="1">
        <v>5500000</v>
      </c>
      <c r="L849" s="1">
        <v>0</v>
      </c>
      <c r="M849" s="1">
        <v>1000000</v>
      </c>
      <c r="N849" s="1">
        <v>5812452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21627513</v>
      </c>
      <c r="W849" s="1">
        <v>4000000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6235185</v>
      </c>
      <c r="AD849" s="1">
        <v>0</v>
      </c>
      <c r="AE849" s="1">
        <v>4566926</v>
      </c>
      <c r="AF849" s="1">
        <v>3670854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7473152</v>
      </c>
      <c r="AM849" s="1">
        <v>0</v>
      </c>
      <c r="AN849" s="1">
        <v>0</v>
      </c>
      <c r="AO849" s="1">
        <v>158861383</v>
      </c>
      <c r="AP849" s="1">
        <v>59061732</v>
      </c>
      <c r="AQ849" s="1">
        <v>99799651</v>
      </c>
      <c r="AR849" s="1">
        <v>26552511</v>
      </c>
      <c r="AS849" s="1">
        <v>3982877</v>
      </c>
      <c r="AT849" s="3">
        <f t="shared" si="90"/>
        <v>189396771</v>
      </c>
    </row>
    <row r="850" spans="1:46" x14ac:dyDescent="0.2">
      <c r="A850" s="1" t="str">
        <f>"00973"</f>
        <v>00973</v>
      </c>
      <c r="B850" s="1" t="str">
        <f>"مجيد"</f>
        <v>مجيد</v>
      </c>
      <c r="C850" s="1" t="str">
        <f>"ملک زاده"</f>
        <v>ملک زاده</v>
      </c>
      <c r="D850" s="1" t="str">
        <f t="shared" si="88"/>
        <v>قراردادي بهره بردار</v>
      </c>
      <c r="E850" s="1" t="str">
        <f t="shared" si="89"/>
        <v>پروژه بهره برداري نيروگاه بوشهر</v>
      </c>
      <c r="F850" s="1">
        <v>17216668</v>
      </c>
      <c r="G850" s="1">
        <v>22993038</v>
      </c>
      <c r="H850" s="1">
        <v>0</v>
      </c>
      <c r="I850" s="1">
        <v>19040451</v>
      </c>
      <c r="J850" s="1">
        <v>0</v>
      </c>
      <c r="K850" s="1">
        <v>4620000</v>
      </c>
      <c r="L850" s="1">
        <v>0</v>
      </c>
      <c r="M850" s="1">
        <v>1000000</v>
      </c>
      <c r="N850" s="1">
        <v>3433508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10718559</v>
      </c>
      <c r="W850" s="1">
        <v>4000000</v>
      </c>
      <c r="X850" s="1">
        <v>2499194</v>
      </c>
      <c r="Y850" s="1">
        <v>0</v>
      </c>
      <c r="Z850" s="1">
        <v>0</v>
      </c>
      <c r="AA850" s="1">
        <v>0</v>
      </c>
      <c r="AB850" s="1">
        <v>0</v>
      </c>
      <c r="AC850" s="1">
        <v>1531714</v>
      </c>
      <c r="AD850" s="1">
        <v>0</v>
      </c>
      <c r="AE850" s="1">
        <v>2697756</v>
      </c>
      <c r="AF850" s="1">
        <v>3670854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13245549</v>
      </c>
      <c r="AM850" s="1">
        <v>0</v>
      </c>
      <c r="AN850" s="1">
        <v>0</v>
      </c>
      <c r="AO850" s="1">
        <v>106667291</v>
      </c>
      <c r="AP850" s="1">
        <v>36102210</v>
      </c>
      <c r="AQ850" s="1">
        <v>70565081</v>
      </c>
      <c r="AR850" s="1">
        <v>20599287</v>
      </c>
      <c r="AS850" s="1">
        <v>3089893</v>
      </c>
      <c r="AT850" s="3">
        <f t="shared" si="90"/>
        <v>130356471</v>
      </c>
    </row>
    <row r="851" spans="1:46" x14ac:dyDescent="0.2">
      <c r="A851" s="1" t="str">
        <f>"00974"</f>
        <v>00974</v>
      </c>
      <c r="B851" s="1" t="str">
        <f>"سيدحسين"</f>
        <v>سيدحسين</v>
      </c>
      <c r="C851" s="1" t="str">
        <f>"موسوي"</f>
        <v>موسوي</v>
      </c>
      <c r="D851" s="1" t="str">
        <f t="shared" si="88"/>
        <v>قراردادي بهره بردار</v>
      </c>
      <c r="E851" s="1" t="str">
        <f t="shared" si="89"/>
        <v>پروژه بهره برداري نيروگاه بوشهر</v>
      </c>
      <c r="F851" s="1">
        <v>16624641</v>
      </c>
      <c r="G851" s="1">
        <v>21102452</v>
      </c>
      <c r="H851" s="1">
        <v>0</v>
      </c>
      <c r="I851" s="1">
        <v>17017083</v>
      </c>
      <c r="J851" s="1">
        <v>0</v>
      </c>
      <c r="K851" s="1">
        <v>3465000</v>
      </c>
      <c r="L851" s="1">
        <v>0</v>
      </c>
      <c r="M851" s="1">
        <v>1000000</v>
      </c>
      <c r="N851" s="1">
        <v>3226299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9837233</v>
      </c>
      <c r="W851" s="1">
        <v>4000000</v>
      </c>
      <c r="X851" s="1">
        <v>2413254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2534950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13062272</v>
      </c>
      <c r="AM851" s="1">
        <v>0</v>
      </c>
      <c r="AN851" s="1">
        <v>0</v>
      </c>
      <c r="AO851" s="1">
        <v>94283184</v>
      </c>
      <c r="AP851" s="1">
        <v>34145423</v>
      </c>
      <c r="AQ851" s="1">
        <v>60137761</v>
      </c>
      <c r="AR851" s="1">
        <v>18856637</v>
      </c>
      <c r="AS851" s="1">
        <v>2828496</v>
      </c>
      <c r="AT851" s="3">
        <f t="shared" si="90"/>
        <v>115968317</v>
      </c>
    </row>
    <row r="852" spans="1:46" x14ac:dyDescent="0.2">
      <c r="A852" s="1" t="str">
        <f>"00975"</f>
        <v>00975</v>
      </c>
      <c r="B852" s="1" t="str">
        <f>"سيدعلي"</f>
        <v>سيدعلي</v>
      </c>
      <c r="C852" s="1" t="str">
        <f>"موسوي"</f>
        <v>موسوي</v>
      </c>
      <c r="D852" s="1" t="str">
        <f t="shared" si="88"/>
        <v>قراردادي بهره بردار</v>
      </c>
      <c r="E852" s="1" t="str">
        <f t="shared" si="89"/>
        <v>پروژه بهره برداري نيروگاه بوشهر</v>
      </c>
      <c r="F852" s="1">
        <v>16833740</v>
      </c>
      <c r="G852" s="1">
        <v>22394321</v>
      </c>
      <c r="H852" s="1">
        <v>0</v>
      </c>
      <c r="I852" s="1">
        <v>18300701</v>
      </c>
      <c r="J852" s="1">
        <v>0</v>
      </c>
      <c r="K852" s="1">
        <v>4620000</v>
      </c>
      <c r="L852" s="1">
        <v>0</v>
      </c>
      <c r="M852" s="1">
        <v>1000000</v>
      </c>
      <c r="N852" s="1">
        <v>3299484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10321996</v>
      </c>
      <c r="W852" s="1">
        <v>4000000</v>
      </c>
      <c r="X852" s="1">
        <v>2443607</v>
      </c>
      <c r="Y852" s="1">
        <v>0</v>
      </c>
      <c r="Z852" s="1">
        <v>0</v>
      </c>
      <c r="AA852" s="1">
        <v>0</v>
      </c>
      <c r="AB852" s="1">
        <v>0</v>
      </c>
      <c r="AC852" s="1">
        <v>1531714</v>
      </c>
      <c r="AD852" s="1">
        <v>0</v>
      </c>
      <c r="AE852" s="1">
        <v>2592451</v>
      </c>
      <c r="AF852" s="1">
        <v>3670854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13236479</v>
      </c>
      <c r="AM852" s="1">
        <v>0</v>
      </c>
      <c r="AN852" s="1">
        <v>0</v>
      </c>
      <c r="AO852" s="1">
        <v>104245347</v>
      </c>
      <c r="AP852" s="1">
        <v>45560545</v>
      </c>
      <c r="AQ852" s="1">
        <v>58684802</v>
      </c>
      <c r="AR852" s="1">
        <v>20114899</v>
      </c>
      <c r="AS852" s="1">
        <v>3017235</v>
      </c>
      <c r="AT852" s="3">
        <f t="shared" si="90"/>
        <v>127377481</v>
      </c>
    </row>
    <row r="853" spans="1:46" x14ac:dyDescent="0.2">
      <c r="A853" s="1" t="str">
        <f>"00977"</f>
        <v>00977</v>
      </c>
      <c r="B853" s="1" t="str">
        <f>"عادل"</f>
        <v>عادل</v>
      </c>
      <c r="C853" s="1" t="str">
        <f>"نامداري"</f>
        <v>نامداري</v>
      </c>
      <c r="D853" s="1" t="str">
        <f t="shared" si="88"/>
        <v>قراردادي بهره بردار</v>
      </c>
      <c r="E853" s="1" t="str">
        <f t="shared" si="89"/>
        <v>پروژه بهره برداري نيروگاه بوشهر</v>
      </c>
      <c r="F853" s="1">
        <v>19894649</v>
      </c>
      <c r="G853" s="1">
        <v>39704596</v>
      </c>
      <c r="H853" s="1">
        <v>0</v>
      </c>
      <c r="I853" s="1">
        <v>22724390</v>
      </c>
      <c r="J853" s="1">
        <v>0</v>
      </c>
      <c r="K853" s="1">
        <v>4620000</v>
      </c>
      <c r="L853" s="1">
        <v>0</v>
      </c>
      <c r="M853" s="1">
        <v>1000000</v>
      </c>
      <c r="N853" s="1">
        <v>3974017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12339273</v>
      </c>
      <c r="W853" s="1">
        <v>4000000</v>
      </c>
      <c r="X853" s="1">
        <v>2887933</v>
      </c>
      <c r="Y853" s="1">
        <v>0</v>
      </c>
      <c r="Z853" s="1">
        <v>0</v>
      </c>
      <c r="AA853" s="1">
        <v>0</v>
      </c>
      <c r="AB853" s="1">
        <v>0</v>
      </c>
      <c r="AC853" s="1">
        <v>1531714</v>
      </c>
      <c r="AD853" s="1">
        <v>0</v>
      </c>
      <c r="AE853" s="1">
        <v>3122442</v>
      </c>
      <c r="AF853" s="1">
        <v>1835427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14562243</v>
      </c>
      <c r="AM853" s="1">
        <v>0</v>
      </c>
      <c r="AN853" s="1">
        <v>0</v>
      </c>
      <c r="AO853" s="1">
        <v>132196684</v>
      </c>
      <c r="AP853" s="1">
        <v>48063812</v>
      </c>
      <c r="AQ853" s="1">
        <v>84132872</v>
      </c>
      <c r="AR853" s="1">
        <v>26072251</v>
      </c>
      <c r="AS853" s="1">
        <v>3910838</v>
      </c>
      <c r="AT853" s="3">
        <f t="shared" si="90"/>
        <v>162179773</v>
      </c>
    </row>
    <row r="854" spans="1:46" x14ac:dyDescent="0.2">
      <c r="A854" s="1" t="str">
        <f>"00978"</f>
        <v>00978</v>
      </c>
      <c r="B854" s="1" t="str">
        <f>"محسن"</f>
        <v>محسن</v>
      </c>
      <c r="C854" s="1" t="str">
        <f>"نجفي سيار"</f>
        <v>نجفي سيار</v>
      </c>
      <c r="D854" s="1" t="str">
        <f t="shared" si="88"/>
        <v>قراردادي بهره بردار</v>
      </c>
      <c r="E854" s="1" t="str">
        <f t="shared" si="89"/>
        <v>پروژه بهره برداري نيروگاه بوشهر</v>
      </c>
      <c r="F854" s="1">
        <v>20093671</v>
      </c>
      <c r="G854" s="1">
        <v>37732429</v>
      </c>
      <c r="H854" s="1">
        <v>0</v>
      </c>
      <c r="I854" s="1">
        <v>23386699</v>
      </c>
      <c r="J854" s="1">
        <v>0</v>
      </c>
      <c r="K854" s="1">
        <v>4620000</v>
      </c>
      <c r="L854" s="1">
        <v>0</v>
      </c>
      <c r="M854" s="1">
        <v>1000000</v>
      </c>
      <c r="N854" s="1">
        <v>4043675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12883265</v>
      </c>
      <c r="W854" s="1">
        <v>4000000</v>
      </c>
      <c r="X854" s="1">
        <v>2916823</v>
      </c>
      <c r="Y854" s="1">
        <v>0</v>
      </c>
      <c r="Z854" s="1">
        <v>0</v>
      </c>
      <c r="AA854" s="1">
        <v>0</v>
      </c>
      <c r="AB854" s="1">
        <v>0</v>
      </c>
      <c r="AC854" s="1">
        <v>1531714</v>
      </c>
      <c r="AD854" s="1">
        <v>0</v>
      </c>
      <c r="AE854" s="1">
        <v>3177173</v>
      </c>
      <c r="AF854" s="1">
        <v>1835427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14693119</v>
      </c>
      <c r="AM854" s="1">
        <v>0</v>
      </c>
      <c r="AN854" s="1">
        <v>0</v>
      </c>
      <c r="AO854" s="1">
        <v>131913995</v>
      </c>
      <c r="AP854" s="1">
        <v>51709740</v>
      </c>
      <c r="AQ854" s="1">
        <v>80204255</v>
      </c>
      <c r="AR854" s="1">
        <v>26015714</v>
      </c>
      <c r="AS854" s="1">
        <v>3902357</v>
      </c>
      <c r="AT854" s="3">
        <f t="shared" si="90"/>
        <v>161832066</v>
      </c>
    </row>
    <row r="855" spans="1:46" x14ac:dyDescent="0.2">
      <c r="A855" s="1" t="str">
        <f>"00979"</f>
        <v>00979</v>
      </c>
      <c r="B855" s="1" t="str">
        <f>"محسن"</f>
        <v>محسن</v>
      </c>
      <c r="C855" s="1" t="str">
        <f>"نوروزي"</f>
        <v>نوروزي</v>
      </c>
      <c r="D855" s="1" t="str">
        <f t="shared" si="88"/>
        <v>قراردادي بهره بردار</v>
      </c>
      <c r="E855" s="1" t="str">
        <f t="shared" si="89"/>
        <v>پروژه بهره برداري نيروگاه بوشهر</v>
      </c>
      <c r="F855" s="1">
        <v>15380123</v>
      </c>
      <c r="G855" s="1">
        <v>19567054</v>
      </c>
      <c r="H855" s="1">
        <v>0</v>
      </c>
      <c r="I855" s="1">
        <v>13772178</v>
      </c>
      <c r="J855" s="1">
        <v>0</v>
      </c>
      <c r="K855" s="1">
        <v>0</v>
      </c>
      <c r="L855" s="1">
        <v>0</v>
      </c>
      <c r="M855" s="1">
        <v>1000000</v>
      </c>
      <c r="N855" s="1">
        <v>2790718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8260966</v>
      </c>
      <c r="W855" s="1">
        <v>4000000</v>
      </c>
      <c r="X855" s="1">
        <v>2232599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2192706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9922762</v>
      </c>
      <c r="AM855" s="1">
        <v>0</v>
      </c>
      <c r="AN855" s="1">
        <v>0</v>
      </c>
      <c r="AO855" s="1">
        <v>79119106</v>
      </c>
      <c r="AP855" s="1">
        <v>27072687</v>
      </c>
      <c r="AQ855" s="1">
        <v>52046419</v>
      </c>
      <c r="AR855" s="1">
        <v>15823821</v>
      </c>
      <c r="AS855" s="1">
        <v>2373573</v>
      </c>
      <c r="AT855" s="3">
        <f t="shared" si="90"/>
        <v>97316500</v>
      </c>
    </row>
    <row r="856" spans="1:46" x14ac:dyDescent="0.2">
      <c r="A856" s="1" t="str">
        <f>"00980"</f>
        <v>00980</v>
      </c>
      <c r="B856" s="1" t="str">
        <f>"سيدجواد"</f>
        <v>سيدجواد</v>
      </c>
      <c r="C856" s="1" t="str">
        <f>"هاشمي"</f>
        <v>هاشمي</v>
      </c>
      <c r="D856" s="1" t="str">
        <f t="shared" si="88"/>
        <v>قراردادي بهره بردار</v>
      </c>
      <c r="E856" s="1" t="str">
        <f t="shared" si="89"/>
        <v>پروژه بهره برداري نيروگاه بوشهر</v>
      </c>
      <c r="F856" s="1">
        <v>16511274</v>
      </c>
      <c r="G856" s="1">
        <v>21565189</v>
      </c>
      <c r="H856" s="1">
        <v>0</v>
      </c>
      <c r="I856" s="1">
        <v>17127782</v>
      </c>
      <c r="J856" s="1">
        <v>0</v>
      </c>
      <c r="K856" s="1">
        <v>4620000</v>
      </c>
      <c r="L856" s="1">
        <v>0</v>
      </c>
      <c r="M856" s="1">
        <v>1000000</v>
      </c>
      <c r="N856" s="1">
        <v>3186620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9939832</v>
      </c>
      <c r="W856" s="1">
        <v>4000000</v>
      </c>
      <c r="X856" s="1">
        <v>2396798</v>
      </c>
      <c r="Y856" s="1">
        <v>0</v>
      </c>
      <c r="Z856" s="1">
        <v>0</v>
      </c>
      <c r="AA856" s="1">
        <v>0</v>
      </c>
      <c r="AB856" s="1">
        <v>0</v>
      </c>
      <c r="AC856" s="1">
        <v>1531714</v>
      </c>
      <c r="AD856" s="1">
        <v>0</v>
      </c>
      <c r="AE856" s="1">
        <v>2503773</v>
      </c>
      <c r="AF856" s="1">
        <v>3670854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12867659</v>
      </c>
      <c r="AM856" s="1">
        <v>0</v>
      </c>
      <c r="AN856" s="1">
        <v>0</v>
      </c>
      <c r="AO856" s="1">
        <v>100921495</v>
      </c>
      <c r="AP856" s="1">
        <v>37380873</v>
      </c>
      <c r="AQ856" s="1">
        <v>63540622</v>
      </c>
      <c r="AR856" s="1">
        <v>19450128</v>
      </c>
      <c r="AS856" s="1">
        <v>2917519</v>
      </c>
      <c r="AT856" s="3">
        <f t="shared" si="90"/>
        <v>123289142</v>
      </c>
    </row>
    <row r="857" spans="1:46" x14ac:dyDescent="0.2">
      <c r="A857" s="1" t="str">
        <f>"00981"</f>
        <v>00981</v>
      </c>
      <c r="B857" s="1" t="str">
        <f>"حسين"</f>
        <v>حسين</v>
      </c>
      <c r="C857" s="1" t="str">
        <f>"هاشمي پور"</f>
        <v>هاشمي پور</v>
      </c>
      <c r="D857" s="1" t="str">
        <f t="shared" si="88"/>
        <v>قراردادي بهره بردار</v>
      </c>
      <c r="E857" s="1" t="str">
        <f t="shared" si="89"/>
        <v>پروژه بهره برداري نيروگاه بوشهر</v>
      </c>
      <c r="F857" s="1">
        <v>17677694</v>
      </c>
      <c r="G857" s="1">
        <v>408507</v>
      </c>
      <c r="H857" s="1">
        <v>0</v>
      </c>
      <c r="I857" s="1">
        <v>17553220</v>
      </c>
      <c r="J857" s="1">
        <v>0</v>
      </c>
      <c r="K857" s="1">
        <v>4620000</v>
      </c>
      <c r="L857" s="1">
        <v>0</v>
      </c>
      <c r="M857" s="1">
        <v>1000000</v>
      </c>
      <c r="N857" s="1">
        <v>3594867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9140718</v>
      </c>
      <c r="W857" s="1">
        <v>4000000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2824539</v>
      </c>
      <c r="AF857" s="1">
        <v>3670854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7100175</v>
      </c>
      <c r="AM857" s="1">
        <v>0</v>
      </c>
      <c r="AN857" s="1">
        <v>0</v>
      </c>
      <c r="AO857" s="1">
        <v>71590574</v>
      </c>
      <c r="AP857" s="1">
        <v>14644465</v>
      </c>
      <c r="AQ857" s="1">
        <v>56946109</v>
      </c>
      <c r="AR857" s="1">
        <v>13583944</v>
      </c>
      <c r="AS857" s="1">
        <v>2037592</v>
      </c>
      <c r="AT857" s="3">
        <f t="shared" si="90"/>
        <v>87212110</v>
      </c>
    </row>
    <row r="858" spans="1:46" x14ac:dyDescent="0.2">
      <c r="A858" s="1" t="str">
        <f>"00982"</f>
        <v>00982</v>
      </c>
      <c r="B858" s="1" t="str">
        <f>"سياوش"</f>
        <v>سياوش</v>
      </c>
      <c r="C858" s="1" t="str">
        <f>"جهانديده"</f>
        <v>جهانديده</v>
      </c>
      <c r="D858" s="1" t="str">
        <f t="shared" si="88"/>
        <v>قراردادي بهره بردار</v>
      </c>
      <c r="E858" s="1" t="str">
        <f t="shared" si="89"/>
        <v>پروژه بهره برداري نيروگاه بوشهر</v>
      </c>
      <c r="F858" s="1">
        <v>13520904</v>
      </c>
      <c r="G858" s="1">
        <v>18320911</v>
      </c>
      <c r="H858" s="1">
        <v>0</v>
      </c>
      <c r="I858" s="1">
        <v>13024705</v>
      </c>
      <c r="J858" s="1">
        <v>0</v>
      </c>
      <c r="K858" s="1">
        <v>4620000</v>
      </c>
      <c r="L858" s="1">
        <v>0</v>
      </c>
      <c r="M858" s="1">
        <v>1000000</v>
      </c>
      <c r="N858" s="1">
        <v>2404514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7117835</v>
      </c>
      <c r="W858" s="1">
        <v>4000000</v>
      </c>
      <c r="X858" s="1">
        <v>1962712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1889261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11030231</v>
      </c>
      <c r="AM858" s="1">
        <v>0</v>
      </c>
      <c r="AN858" s="1">
        <v>0</v>
      </c>
      <c r="AO858" s="1">
        <v>78891073</v>
      </c>
      <c r="AP858" s="1">
        <v>25722437</v>
      </c>
      <c r="AQ858" s="1">
        <v>53168636</v>
      </c>
      <c r="AR858" s="1">
        <v>15778215</v>
      </c>
      <c r="AS858" s="1">
        <v>2366732</v>
      </c>
      <c r="AT858" s="3">
        <f t="shared" si="90"/>
        <v>97036020</v>
      </c>
    </row>
    <row r="859" spans="1:46" x14ac:dyDescent="0.2">
      <c r="A859" s="1" t="str">
        <f>"00983"</f>
        <v>00983</v>
      </c>
      <c r="B859" s="1" t="str">
        <f>"جليل"</f>
        <v>جليل</v>
      </c>
      <c r="C859" s="1" t="str">
        <f>"جليليان"</f>
        <v>جليليان</v>
      </c>
      <c r="D859" s="1" t="str">
        <f t="shared" si="88"/>
        <v>قراردادي بهره بردار</v>
      </c>
      <c r="E859" s="1" t="str">
        <f t="shared" si="89"/>
        <v>پروژه بهره برداري نيروگاه بوشهر</v>
      </c>
      <c r="F859" s="1">
        <v>22916346</v>
      </c>
      <c r="G859" s="1">
        <v>35357320</v>
      </c>
      <c r="H859" s="1">
        <v>0</v>
      </c>
      <c r="I859" s="1">
        <v>23827569</v>
      </c>
      <c r="J859" s="1">
        <v>0</v>
      </c>
      <c r="K859" s="1">
        <v>0</v>
      </c>
      <c r="L859" s="1">
        <v>0</v>
      </c>
      <c r="M859" s="1">
        <v>1000000</v>
      </c>
      <c r="N859" s="1">
        <v>4251845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13094749</v>
      </c>
      <c r="W859" s="1">
        <v>8200000</v>
      </c>
      <c r="X859" s="1">
        <v>3326565</v>
      </c>
      <c r="Y859" s="1">
        <v>0</v>
      </c>
      <c r="Z859" s="1">
        <v>9943103</v>
      </c>
      <c r="AA859" s="1">
        <v>0</v>
      </c>
      <c r="AB859" s="1">
        <v>0</v>
      </c>
      <c r="AC859" s="1">
        <v>0</v>
      </c>
      <c r="AD859" s="1">
        <v>0</v>
      </c>
      <c r="AE859" s="1">
        <v>3727057</v>
      </c>
      <c r="AF859" s="1">
        <v>4945038</v>
      </c>
      <c r="AG859" s="1">
        <v>9156183</v>
      </c>
      <c r="AH859" s="1">
        <v>0</v>
      </c>
      <c r="AI859" s="1">
        <v>0</v>
      </c>
      <c r="AJ859" s="1">
        <v>0</v>
      </c>
      <c r="AK859" s="1">
        <v>0</v>
      </c>
      <c r="AL859" s="1">
        <v>17186701</v>
      </c>
      <c r="AM859" s="1">
        <v>0</v>
      </c>
      <c r="AN859" s="1">
        <v>0</v>
      </c>
      <c r="AO859" s="1">
        <v>156932476</v>
      </c>
      <c r="AP859" s="1">
        <v>46643594</v>
      </c>
      <c r="AQ859" s="1">
        <v>110288882</v>
      </c>
      <c r="AR859" s="1">
        <v>28408867</v>
      </c>
      <c r="AS859" s="1">
        <v>4261330</v>
      </c>
      <c r="AT859" s="3">
        <f t="shared" si="90"/>
        <v>189602673</v>
      </c>
    </row>
    <row r="860" spans="1:46" x14ac:dyDescent="0.2">
      <c r="A860" s="1" t="str">
        <f>"01129"</f>
        <v>01129</v>
      </c>
      <c r="B860" s="1" t="str">
        <f>"علي"</f>
        <v>علي</v>
      </c>
      <c r="C860" s="1" t="str">
        <f>"نيک"</f>
        <v>نيک</v>
      </c>
      <c r="D860" s="1" t="str">
        <f>"قراردادي کارگري"</f>
        <v>قراردادي کارگري</v>
      </c>
      <c r="E860" s="1" t="str">
        <f>"پروژه تعميرات نيروگاه بوشهر"</f>
        <v>پروژه تعميرات نيروگاه بوشهر</v>
      </c>
      <c r="F860" s="1">
        <v>0</v>
      </c>
      <c r="G860" s="1">
        <v>22874258</v>
      </c>
      <c r="H860" s="1">
        <v>0</v>
      </c>
      <c r="I860" s="1">
        <v>8718646</v>
      </c>
      <c r="J860" s="1">
        <v>0</v>
      </c>
      <c r="K860" s="1">
        <v>0</v>
      </c>
      <c r="L860" s="1">
        <v>11521166</v>
      </c>
      <c r="M860" s="1">
        <v>2000000</v>
      </c>
      <c r="N860" s="1">
        <v>5528628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2640000</v>
      </c>
      <c r="U860" s="1">
        <v>0</v>
      </c>
      <c r="V860" s="1">
        <v>4247283</v>
      </c>
      <c r="W860" s="1">
        <v>4000000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1835427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73869801</v>
      </c>
      <c r="AP860" s="1">
        <v>10809579</v>
      </c>
      <c r="AQ860" s="1">
        <v>63060222</v>
      </c>
      <c r="AR860" s="1">
        <v>14406875</v>
      </c>
      <c r="AS860" s="1">
        <v>2161031</v>
      </c>
      <c r="AT860" s="3">
        <f t="shared" si="90"/>
        <v>90437707</v>
      </c>
    </row>
    <row r="861" spans="1:46" x14ac:dyDescent="0.2">
      <c r="A861" s="1" t="str">
        <f>"01130"</f>
        <v>01130</v>
      </c>
      <c r="B861" s="1" t="str">
        <f>"علي"</f>
        <v>علي</v>
      </c>
      <c r="C861" s="1" t="str">
        <f>"فرريزي"</f>
        <v>فرريزي</v>
      </c>
      <c r="D861" s="1" t="str">
        <f>"قراردادي کارگري"</f>
        <v>قراردادي کارگري</v>
      </c>
      <c r="E861" s="1" t="str">
        <f>"پروژه تعميرات نيروگاه بوشهر"</f>
        <v>پروژه تعميرات نيروگاه بوشهر</v>
      </c>
      <c r="F861" s="1">
        <v>0</v>
      </c>
      <c r="G861" s="1">
        <v>7641096</v>
      </c>
      <c r="H861" s="1">
        <v>0</v>
      </c>
      <c r="I861" s="1">
        <v>4846907</v>
      </c>
      <c r="J861" s="1">
        <v>0</v>
      </c>
      <c r="K861" s="1">
        <v>0</v>
      </c>
      <c r="L861" s="1">
        <v>11521166</v>
      </c>
      <c r="M861" s="1">
        <v>2000000</v>
      </c>
      <c r="N861" s="1">
        <v>4308361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2640000</v>
      </c>
      <c r="U861" s="1">
        <v>0</v>
      </c>
      <c r="V861" s="1">
        <v>7340468</v>
      </c>
      <c r="W861" s="1">
        <v>4000000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1835427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54211603</v>
      </c>
      <c r="AP861" s="1">
        <v>7926859</v>
      </c>
      <c r="AQ861" s="1">
        <v>46284744</v>
      </c>
      <c r="AR861" s="1">
        <v>10475235</v>
      </c>
      <c r="AS861" s="1">
        <v>1571285</v>
      </c>
      <c r="AT861" s="3">
        <f t="shared" si="90"/>
        <v>66258123</v>
      </c>
    </row>
    <row r="862" spans="1:46" x14ac:dyDescent="0.2">
      <c r="A862" s="1" t="str">
        <f>"01131"</f>
        <v>01131</v>
      </c>
      <c r="B862" s="1" t="str">
        <f>"يونس"</f>
        <v>يونس</v>
      </c>
      <c r="C862" s="1" t="str">
        <f>"جمالي"</f>
        <v>جمالي</v>
      </c>
      <c r="D862" s="1" t="str">
        <f>"قراردادي کارگري"</f>
        <v>قراردادي کارگري</v>
      </c>
      <c r="E862" s="1" t="str">
        <f>"پروژه تعميرات نيروگاه بوشهر"</f>
        <v>پروژه تعميرات نيروگاه بوشهر</v>
      </c>
      <c r="F862" s="1">
        <v>0</v>
      </c>
      <c r="G862" s="1">
        <v>5227537</v>
      </c>
      <c r="H862" s="1">
        <v>0</v>
      </c>
      <c r="I862" s="1">
        <v>4382970</v>
      </c>
      <c r="J862" s="1">
        <v>0</v>
      </c>
      <c r="K862" s="1">
        <v>0</v>
      </c>
      <c r="L862" s="1">
        <v>11572430</v>
      </c>
      <c r="M862" s="1">
        <v>2000000</v>
      </c>
      <c r="N862" s="1">
        <v>3720688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2640000</v>
      </c>
      <c r="U862" s="1">
        <v>0</v>
      </c>
      <c r="V862" s="1">
        <v>10295436</v>
      </c>
      <c r="W862" s="1">
        <v>4000000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5506281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56414649</v>
      </c>
      <c r="AP862" s="1">
        <v>12823415</v>
      </c>
      <c r="AQ862" s="1">
        <v>43591234</v>
      </c>
      <c r="AR862" s="1">
        <v>10181674</v>
      </c>
      <c r="AS862" s="1">
        <v>1527251</v>
      </c>
      <c r="AT862" s="3">
        <f t="shared" si="90"/>
        <v>68123574</v>
      </c>
    </row>
    <row r="863" spans="1:46" x14ac:dyDescent="0.2">
      <c r="A863" s="1" t="str">
        <f>"01132"</f>
        <v>01132</v>
      </c>
      <c r="B863" s="1" t="str">
        <f>"بهبود"</f>
        <v>بهبود</v>
      </c>
      <c r="C863" s="1" t="str">
        <f>"ايازي"</f>
        <v>ايازي</v>
      </c>
      <c r="D863" s="1" t="str">
        <f>"قراردادي بهره بردار"</f>
        <v>قراردادي بهره بردار</v>
      </c>
      <c r="E863" s="1" t="str">
        <f>"پروژه بهره برداري نيروگاه بوشهر"</f>
        <v>پروژه بهره برداري نيروگاه بوشهر</v>
      </c>
      <c r="F863" s="1">
        <v>43272459</v>
      </c>
      <c r="G863" s="1">
        <v>49111984</v>
      </c>
      <c r="H863" s="1">
        <v>0</v>
      </c>
      <c r="I863" s="1">
        <v>36354878</v>
      </c>
      <c r="J863" s="1">
        <v>0</v>
      </c>
      <c r="K863" s="1">
        <v>5500000</v>
      </c>
      <c r="L863" s="1">
        <v>0</v>
      </c>
      <c r="M863" s="1">
        <v>1000000</v>
      </c>
      <c r="N863" s="1">
        <v>7349676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28203999</v>
      </c>
      <c r="W863" s="1">
        <v>8200000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6433699</v>
      </c>
      <c r="AF863" s="1">
        <v>2472519</v>
      </c>
      <c r="AG863" s="1">
        <v>1270587</v>
      </c>
      <c r="AH863" s="1">
        <v>0</v>
      </c>
      <c r="AI863" s="1">
        <v>0</v>
      </c>
      <c r="AJ863" s="1">
        <v>0</v>
      </c>
      <c r="AK863" s="1">
        <v>0</v>
      </c>
      <c r="AL863" s="1">
        <v>8819610</v>
      </c>
      <c r="AM863" s="1">
        <v>0</v>
      </c>
      <c r="AN863" s="1">
        <v>0</v>
      </c>
      <c r="AO863" s="1">
        <v>197989411</v>
      </c>
      <c r="AP863" s="1">
        <v>79130832</v>
      </c>
      <c r="AQ863" s="1">
        <v>118858579</v>
      </c>
      <c r="AR863" s="1">
        <v>34104043</v>
      </c>
      <c r="AS863" s="1">
        <v>5115607</v>
      </c>
      <c r="AT863" s="3">
        <f t="shared" si="90"/>
        <v>237209061</v>
      </c>
    </row>
    <row r="864" spans="1:46" x14ac:dyDescent="0.2">
      <c r="A864" s="1" t="str">
        <f>"01133"</f>
        <v>01133</v>
      </c>
      <c r="B864" s="1" t="str">
        <f>"وحيد"</f>
        <v>وحيد</v>
      </c>
      <c r="C864" s="1" t="str">
        <f>"فولادي تنها"</f>
        <v>فولادي تنها</v>
      </c>
      <c r="D864" s="1" t="str">
        <f>"قراردادي کارگري"</f>
        <v>قراردادي کارگري</v>
      </c>
      <c r="E864" s="1" t="str">
        <f>"پروژه تعميرات نيروگاه بوشهر"</f>
        <v>پروژه تعميرات نيروگاه بوشهر</v>
      </c>
      <c r="F864" s="1">
        <v>0</v>
      </c>
      <c r="G864" s="1">
        <v>7409791</v>
      </c>
      <c r="H864" s="1">
        <v>0</v>
      </c>
      <c r="I864" s="1">
        <v>4573189</v>
      </c>
      <c r="J864" s="1">
        <v>0</v>
      </c>
      <c r="K864" s="1">
        <v>0</v>
      </c>
      <c r="L864" s="1">
        <v>11521166</v>
      </c>
      <c r="M864" s="1">
        <v>2000000</v>
      </c>
      <c r="N864" s="1">
        <v>4065057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2640000</v>
      </c>
      <c r="U864" s="1">
        <v>0</v>
      </c>
      <c r="V864" s="1">
        <v>7221046</v>
      </c>
      <c r="W864" s="1">
        <v>4000000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1835427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52887659</v>
      </c>
      <c r="AP864" s="1">
        <v>7110323</v>
      </c>
      <c r="AQ864" s="1">
        <v>45777336</v>
      </c>
      <c r="AR864" s="1">
        <v>10210446</v>
      </c>
      <c r="AS864" s="1">
        <v>1531567</v>
      </c>
      <c r="AT864" s="3">
        <f t="shared" si="90"/>
        <v>64629672</v>
      </c>
    </row>
    <row r="865" spans="1:46" x14ac:dyDescent="0.2">
      <c r="A865" s="1" t="str">
        <f>"01135"</f>
        <v>01135</v>
      </c>
      <c r="B865" s="1" t="str">
        <f>"سامان"</f>
        <v>سامان</v>
      </c>
      <c r="C865" s="1" t="str">
        <f>"تجلي"</f>
        <v>تجلي</v>
      </c>
      <c r="D865" s="1" t="str">
        <f t="shared" ref="D865:D870" si="91">"قراردادي بهره بردار"</f>
        <v>قراردادي بهره بردار</v>
      </c>
      <c r="E865" s="1" t="str">
        <f>"پروژه بهره برداري نيروگاه بوشهر"</f>
        <v>پروژه بهره برداري نيروگاه بوشهر</v>
      </c>
      <c r="F865" s="1">
        <v>21103897</v>
      </c>
      <c r="G865" s="1">
        <v>0</v>
      </c>
      <c r="H865" s="1">
        <v>0</v>
      </c>
      <c r="I865" s="1">
        <v>15096639</v>
      </c>
      <c r="J865" s="1">
        <v>0</v>
      </c>
      <c r="K865" s="1">
        <v>4125000</v>
      </c>
      <c r="L865" s="1">
        <v>0</v>
      </c>
      <c r="M865" s="1">
        <v>1000000</v>
      </c>
      <c r="N865" s="1">
        <v>3524328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8713115</v>
      </c>
      <c r="W865" s="1">
        <v>4000000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2769115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5912215</v>
      </c>
      <c r="AM865" s="1">
        <v>0</v>
      </c>
      <c r="AN865" s="1">
        <v>0</v>
      </c>
      <c r="AO865" s="1">
        <v>66244309</v>
      </c>
      <c r="AP865" s="1">
        <v>21934987</v>
      </c>
      <c r="AQ865" s="1">
        <v>44309322</v>
      </c>
      <c r="AR865" s="1">
        <v>13248862</v>
      </c>
      <c r="AS865" s="1">
        <v>1987329</v>
      </c>
      <c r="AT865" s="3">
        <f t="shared" si="90"/>
        <v>81480500</v>
      </c>
    </row>
    <row r="866" spans="1:46" x14ac:dyDescent="0.2">
      <c r="A866" s="1" t="str">
        <f>"01136"</f>
        <v>01136</v>
      </c>
      <c r="B866" s="1" t="str">
        <f>"مجتبي"</f>
        <v>مجتبي</v>
      </c>
      <c r="C866" s="1" t="str">
        <f>"جان احمدي"</f>
        <v>جان احمدي</v>
      </c>
      <c r="D866" s="1" t="str">
        <f t="shared" si="91"/>
        <v>قراردادي بهره بردار</v>
      </c>
      <c r="E866" s="1" t="str">
        <f>"پروژه بهره برداري نيروگاه بوشهر"</f>
        <v>پروژه بهره برداري نيروگاه بوشهر</v>
      </c>
      <c r="F866" s="1">
        <v>21237418</v>
      </c>
      <c r="G866" s="1">
        <v>5369388</v>
      </c>
      <c r="H866" s="1">
        <v>0</v>
      </c>
      <c r="I866" s="1">
        <v>15910386</v>
      </c>
      <c r="J866" s="1">
        <v>0</v>
      </c>
      <c r="K866" s="1">
        <v>5500000</v>
      </c>
      <c r="L866" s="1">
        <v>0</v>
      </c>
      <c r="M866" s="1">
        <v>1000000</v>
      </c>
      <c r="N866" s="1">
        <v>3359442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9345482</v>
      </c>
      <c r="W866" s="1">
        <v>4000000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2639562</v>
      </c>
      <c r="AF866" s="1">
        <v>1835427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6039942</v>
      </c>
      <c r="AM866" s="1">
        <v>0</v>
      </c>
      <c r="AN866" s="1">
        <v>0</v>
      </c>
      <c r="AO866" s="1">
        <v>76237047</v>
      </c>
      <c r="AP866" s="1">
        <v>25618211</v>
      </c>
      <c r="AQ866" s="1">
        <v>50618836</v>
      </c>
      <c r="AR866" s="1">
        <v>14880324</v>
      </c>
      <c r="AS866" s="1">
        <v>2232049</v>
      </c>
      <c r="AT866" s="3">
        <f t="shared" si="90"/>
        <v>93349420</v>
      </c>
    </row>
    <row r="867" spans="1:46" x14ac:dyDescent="0.2">
      <c r="A867" s="1" t="str">
        <f>"01137"</f>
        <v>01137</v>
      </c>
      <c r="B867" s="1" t="str">
        <f>"سيد حسن"</f>
        <v>سيد حسن</v>
      </c>
      <c r="C867" s="1" t="str">
        <f>"موسوي"</f>
        <v>موسوي</v>
      </c>
      <c r="D867" s="1" t="str">
        <f t="shared" si="91"/>
        <v>قراردادي بهره بردار</v>
      </c>
      <c r="E867" s="1" t="str">
        <f>"پروژه بهره برداري نيروگاه بوشهر"</f>
        <v>پروژه بهره برداري نيروگاه بوشهر</v>
      </c>
      <c r="F867" s="1">
        <v>25091896</v>
      </c>
      <c r="G867" s="1">
        <v>0</v>
      </c>
      <c r="H867" s="1">
        <v>0</v>
      </c>
      <c r="I867" s="1">
        <v>23014652</v>
      </c>
      <c r="J867" s="1">
        <v>0</v>
      </c>
      <c r="K867" s="1">
        <v>5500000</v>
      </c>
      <c r="L867" s="1">
        <v>0</v>
      </c>
      <c r="M867" s="1">
        <v>1000000</v>
      </c>
      <c r="N867" s="1">
        <v>3690096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6072487</v>
      </c>
      <c r="W867" s="1">
        <v>4000000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2899361</v>
      </c>
      <c r="AF867" s="1">
        <v>1835427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6028857</v>
      </c>
      <c r="AM867" s="1">
        <v>0</v>
      </c>
      <c r="AN867" s="1">
        <v>0</v>
      </c>
      <c r="AO867" s="1">
        <v>79132776</v>
      </c>
      <c r="AP867" s="1">
        <v>41562975</v>
      </c>
      <c r="AQ867" s="1">
        <v>37569801</v>
      </c>
      <c r="AR867" s="1">
        <v>15459470</v>
      </c>
      <c r="AS867" s="1">
        <v>2318920</v>
      </c>
      <c r="AT867" s="3">
        <f t="shared" si="90"/>
        <v>96911166</v>
      </c>
    </row>
    <row r="868" spans="1:46" x14ac:dyDescent="0.2">
      <c r="A868" s="1" t="str">
        <f>"01138"</f>
        <v>01138</v>
      </c>
      <c r="B868" s="1" t="str">
        <f>"آرمان"</f>
        <v>آرمان</v>
      </c>
      <c r="C868" s="1" t="str">
        <f>"زنده بودي"</f>
        <v>زنده بودي</v>
      </c>
      <c r="D868" s="1" t="str">
        <f t="shared" si="91"/>
        <v>قراردادي بهره بردار</v>
      </c>
      <c r="E868" s="1" t="str">
        <f>"پروژه تعميرات نيروگاه بوشهر"</f>
        <v>پروژه تعميرات نيروگاه بوشهر</v>
      </c>
      <c r="F868" s="1">
        <v>21275207</v>
      </c>
      <c r="G868" s="1">
        <v>12247352</v>
      </c>
      <c r="H868" s="1">
        <v>0</v>
      </c>
      <c r="I868" s="1">
        <v>19136117</v>
      </c>
      <c r="J868" s="1">
        <v>0</v>
      </c>
      <c r="K868" s="1">
        <v>5500000</v>
      </c>
      <c r="L868" s="1">
        <v>0</v>
      </c>
      <c r="M868" s="1">
        <v>1000000</v>
      </c>
      <c r="N868" s="1">
        <v>3584287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15374628</v>
      </c>
      <c r="W868" s="1">
        <v>4000000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2816225</v>
      </c>
      <c r="AF868" s="1">
        <v>1835427</v>
      </c>
      <c r="AG868" s="1">
        <v>0</v>
      </c>
      <c r="AH868" s="1">
        <v>0</v>
      </c>
      <c r="AI868" s="1">
        <v>5000000</v>
      </c>
      <c r="AJ868" s="1">
        <v>0</v>
      </c>
      <c r="AK868" s="1">
        <v>0</v>
      </c>
      <c r="AL868" s="1">
        <v>10131231</v>
      </c>
      <c r="AM868" s="1">
        <v>0</v>
      </c>
      <c r="AN868" s="1">
        <v>0</v>
      </c>
      <c r="AO868" s="1">
        <v>101900474</v>
      </c>
      <c r="AP868" s="1">
        <v>41618839</v>
      </c>
      <c r="AQ868" s="1">
        <v>60281635</v>
      </c>
      <c r="AR868" s="1">
        <v>19013009</v>
      </c>
      <c r="AS868" s="1">
        <v>2851951</v>
      </c>
      <c r="AT868" s="3">
        <f t="shared" si="90"/>
        <v>123765434</v>
      </c>
    </row>
    <row r="869" spans="1:46" x14ac:dyDescent="0.2">
      <c r="A869" s="1" t="str">
        <f>"01139"</f>
        <v>01139</v>
      </c>
      <c r="B869" s="1" t="str">
        <f>"جواد"</f>
        <v>جواد</v>
      </c>
      <c r="C869" s="1" t="str">
        <f>"كمالي"</f>
        <v>كمالي</v>
      </c>
      <c r="D869" s="1" t="str">
        <f t="shared" si="91"/>
        <v>قراردادي بهره بردار</v>
      </c>
      <c r="E869" s="1" t="str">
        <f>"پروژه تعميرات نيروگاه بوشهر"</f>
        <v>پروژه تعميرات نيروگاه بوشهر</v>
      </c>
      <c r="F869" s="1">
        <v>20814181</v>
      </c>
      <c r="G869" s="1">
        <v>0</v>
      </c>
      <c r="H869" s="1">
        <v>0</v>
      </c>
      <c r="I869" s="1">
        <v>15931153</v>
      </c>
      <c r="J869" s="1">
        <v>0</v>
      </c>
      <c r="K869" s="1">
        <v>4125000</v>
      </c>
      <c r="L869" s="1">
        <v>0</v>
      </c>
      <c r="M869" s="1">
        <v>1000000</v>
      </c>
      <c r="N869" s="1">
        <v>3422928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8712833</v>
      </c>
      <c r="W869" s="1">
        <v>4000000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2689443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5546921</v>
      </c>
      <c r="AM869" s="1">
        <v>0</v>
      </c>
      <c r="AN869" s="1">
        <v>0</v>
      </c>
      <c r="AO869" s="1">
        <v>66242459</v>
      </c>
      <c r="AP869" s="1">
        <v>24283926</v>
      </c>
      <c r="AQ869" s="1">
        <v>41958533</v>
      </c>
      <c r="AR869" s="1">
        <v>13248492</v>
      </c>
      <c r="AS869" s="1">
        <v>1987274</v>
      </c>
      <c r="AT869" s="3">
        <f t="shared" si="90"/>
        <v>81478225</v>
      </c>
    </row>
    <row r="870" spans="1:46" x14ac:dyDescent="0.2">
      <c r="A870" s="1" t="str">
        <f>"01140"</f>
        <v>01140</v>
      </c>
      <c r="B870" s="1" t="str">
        <f>"سعيد"</f>
        <v>سعيد</v>
      </c>
      <c r="C870" s="1" t="str">
        <f>"كارگر"</f>
        <v>كارگر</v>
      </c>
      <c r="D870" s="1" t="str">
        <f t="shared" si="91"/>
        <v>قراردادي بهره بردار</v>
      </c>
      <c r="E870" s="1" t="str">
        <f>"پروژه تعميرات نيروگاه بوشهر"</f>
        <v>پروژه تعميرات نيروگاه بوشهر</v>
      </c>
      <c r="F870" s="1">
        <v>20401021</v>
      </c>
      <c r="G870" s="1">
        <v>13877397</v>
      </c>
      <c r="H870" s="1">
        <v>0</v>
      </c>
      <c r="I870" s="1">
        <v>16906579</v>
      </c>
      <c r="J870" s="1">
        <v>0</v>
      </c>
      <c r="K870" s="1">
        <v>5500000</v>
      </c>
      <c r="L870" s="1">
        <v>0</v>
      </c>
      <c r="M870" s="1">
        <v>1000000</v>
      </c>
      <c r="N870" s="1">
        <v>3278321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15512822</v>
      </c>
      <c r="W870" s="1">
        <v>4000000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2575824</v>
      </c>
      <c r="AF870" s="1">
        <v>1835427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6879613</v>
      </c>
      <c r="AM870" s="1">
        <v>0</v>
      </c>
      <c r="AN870" s="1">
        <v>0</v>
      </c>
      <c r="AO870" s="1">
        <v>91767004</v>
      </c>
      <c r="AP870" s="1">
        <v>29110395</v>
      </c>
      <c r="AQ870" s="1">
        <v>62656609</v>
      </c>
      <c r="AR870" s="1">
        <v>17986315</v>
      </c>
      <c r="AS870" s="1">
        <v>2697947</v>
      </c>
      <c r="AT870" s="3">
        <f t="shared" si="90"/>
        <v>112451266</v>
      </c>
    </row>
    <row r="871" spans="1:46" x14ac:dyDescent="0.2">
      <c r="A871" s="1" t="str">
        <f>"01142"</f>
        <v>01142</v>
      </c>
      <c r="B871" s="1" t="str">
        <f>"حبيب"</f>
        <v>حبيب</v>
      </c>
      <c r="C871" s="1" t="str">
        <f>"دهقاني"</f>
        <v>دهقاني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0</v>
      </c>
      <c r="G871" s="1">
        <v>3256612</v>
      </c>
      <c r="H871" s="1">
        <v>0</v>
      </c>
      <c r="I871" s="1">
        <v>6341826</v>
      </c>
      <c r="J871" s="1">
        <v>0</v>
      </c>
      <c r="K871" s="1">
        <v>0</v>
      </c>
      <c r="L871" s="1">
        <v>11521166</v>
      </c>
      <c r="M871" s="1">
        <v>2000000</v>
      </c>
      <c r="N871" s="1">
        <v>5637178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2640000</v>
      </c>
      <c r="U871" s="1">
        <v>0</v>
      </c>
      <c r="V871" s="1">
        <v>12080965</v>
      </c>
      <c r="W871" s="1">
        <v>4000000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5110482</v>
      </c>
      <c r="AE871" s="1">
        <v>0</v>
      </c>
      <c r="AF871" s="1">
        <v>5506281</v>
      </c>
      <c r="AG871" s="1">
        <v>0</v>
      </c>
      <c r="AH871" s="1">
        <v>0</v>
      </c>
      <c r="AI871" s="1">
        <v>0</v>
      </c>
      <c r="AJ871" s="1">
        <v>6252695</v>
      </c>
      <c r="AK871" s="1">
        <v>0</v>
      </c>
      <c r="AL871" s="1">
        <v>0</v>
      </c>
      <c r="AM871" s="1">
        <v>0</v>
      </c>
      <c r="AN871" s="1">
        <v>0</v>
      </c>
      <c r="AO871" s="1">
        <v>74916916</v>
      </c>
      <c r="AP871" s="1">
        <v>13615362</v>
      </c>
      <c r="AQ871" s="1">
        <v>61301554</v>
      </c>
      <c r="AR871" s="1">
        <v>13882127</v>
      </c>
      <c r="AS871" s="1">
        <v>2082319</v>
      </c>
      <c r="AT871" s="3">
        <f t="shared" si="90"/>
        <v>90881362</v>
      </c>
    </row>
    <row r="872" spans="1:46" x14ac:dyDescent="0.2">
      <c r="A872" s="1" t="str">
        <f>"01144"</f>
        <v>01144</v>
      </c>
      <c r="B872" s="1" t="str">
        <f>"آزاده"</f>
        <v>آزاده</v>
      </c>
      <c r="C872" s="1" t="str">
        <f>"دهقان"</f>
        <v>دهقان</v>
      </c>
      <c r="D872" s="1" t="str">
        <f t="shared" ref="D872:D907" si="92">"قراردادي بهره بردار"</f>
        <v>قراردادي بهره بردار</v>
      </c>
      <c r="E872" s="1" t="str">
        <f t="shared" ref="E872:E907" si="93">"پروژه بهره برداري نيروگاه بوشهر"</f>
        <v>پروژه بهره برداري نيروگاه بوشهر</v>
      </c>
      <c r="F872" s="1">
        <v>18556918</v>
      </c>
      <c r="G872" s="1">
        <v>310306</v>
      </c>
      <c r="H872" s="1">
        <v>0</v>
      </c>
      <c r="I872" s="1">
        <v>12032891</v>
      </c>
      <c r="J872" s="1">
        <v>0</v>
      </c>
      <c r="K872" s="1">
        <v>5500000</v>
      </c>
      <c r="L872" s="1">
        <v>0</v>
      </c>
      <c r="M872" s="1">
        <v>1000000</v>
      </c>
      <c r="N872" s="1">
        <v>2831278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3997704</v>
      </c>
      <c r="W872" s="1">
        <v>4000000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2224576</v>
      </c>
      <c r="AF872" s="1">
        <v>1835427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4331375</v>
      </c>
      <c r="AM872" s="1">
        <v>0</v>
      </c>
      <c r="AN872" s="1">
        <v>0</v>
      </c>
      <c r="AO872" s="1">
        <v>56620475</v>
      </c>
      <c r="AP872" s="1">
        <v>18192863</v>
      </c>
      <c r="AQ872" s="1">
        <v>38427612</v>
      </c>
      <c r="AR872" s="1">
        <v>10957010</v>
      </c>
      <c r="AS872" s="1">
        <v>1643551</v>
      </c>
      <c r="AT872" s="3">
        <f t="shared" si="90"/>
        <v>69221036</v>
      </c>
    </row>
    <row r="873" spans="1:46" x14ac:dyDescent="0.2">
      <c r="A873" s="1" t="str">
        <f>"01145"</f>
        <v>01145</v>
      </c>
      <c r="B873" s="1" t="str">
        <f>"مسعود"</f>
        <v>مسعود</v>
      </c>
      <c r="C873" s="1" t="str">
        <f>"عبدالهي"</f>
        <v>عبدالهي</v>
      </c>
      <c r="D873" s="1" t="str">
        <f t="shared" si="92"/>
        <v>قراردادي بهره بردار</v>
      </c>
      <c r="E873" s="1" t="str">
        <f t="shared" si="93"/>
        <v>پروژه بهره برداري نيروگاه بوشهر</v>
      </c>
      <c r="F873" s="1">
        <v>14893905</v>
      </c>
      <c r="G873" s="1">
        <v>0</v>
      </c>
      <c r="H873" s="1">
        <v>0</v>
      </c>
      <c r="I873" s="1">
        <v>11673497</v>
      </c>
      <c r="J873" s="1">
        <v>0</v>
      </c>
      <c r="K873" s="1">
        <v>4620000</v>
      </c>
      <c r="L873" s="1">
        <v>0</v>
      </c>
      <c r="M873" s="1">
        <v>1000000</v>
      </c>
      <c r="N873" s="1">
        <v>2620542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3865006</v>
      </c>
      <c r="W873" s="1">
        <v>4000000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3229700</v>
      </c>
      <c r="AD873" s="1">
        <v>0</v>
      </c>
      <c r="AE873" s="1">
        <v>2058996</v>
      </c>
      <c r="AF873" s="1">
        <v>3670854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4173417</v>
      </c>
      <c r="AM873" s="1">
        <v>0</v>
      </c>
      <c r="AN873" s="1">
        <v>0</v>
      </c>
      <c r="AO873" s="1">
        <v>55805917</v>
      </c>
      <c r="AP873" s="1">
        <v>8877900</v>
      </c>
      <c r="AQ873" s="1">
        <v>46928017</v>
      </c>
      <c r="AR873" s="1">
        <v>10427013</v>
      </c>
      <c r="AS873" s="1">
        <v>1564052</v>
      </c>
      <c r="AT873" s="3">
        <f t="shared" si="90"/>
        <v>67796982</v>
      </c>
    </row>
    <row r="874" spans="1:46" x14ac:dyDescent="0.2">
      <c r="A874" s="1" t="str">
        <f>"01146"</f>
        <v>01146</v>
      </c>
      <c r="B874" s="1" t="str">
        <f>"محمدرضا"</f>
        <v>محمدرضا</v>
      </c>
      <c r="C874" s="1" t="str">
        <f>"بشيري"</f>
        <v>بشيري</v>
      </c>
      <c r="D874" s="1" t="str">
        <f t="shared" si="92"/>
        <v>قراردادي بهره بردار</v>
      </c>
      <c r="E874" s="1" t="str">
        <f t="shared" si="93"/>
        <v>پروژه بهره برداري نيروگاه بوشهر</v>
      </c>
      <c r="F874" s="1">
        <v>21877312</v>
      </c>
      <c r="G874" s="1">
        <v>0</v>
      </c>
      <c r="H874" s="1">
        <v>0</v>
      </c>
      <c r="I874" s="1">
        <v>16601226</v>
      </c>
      <c r="J874" s="1">
        <v>0</v>
      </c>
      <c r="K874" s="1">
        <v>4125000</v>
      </c>
      <c r="L874" s="1">
        <v>0</v>
      </c>
      <c r="M874" s="1">
        <v>1000000</v>
      </c>
      <c r="N874" s="1">
        <v>3795023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5145175</v>
      </c>
      <c r="W874" s="1">
        <v>4000000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2981804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6196389</v>
      </c>
      <c r="AM874" s="1">
        <v>0</v>
      </c>
      <c r="AN874" s="1">
        <v>0</v>
      </c>
      <c r="AO874" s="1">
        <v>65721929</v>
      </c>
      <c r="AP874" s="1">
        <v>37375374</v>
      </c>
      <c r="AQ874" s="1">
        <v>28346555</v>
      </c>
      <c r="AR874" s="1">
        <v>13144386</v>
      </c>
      <c r="AS874" s="1">
        <v>1971658</v>
      </c>
      <c r="AT874" s="3">
        <f t="shared" si="90"/>
        <v>80837973</v>
      </c>
    </row>
    <row r="875" spans="1:46" x14ac:dyDescent="0.2">
      <c r="A875" s="1" t="str">
        <f>"01147"</f>
        <v>01147</v>
      </c>
      <c r="B875" s="1" t="str">
        <f>"بهروز"</f>
        <v>بهروز</v>
      </c>
      <c r="C875" s="1" t="str">
        <f>"جلالي"</f>
        <v>جلالي</v>
      </c>
      <c r="D875" s="1" t="str">
        <f t="shared" si="92"/>
        <v>قراردادي بهره بردار</v>
      </c>
      <c r="E875" s="1" t="str">
        <f t="shared" si="93"/>
        <v>پروژه بهره برداري نيروگاه بوشهر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10026100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10026100</v>
      </c>
      <c r="AP875" s="1">
        <v>10026100</v>
      </c>
      <c r="AQ875" s="1">
        <v>0</v>
      </c>
      <c r="AR875" s="1">
        <v>0</v>
      </c>
      <c r="AS875" s="1">
        <v>0</v>
      </c>
      <c r="AT875" s="3">
        <f t="shared" si="90"/>
        <v>10026100</v>
      </c>
    </row>
    <row r="876" spans="1:46" x14ac:dyDescent="0.2">
      <c r="A876" s="1" t="str">
        <f>"01148"</f>
        <v>01148</v>
      </c>
      <c r="B876" s="1" t="str">
        <f>"حسن"</f>
        <v>حسن</v>
      </c>
      <c r="C876" s="1" t="str">
        <f>"محمدي"</f>
        <v>محمدي</v>
      </c>
      <c r="D876" s="1" t="str">
        <f t="shared" si="92"/>
        <v>قراردادي بهره بردار</v>
      </c>
      <c r="E876" s="1" t="str">
        <f t="shared" si="93"/>
        <v>پروژه بهره برداري نيروگاه بوشهر</v>
      </c>
      <c r="F876" s="1">
        <v>19859379</v>
      </c>
      <c r="G876" s="1">
        <v>0</v>
      </c>
      <c r="H876" s="1">
        <v>0</v>
      </c>
      <c r="I876" s="1">
        <v>11250099</v>
      </c>
      <c r="J876" s="1">
        <v>0</v>
      </c>
      <c r="K876" s="1">
        <v>5500000</v>
      </c>
      <c r="L876" s="1">
        <v>0</v>
      </c>
      <c r="M876" s="1">
        <v>1000000</v>
      </c>
      <c r="N876" s="1">
        <v>2877129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4210259</v>
      </c>
      <c r="W876" s="1">
        <v>4000000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2260601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5855380</v>
      </c>
      <c r="AM876" s="1">
        <v>0</v>
      </c>
      <c r="AN876" s="1">
        <v>0</v>
      </c>
      <c r="AO876" s="1">
        <v>56812847</v>
      </c>
      <c r="AP876" s="1">
        <v>10673294</v>
      </c>
      <c r="AQ876" s="1">
        <v>46139553</v>
      </c>
      <c r="AR876" s="1">
        <v>11362569</v>
      </c>
      <c r="AS876" s="1">
        <v>1704385</v>
      </c>
      <c r="AT876" s="3">
        <f t="shared" si="90"/>
        <v>69879801</v>
      </c>
    </row>
    <row r="877" spans="1:46" x14ac:dyDescent="0.2">
      <c r="A877" s="1" t="str">
        <f>"01149"</f>
        <v>01149</v>
      </c>
      <c r="B877" s="1" t="str">
        <f>"ناصر"</f>
        <v>ناصر</v>
      </c>
      <c r="C877" s="1" t="str">
        <f>"مرادي"</f>
        <v>مرادي</v>
      </c>
      <c r="D877" s="1" t="str">
        <f t="shared" si="92"/>
        <v>قراردادي بهره بردار</v>
      </c>
      <c r="E877" s="1" t="str">
        <f t="shared" si="93"/>
        <v>پروژه بهره برداري نيروگاه بوشهر</v>
      </c>
      <c r="F877" s="1">
        <v>21935255</v>
      </c>
      <c r="G877" s="1">
        <v>440569</v>
      </c>
      <c r="H877" s="1">
        <v>0</v>
      </c>
      <c r="I877" s="1">
        <v>19529775</v>
      </c>
      <c r="J877" s="1">
        <v>0</v>
      </c>
      <c r="K877" s="1">
        <v>5500000</v>
      </c>
      <c r="L877" s="1">
        <v>0</v>
      </c>
      <c r="M877" s="1">
        <v>1000000</v>
      </c>
      <c r="N877" s="1">
        <v>3603685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5675906</v>
      </c>
      <c r="W877" s="1">
        <v>4000000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3892267</v>
      </c>
      <c r="AD877" s="1">
        <v>0</v>
      </c>
      <c r="AE877" s="1">
        <v>2831467</v>
      </c>
      <c r="AF877" s="1">
        <v>5506281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4966608</v>
      </c>
      <c r="AM877" s="1">
        <v>0</v>
      </c>
      <c r="AN877" s="1">
        <v>0</v>
      </c>
      <c r="AO877" s="1">
        <v>78881813</v>
      </c>
      <c r="AP877" s="1">
        <v>29725454</v>
      </c>
      <c r="AQ877" s="1">
        <v>49156359</v>
      </c>
      <c r="AR877" s="1">
        <v>14675106</v>
      </c>
      <c r="AS877" s="1">
        <v>2201266</v>
      </c>
      <c r="AT877" s="3">
        <f t="shared" si="90"/>
        <v>95758185</v>
      </c>
    </row>
    <row r="878" spans="1:46" x14ac:dyDescent="0.2">
      <c r="A878" s="1" t="str">
        <f>"01150"</f>
        <v>01150</v>
      </c>
      <c r="B878" s="1" t="str">
        <f>"شهلا"</f>
        <v>شهلا</v>
      </c>
      <c r="C878" s="1" t="str">
        <f>"دهقاني"</f>
        <v>دهقاني</v>
      </c>
      <c r="D878" s="1" t="str">
        <f t="shared" si="92"/>
        <v>قراردادي بهره بردار</v>
      </c>
      <c r="E878" s="1" t="str">
        <f t="shared" si="93"/>
        <v>پروژه بهره برداري نيروگاه بوشهر</v>
      </c>
      <c r="F878" s="1">
        <v>19746012</v>
      </c>
      <c r="G878" s="1">
        <v>0</v>
      </c>
      <c r="H878" s="1">
        <v>0</v>
      </c>
      <c r="I878" s="1">
        <v>14143445</v>
      </c>
      <c r="J878" s="1">
        <v>0</v>
      </c>
      <c r="K878" s="1">
        <v>4125000</v>
      </c>
      <c r="L878" s="1">
        <v>0</v>
      </c>
      <c r="M878" s="1">
        <v>1000000</v>
      </c>
      <c r="N878" s="1">
        <v>3049068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4449557</v>
      </c>
      <c r="W878" s="1">
        <v>4000000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2395697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5161348</v>
      </c>
      <c r="AM878" s="1">
        <v>0</v>
      </c>
      <c r="AN878" s="1">
        <v>0</v>
      </c>
      <c r="AO878" s="1">
        <v>58070127</v>
      </c>
      <c r="AP878" s="1">
        <v>6065430</v>
      </c>
      <c r="AQ878" s="1">
        <v>52004697</v>
      </c>
      <c r="AR878" s="1">
        <v>11614025</v>
      </c>
      <c r="AS878" s="1">
        <v>1742104</v>
      </c>
      <c r="AT878" s="3">
        <f t="shared" si="90"/>
        <v>71426256</v>
      </c>
    </row>
    <row r="879" spans="1:46" x14ac:dyDescent="0.2">
      <c r="A879" s="1" t="str">
        <f>"01151"</f>
        <v>01151</v>
      </c>
      <c r="B879" s="1" t="str">
        <f>"آرش"</f>
        <v>آرش</v>
      </c>
      <c r="C879" s="1" t="str">
        <f>"كشاورزي"</f>
        <v>كشاورزي</v>
      </c>
      <c r="D879" s="1" t="str">
        <f t="shared" si="92"/>
        <v>قراردادي بهره بردار</v>
      </c>
      <c r="E879" s="1" t="str">
        <f t="shared" si="93"/>
        <v>پروژه بهره برداري نيروگاه بوشهر</v>
      </c>
      <c r="F879" s="1">
        <v>12455254</v>
      </c>
      <c r="G879" s="1">
        <v>0</v>
      </c>
      <c r="H879" s="1">
        <v>0</v>
      </c>
      <c r="I879" s="1">
        <v>8525370</v>
      </c>
      <c r="J879" s="1">
        <v>0</v>
      </c>
      <c r="K879" s="1">
        <v>4620000</v>
      </c>
      <c r="L879" s="1">
        <v>0</v>
      </c>
      <c r="M879" s="1">
        <v>1000000</v>
      </c>
      <c r="N879" s="1">
        <v>2031536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2868001</v>
      </c>
      <c r="W879" s="1">
        <v>4000000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1596208</v>
      </c>
      <c r="AF879" s="1">
        <v>1835427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4071639</v>
      </c>
      <c r="AM879" s="1">
        <v>0</v>
      </c>
      <c r="AN879" s="1">
        <v>0</v>
      </c>
      <c r="AO879" s="1">
        <v>43003435</v>
      </c>
      <c r="AP879" s="1">
        <v>13677931</v>
      </c>
      <c r="AQ879" s="1">
        <v>29325504</v>
      </c>
      <c r="AR879" s="1">
        <v>8233602</v>
      </c>
      <c r="AS879" s="1">
        <v>1235040</v>
      </c>
      <c r="AT879" s="3">
        <f t="shared" si="90"/>
        <v>52472077</v>
      </c>
    </row>
    <row r="880" spans="1:46" x14ac:dyDescent="0.2">
      <c r="A880" s="1" t="str">
        <f>"01152"</f>
        <v>01152</v>
      </c>
      <c r="B880" s="1" t="str">
        <f>"سجاد"</f>
        <v>سجاد</v>
      </c>
      <c r="C880" s="1" t="str">
        <f>"اميرخاني"</f>
        <v>اميرخاني</v>
      </c>
      <c r="D880" s="1" t="str">
        <f t="shared" si="92"/>
        <v>قراردادي بهره بردار</v>
      </c>
      <c r="E880" s="1" t="str">
        <f t="shared" si="93"/>
        <v>پروژه بهره برداري نيروگاه بوشهر</v>
      </c>
      <c r="F880" s="1">
        <v>20350636</v>
      </c>
      <c r="G880" s="1">
        <v>0</v>
      </c>
      <c r="H880" s="1">
        <v>0</v>
      </c>
      <c r="I880" s="1">
        <v>14138232</v>
      </c>
      <c r="J880" s="1">
        <v>0</v>
      </c>
      <c r="K880" s="1">
        <v>0</v>
      </c>
      <c r="L880" s="1">
        <v>0</v>
      </c>
      <c r="M880" s="1">
        <v>1000000</v>
      </c>
      <c r="N880" s="1">
        <v>3260686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9869973</v>
      </c>
      <c r="W880" s="1">
        <v>4000000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2561968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6688350</v>
      </c>
      <c r="AM880" s="1">
        <v>0</v>
      </c>
      <c r="AN880" s="1">
        <v>0</v>
      </c>
      <c r="AO880" s="1">
        <v>61869845</v>
      </c>
      <c r="AP880" s="1">
        <v>17822109</v>
      </c>
      <c r="AQ880" s="1">
        <v>44047736</v>
      </c>
      <c r="AR880" s="1">
        <v>12373969</v>
      </c>
      <c r="AS880" s="1">
        <v>1856095</v>
      </c>
      <c r="AT880" s="3">
        <f t="shared" si="90"/>
        <v>76099909</v>
      </c>
    </row>
    <row r="881" spans="1:46" x14ac:dyDescent="0.2">
      <c r="A881" s="1" t="str">
        <f>"01153"</f>
        <v>01153</v>
      </c>
      <c r="B881" s="1" t="str">
        <f>"جعفر"</f>
        <v>جعفر</v>
      </c>
      <c r="C881" s="1" t="str">
        <f>"اميني نيک"</f>
        <v>اميني نيک</v>
      </c>
      <c r="D881" s="1" t="str">
        <f t="shared" si="92"/>
        <v>قراردادي بهره بردار</v>
      </c>
      <c r="E881" s="1" t="str">
        <f t="shared" si="93"/>
        <v>پروژه بهره برداري نيروگاه بوشهر</v>
      </c>
      <c r="F881" s="1">
        <v>21658136</v>
      </c>
      <c r="G881" s="1">
        <v>1311152</v>
      </c>
      <c r="H881" s="1">
        <v>0</v>
      </c>
      <c r="I881" s="1">
        <v>15704158</v>
      </c>
      <c r="J881" s="1">
        <v>0</v>
      </c>
      <c r="K881" s="1">
        <v>5500000</v>
      </c>
      <c r="L881" s="1">
        <v>0</v>
      </c>
      <c r="M881" s="1">
        <v>1000000</v>
      </c>
      <c r="N881" s="1">
        <v>3718312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12387264</v>
      </c>
      <c r="W881" s="1">
        <v>4000000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2921531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5546921</v>
      </c>
      <c r="AM881" s="1">
        <v>0</v>
      </c>
      <c r="AN881" s="1">
        <v>0</v>
      </c>
      <c r="AO881" s="1">
        <v>73747474</v>
      </c>
      <c r="AP881" s="1">
        <v>13680996</v>
      </c>
      <c r="AQ881" s="1">
        <v>60066478</v>
      </c>
      <c r="AR881" s="1">
        <v>14749495</v>
      </c>
      <c r="AS881" s="1">
        <v>2212424</v>
      </c>
      <c r="AT881" s="3">
        <f t="shared" si="90"/>
        <v>90709393</v>
      </c>
    </row>
    <row r="882" spans="1:46" x14ac:dyDescent="0.2">
      <c r="A882" s="1" t="str">
        <f>"01154"</f>
        <v>01154</v>
      </c>
      <c r="B882" s="1" t="str">
        <f>"مهدي"</f>
        <v>مهدي</v>
      </c>
      <c r="C882" s="1" t="str">
        <f>"اورک"</f>
        <v>اورک</v>
      </c>
      <c r="D882" s="1" t="str">
        <f t="shared" si="92"/>
        <v>قراردادي بهره بردار</v>
      </c>
      <c r="E882" s="1" t="str">
        <f t="shared" si="93"/>
        <v>پروژه بهره برداري نيروگاه بوشهر</v>
      </c>
      <c r="F882" s="1">
        <v>20637833</v>
      </c>
      <c r="G882" s="1">
        <v>12730041</v>
      </c>
      <c r="H882" s="1">
        <v>0</v>
      </c>
      <c r="I882" s="1">
        <v>14729972</v>
      </c>
      <c r="J882" s="1">
        <v>0</v>
      </c>
      <c r="K882" s="1">
        <v>0</v>
      </c>
      <c r="L882" s="1">
        <v>0</v>
      </c>
      <c r="M882" s="1">
        <v>1000000</v>
      </c>
      <c r="N882" s="1">
        <v>3361206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16347808</v>
      </c>
      <c r="W882" s="1">
        <v>4000000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2640947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6711831</v>
      </c>
      <c r="AM882" s="1">
        <v>0</v>
      </c>
      <c r="AN882" s="1">
        <v>0</v>
      </c>
      <c r="AO882" s="1">
        <v>82159638</v>
      </c>
      <c r="AP882" s="1">
        <v>30642335</v>
      </c>
      <c r="AQ882" s="1">
        <v>51517303</v>
      </c>
      <c r="AR882" s="1">
        <v>16431928</v>
      </c>
      <c r="AS882" s="1">
        <v>2464789</v>
      </c>
      <c r="AT882" s="3">
        <f t="shared" si="90"/>
        <v>101056355</v>
      </c>
    </row>
    <row r="883" spans="1:46" x14ac:dyDescent="0.2">
      <c r="A883" s="1" t="str">
        <f>"01155"</f>
        <v>01155</v>
      </c>
      <c r="B883" s="1" t="str">
        <f>"علي"</f>
        <v>علي</v>
      </c>
      <c r="C883" s="1" t="str">
        <f>"بهسرشت"</f>
        <v>بهسرشت</v>
      </c>
      <c r="D883" s="1" t="str">
        <f t="shared" si="92"/>
        <v>قراردادي بهره بردار</v>
      </c>
      <c r="E883" s="1" t="str">
        <f t="shared" si="93"/>
        <v>پروژه بهره برداري نيروگاه بوشهر</v>
      </c>
      <c r="F883" s="1">
        <v>22076334</v>
      </c>
      <c r="G883" s="1">
        <v>4237921</v>
      </c>
      <c r="H883" s="1">
        <v>0</v>
      </c>
      <c r="I883" s="1">
        <v>17832411</v>
      </c>
      <c r="J883" s="1">
        <v>0</v>
      </c>
      <c r="K883" s="1">
        <v>5500000</v>
      </c>
      <c r="L883" s="1">
        <v>0</v>
      </c>
      <c r="M883" s="1">
        <v>1000000</v>
      </c>
      <c r="N883" s="1">
        <v>3864681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13537527</v>
      </c>
      <c r="W883" s="1">
        <v>4000000</v>
      </c>
      <c r="X883" s="1">
        <v>3204629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3036535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14724257</v>
      </c>
      <c r="AM883" s="1">
        <v>0</v>
      </c>
      <c r="AN883" s="1">
        <v>0</v>
      </c>
      <c r="AO883" s="1">
        <v>93014295</v>
      </c>
      <c r="AP883" s="1">
        <v>32839754</v>
      </c>
      <c r="AQ883" s="1">
        <v>60174541</v>
      </c>
      <c r="AR883" s="1">
        <v>18602859</v>
      </c>
      <c r="AS883" s="1">
        <v>2790429</v>
      </c>
      <c r="AT883" s="3">
        <f t="shared" si="90"/>
        <v>114407583</v>
      </c>
    </row>
    <row r="884" spans="1:46" x14ac:dyDescent="0.2">
      <c r="A884" s="1" t="str">
        <f>"01156"</f>
        <v>01156</v>
      </c>
      <c r="B884" s="1" t="str">
        <f>"امير"</f>
        <v>امير</v>
      </c>
      <c r="C884" s="1" t="str">
        <f>"بهسرشت"</f>
        <v>بهسرشت</v>
      </c>
      <c r="D884" s="1" t="str">
        <f t="shared" si="92"/>
        <v>قراردادي بهره بردار</v>
      </c>
      <c r="E884" s="1" t="str">
        <f t="shared" si="93"/>
        <v>پروژه بهره برداري نيروگاه بوشهر</v>
      </c>
      <c r="F884" s="1">
        <v>21375978</v>
      </c>
      <c r="G884" s="1">
        <v>0</v>
      </c>
      <c r="H884" s="1">
        <v>0</v>
      </c>
      <c r="I884" s="1">
        <v>16040537</v>
      </c>
      <c r="J884" s="1">
        <v>0</v>
      </c>
      <c r="K884" s="1">
        <v>5500000</v>
      </c>
      <c r="L884" s="1">
        <v>0</v>
      </c>
      <c r="M884" s="1">
        <v>1000000</v>
      </c>
      <c r="N884" s="1">
        <v>3619557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14606173</v>
      </c>
      <c r="W884" s="1">
        <v>4000000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2843937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6486104</v>
      </c>
      <c r="AM884" s="1">
        <v>0</v>
      </c>
      <c r="AN884" s="1">
        <v>0</v>
      </c>
      <c r="AO884" s="1">
        <v>75472286</v>
      </c>
      <c r="AP884" s="1">
        <v>27498788</v>
      </c>
      <c r="AQ884" s="1">
        <v>47973498</v>
      </c>
      <c r="AR884" s="1">
        <v>15094457</v>
      </c>
      <c r="AS884" s="1">
        <v>2264169</v>
      </c>
      <c r="AT884" s="3">
        <f t="shared" si="90"/>
        <v>92830912</v>
      </c>
    </row>
    <row r="885" spans="1:46" x14ac:dyDescent="0.2">
      <c r="A885" s="1" t="str">
        <f>"01157"</f>
        <v>01157</v>
      </c>
      <c r="B885" s="1" t="str">
        <f>"مقداد"</f>
        <v>مقداد</v>
      </c>
      <c r="C885" s="1" t="str">
        <f>"پاداش"</f>
        <v>پاداش</v>
      </c>
      <c r="D885" s="1" t="str">
        <f t="shared" si="92"/>
        <v>قراردادي بهره بردار</v>
      </c>
      <c r="E885" s="1" t="str">
        <f t="shared" si="93"/>
        <v>پروژه بهره برداري نيروگاه بوشهر</v>
      </c>
      <c r="F885" s="1">
        <v>21464152</v>
      </c>
      <c r="G885" s="1">
        <v>12634117</v>
      </c>
      <c r="H885" s="1">
        <v>0</v>
      </c>
      <c r="I885" s="1">
        <v>16291030</v>
      </c>
      <c r="J885" s="1">
        <v>0</v>
      </c>
      <c r="K885" s="1">
        <v>5500000</v>
      </c>
      <c r="L885" s="1">
        <v>0</v>
      </c>
      <c r="M885" s="1">
        <v>1000000</v>
      </c>
      <c r="N885" s="1">
        <v>3650417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17472672</v>
      </c>
      <c r="W885" s="1">
        <v>4000000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2868185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7116424</v>
      </c>
      <c r="AM885" s="1">
        <v>0</v>
      </c>
      <c r="AN885" s="1">
        <v>0</v>
      </c>
      <c r="AO885" s="1">
        <v>91996997</v>
      </c>
      <c r="AP885" s="1">
        <v>18788351</v>
      </c>
      <c r="AQ885" s="1">
        <v>73208646</v>
      </c>
      <c r="AR885" s="1">
        <v>18399399</v>
      </c>
      <c r="AS885" s="1">
        <v>2759910</v>
      </c>
      <c r="AT885" s="3">
        <f t="shared" si="90"/>
        <v>113156306</v>
      </c>
    </row>
    <row r="886" spans="1:46" x14ac:dyDescent="0.2">
      <c r="A886" s="1" t="str">
        <f>"01158"</f>
        <v>01158</v>
      </c>
      <c r="B886" s="1" t="str">
        <f>"ميثم"</f>
        <v>ميثم</v>
      </c>
      <c r="C886" s="1" t="str">
        <f>"خان محمدي هزاوه"</f>
        <v>خان محمدي هزاوه</v>
      </c>
      <c r="D886" s="1" t="str">
        <f t="shared" si="92"/>
        <v>قراردادي بهره بردار</v>
      </c>
      <c r="E886" s="1" t="str">
        <f t="shared" si="93"/>
        <v>پروژه بهره برداري نيروگاه بوشهر</v>
      </c>
      <c r="F886" s="1">
        <v>21244976</v>
      </c>
      <c r="G886" s="1">
        <v>4492133</v>
      </c>
      <c r="H886" s="1">
        <v>0</v>
      </c>
      <c r="I886" s="1">
        <v>15383987</v>
      </c>
      <c r="J886" s="1">
        <v>0</v>
      </c>
      <c r="K886" s="1">
        <v>5500000</v>
      </c>
      <c r="L886" s="1">
        <v>0</v>
      </c>
      <c r="M886" s="1">
        <v>1000000</v>
      </c>
      <c r="N886" s="1">
        <v>3573706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15901276</v>
      </c>
      <c r="W886" s="1">
        <v>4000000</v>
      </c>
      <c r="X886" s="1">
        <v>3083948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2807912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11821407</v>
      </c>
      <c r="AM886" s="1">
        <v>0</v>
      </c>
      <c r="AN886" s="1">
        <v>0</v>
      </c>
      <c r="AO886" s="1">
        <v>88809345</v>
      </c>
      <c r="AP886" s="1">
        <v>27664161</v>
      </c>
      <c r="AQ886" s="1">
        <v>61145184</v>
      </c>
      <c r="AR886" s="1">
        <v>17761869</v>
      </c>
      <c r="AS886" s="1">
        <v>2664280</v>
      </c>
      <c r="AT886" s="3">
        <f t="shared" si="90"/>
        <v>109235494</v>
      </c>
    </row>
    <row r="887" spans="1:46" x14ac:dyDescent="0.2">
      <c r="A887" s="1" t="str">
        <f>"01159"</f>
        <v>01159</v>
      </c>
      <c r="B887" s="1" t="str">
        <f>"عليرضا"</f>
        <v>عليرضا</v>
      </c>
      <c r="C887" s="1" t="str">
        <f>"دهقاني"</f>
        <v>دهقاني</v>
      </c>
      <c r="D887" s="1" t="str">
        <f t="shared" si="92"/>
        <v>قراردادي بهره بردار</v>
      </c>
      <c r="E887" s="1" t="str">
        <f t="shared" si="93"/>
        <v>پروژه بهره برداري نيروگاه بوشهر</v>
      </c>
      <c r="F887" s="1">
        <v>21295361</v>
      </c>
      <c r="G887" s="1">
        <v>0</v>
      </c>
      <c r="H887" s="1">
        <v>0</v>
      </c>
      <c r="I887" s="1">
        <v>14868233</v>
      </c>
      <c r="J887" s="1">
        <v>0</v>
      </c>
      <c r="K887" s="1">
        <v>5500000</v>
      </c>
      <c r="L887" s="1">
        <v>0</v>
      </c>
      <c r="M887" s="1">
        <v>1000000</v>
      </c>
      <c r="N887" s="1">
        <v>3591341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8173281</v>
      </c>
      <c r="W887" s="1">
        <v>4000000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2821768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5501423</v>
      </c>
      <c r="AM887" s="1">
        <v>0</v>
      </c>
      <c r="AN887" s="1">
        <v>0</v>
      </c>
      <c r="AO887" s="1">
        <v>66751407</v>
      </c>
      <c r="AP887" s="1">
        <v>12319181</v>
      </c>
      <c r="AQ887" s="1">
        <v>54432226</v>
      </c>
      <c r="AR887" s="1">
        <v>13350281</v>
      </c>
      <c r="AS887" s="1">
        <v>2002542</v>
      </c>
      <c r="AT887" s="3">
        <f t="shared" si="90"/>
        <v>82104230</v>
      </c>
    </row>
    <row r="888" spans="1:46" x14ac:dyDescent="0.2">
      <c r="A888" s="1" t="str">
        <f>"01160"</f>
        <v>01160</v>
      </c>
      <c r="B888" s="1" t="str">
        <f>"سيدحميدرضا"</f>
        <v>سيدحميدرضا</v>
      </c>
      <c r="C888" s="1" t="str">
        <f>"قريشي"</f>
        <v>قريشي</v>
      </c>
      <c r="D888" s="1" t="str">
        <f t="shared" si="92"/>
        <v>قراردادي بهره بردار</v>
      </c>
      <c r="E888" s="1" t="str">
        <f t="shared" si="93"/>
        <v>پروژه بهره برداري نيروگاه بوشهر</v>
      </c>
      <c r="F888" s="1">
        <v>20942664</v>
      </c>
      <c r="G888" s="1">
        <v>0</v>
      </c>
      <c r="H888" s="1">
        <v>0</v>
      </c>
      <c r="I888" s="1">
        <v>15188106</v>
      </c>
      <c r="J888" s="1">
        <v>0</v>
      </c>
      <c r="K888" s="1">
        <v>4125000</v>
      </c>
      <c r="L888" s="1">
        <v>0</v>
      </c>
      <c r="M888" s="1">
        <v>1000000</v>
      </c>
      <c r="N888" s="1">
        <v>3467897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14127414</v>
      </c>
      <c r="W888" s="1">
        <v>4000000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2724776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6391783</v>
      </c>
      <c r="AM888" s="1">
        <v>0</v>
      </c>
      <c r="AN888" s="1">
        <v>0</v>
      </c>
      <c r="AO888" s="1">
        <v>71967640</v>
      </c>
      <c r="AP888" s="1">
        <v>25902889</v>
      </c>
      <c r="AQ888" s="1">
        <v>46064751</v>
      </c>
      <c r="AR888" s="1">
        <v>14393528</v>
      </c>
      <c r="AS888" s="1">
        <v>2159029</v>
      </c>
      <c r="AT888" s="3">
        <f t="shared" si="90"/>
        <v>88520197</v>
      </c>
    </row>
    <row r="889" spans="1:46" x14ac:dyDescent="0.2">
      <c r="A889" s="1" t="str">
        <f>"01161"</f>
        <v>01161</v>
      </c>
      <c r="B889" s="1" t="str">
        <f>"صادق"</f>
        <v>صادق</v>
      </c>
      <c r="C889" s="1" t="str">
        <f>"گنجي"</f>
        <v>گنجي</v>
      </c>
      <c r="D889" s="1" t="str">
        <f t="shared" si="92"/>
        <v>قراردادي بهره بردار</v>
      </c>
      <c r="E889" s="1" t="str">
        <f t="shared" si="93"/>
        <v>پروژه بهره برداري نيروگاه بوشهر</v>
      </c>
      <c r="F889" s="1">
        <v>21932736</v>
      </c>
      <c r="G889" s="1">
        <v>11818122</v>
      </c>
      <c r="H889" s="1">
        <v>0</v>
      </c>
      <c r="I889" s="1">
        <v>16399144</v>
      </c>
      <c r="J889" s="1">
        <v>0</v>
      </c>
      <c r="K889" s="1">
        <v>5500000</v>
      </c>
      <c r="L889" s="1">
        <v>0</v>
      </c>
      <c r="M889" s="1">
        <v>1000000</v>
      </c>
      <c r="N889" s="1">
        <v>3814422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15459662</v>
      </c>
      <c r="W889" s="1">
        <v>4000000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2997046</v>
      </c>
      <c r="AF889" s="1">
        <v>1835427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6388860</v>
      </c>
      <c r="AM889" s="1">
        <v>0</v>
      </c>
      <c r="AN889" s="1">
        <v>0</v>
      </c>
      <c r="AO889" s="1">
        <v>91145419</v>
      </c>
      <c r="AP889" s="1">
        <v>39688222</v>
      </c>
      <c r="AQ889" s="1">
        <v>51457197</v>
      </c>
      <c r="AR889" s="1">
        <v>17861998</v>
      </c>
      <c r="AS889" s="1">
        <v>2679300</v>
      </c>
      <c r="AT889" s="3">
        <f t="shared" si="90"/>
        <v>111686717</v>
      </c>
    </row>
    <row r="890" spans="1:46" x14ac:dyDescent="0.2">
      <c r="A890" s="1" t="str">
        <f>"01163"</f>
        <v>01163</v>
      </c>
      <c r="B890" s="1" t="str">
        <f>"علي"</f>
        <v>علي</v>
      </c>
      <c r="C890" s="1" t="str">
        <f>"مطهر"</f>
        <v>مطهر</v>
      </c>
      <c r="D890" s="1" t="str">
        <f t="shared" si="92"/>
        <v>قراردادي بهره بردار</v>
      </c>
      <c r="E890" s="1" t="str">
        <f t="shared" si="93"/>
        <v>پروژه بهره برداري نيروگاه بوشهر</v>
      </c>
      <c r="F890" s="1">
        <v>20849451</v>
      </c>
      <c r="G890" s="1">
        <v>4155309</v>
      </c>
      <c r="H890" s="1">
        <v>0</v>
      </c>
      <c r="I890" s="1">
        <v>14849112</v>
      </c>
      <c r="J890" s="1">
        <v>0</v>
      </c>
      <c r="K890" s="1">
        <v>5500000</v>
      </c>
      <c r="L890" s="1">
        <v>0</v>
      </c>
      <c r="M890" s="1">
        <v>1000000</v>
      </c>
      <c r="N890" s="1">
        <v>3435272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11777332</v>
      </c>
      <c r="W890" s="1">
        <v>4000000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2699142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5276352</v>
      </c>
      <c r="AM890" s="1">
        <v>0</v>
      </c>
      <c r="AN890" s="1">
        <v>0</v>
      </c>
      <c r="AO890" s="1">
        <v>73541970</v>
      </c>
      <c r="AP890" s="1">
        <v>28788571</v>
      </c>
      <c r="AQ890" s="1">
        <v>44753399</v>
      </c>
      <c r="AR890" s="1">
        <v>14708394</v>
      </c>
      <c r="AS890" s="1">
        <v>2206259</v>
      </c>
      <c r="AT890" s="3">
        <f t="shared" si="90"/>
        <v>90456623</v>
      </c>
    </row>
    <row r="891" spans="1:46" x14ac:dyDescent="0.2">
      <c r="A891" s="1" t="str">
        <f>"01164"</f>
        <v>01164</v>
      </c>
      <c r="B891" s="1" t="str">
        <f>"مجتبي"</f>
        <v>مجتبي</v>
      </c>
      <c r="C891" s="1" t="str">
        <f>"منفرد"</f>
        <v>منفرد</v>
      </c>
      <c r="D891" s="1" t="str">
        <f t="shared" si="92"/>
        <v>قراردادي بهره بردار</v>
      </c>
      <c r="E891" s="1" t="str">
        <f t="shared" si="93"/>
        <v>پروژه بهره برداري نيروگاه بوشهر</v>
      </c>
      <c r="F891" s="1">
        <v>20363232</v>
      </c>
      <c r="G891" s="1">
        <v>7137946</v>
      </c>
      <c r="H891" s="1">
        <v>0</v>
      </c>
      <c r="I891" s="1">
        <v>14318696</v>
      </c>
      <c r="J891" s="1">
        <v>0</v>
      </c>
      <c r="K891" s="1">
        <v>4125000</v>
      </c>
      <c r="L891" s="1">
        <v>0</v>
      </c>
      <c r="M891" s="1">
        <v>1000000</v>
      </c>
      <c r="N891" s="1">
        <v>3265096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16041354</v>
      </c>
      <c r="W891" s="1">
        <v>4000000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2565432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6667995</v>
      </c>
      <c r="AM891" s="1">
        <v>0</v>
      </c>
      <c r="AN891" s="1">
        <v>0</v>
      </c>
      <c r="AO891" s="1">
        <v>79484751</v>
      </c>
      <c r="AP891" s="1">
        <v>36727775</v>
      </c>
      <c r="AQ891" s="1">
        <v>42756976</v>
      </c>
      <c r="AR891" s="1">
        <v>15896950</v>
      </c>
      <c r="AS891" s="1">
        <v>2384543</v>
      </c>
      <c r="AT891" s="3">
        <f t="shared" si="90"/>
        <v>97766244</v>
      </c>
    </row>
    <row r="892" spans="1:46" x14ac:dyDescent="0.2">
      <c r="A892" s="1" t="str">
        <f>"01165"</f>
        <v>01165</v>
      </c>
      <c r="B892" s="1" t="str">
        <f>"کاظم"</f>
        <v>کاظم</v>
      </c>
      <c r="C892" s="1" t="str">
        <f>"مهربانيان"</f>
        <v>مهربانيان</v>
      </c>
      <c r="D892" s="1" t="str">
        <f t="shared" si="92"/>
        <v>قراردادي بهره بردار</v>
      </c>
      <c r="E892" s="1" t="str">
        <f t="shared" si="93"/>
        <v>پروژه بهره برداري نيروگاه بوشهر</v>
      </c>
      <c r="F892" s="1">
        <v>22224971</v>
      </c>
      <c r="G892" s="1">
        <v>6863923</v>
      </c>
      <c r="H892" s="1">
        <v>0</v>
      </c>
      <c r="I892" s="1">
        <v>16362757</v>
      </c>
      <c r="J892" s="1">
        <v>0</v>
      </c>
      <c r="K892" s="1">
        <v>5500000</v>
      </c>
      <c r="L892" s="1">
        <v>0</v>
      </c>
      <c r="M892" s="1">
        <v>1000000</v>
      </c>
      <c r="N892" s="1">
        <v>3916704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16820968</v>
      </c>
      <c r="W892" s="1">
        <v>4000000</v>
      </c>
      <c r="X892" s="1">
        <v>3226205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3077410</v>
      </c>
      <c r="AF892" s="1">
        <v>1835427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12421496</v>
      </c>
      <c r="AM892" s="1">
        <v>0</v>
      </c>
      <c r="AN892" s="1">
        <v>0</v>
      </c>
      <c r="AO892" s="1">
        <v>97249861</v>
      </c>
      <c r="AP892" s="1">
        <v>16680758</v>
      </c>
      <c r="AQ892" s="1">
        <v>80569103</v>
      </c>
      <c r="AR892" s="1">
        <v>19082887</v>
      </c>
      <c r="AS892" s="1">
        <v>2862433</v>
      </c>
      <c r="AT892" s="3">
        <f t="shared" si="90"/>
        <v>119195181</v>
      </c>
    </row>
    <row r="893" spans="1:46" x14ac:dyDescent="0.2">
      <c r="A893" s="1" t="str">
        <f>"01166"</f>
        <v>01166</v>
      </c>
      <c r="B893" s="1" t="str">
        <f>"محمد"</f>
        <v>محمد</v>
      </c>
      <c r="C893" s="1" t="str">
        <f>"ميرعلائي"</f>
        <v>ميرعلائي</v>
      </c>
      <c r="D893" s="1" t="str">
        <f t="shared" si="92"/>
        <v>قراردادي بهره بردار</v>
      </c>
      <c r="E893" s="1" t="str">
        <f t="shared" si="93"/>
        <v>پروژه بهره برداري نيروگاه بوشهر</v>
      </c>
      <c r="F893" s="1">
        <v>22015871</v>
      </c>
      <c r="G893" s="1">
        <v>33033638</v>
      </c>
      <c r="H893" s="1">
        <v>0</v>
      </c>
      <c r="I893" s="1">
        <v>16378537</v>
      </c>
      <c r="J893" s="1">
        <v>0</v>
      </c>
      <c r="K893" s="1">
        <v>4125000</v>
      </c>
      <c r="L893" s="1">
        <v>0</v>
      </c>
      <c r="M893" s="1">
        <v>1000000</v>
      </c>
      <c r="N893" s="1">
        <v>3843520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16447390</v>
      </c>
      <c r="W893" s="1">
        <v>4000000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3019908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6140259</v>
      </c>
      <c r="AM893" s="1">
        <v>0</v>
      </c>
      <c r="AN893" s="1">
        <v>0</v>
      </c>
      <c r="AO893" s="1">
        <v>110004123</v>
      </c>
      <c r="AP893" s="1">
        <v>55904139</v>
      </c>
      <c r="AQ893" s="1">
        <v>54099984</v>
      </c>
      <c r="AR893" s="1">
        <v>22000825</v>
      </c>
      <c r="AS893" s="1">
        <v>3300124</v>
      </c>
      <c r="AT893" s="3">
        <f t="shared" si="90"/>
        <v>135305072</v>
      </c>
    </row>
    <row r="894" spans="1:46" x14ac:dyDescent="0.2">
      <c r="A894" s="1" t="str">
        <f>"01167"</f>
        <v>01167</v>
      </c>
      <c r="B894" s="1" t="str">
        <f>"محمد"</f>
        <v>محمد</v>
      </c>
      <c r="C894" s="1" t="str">
        <f>"سروش"</f>
        <v>سروش</v>
      </c>
      <c r="D894" s="1" t="str">
        <f t="shared" si="92"/>
        <v>قراردادي بهره بردار</v>
      </c>
      <c r="E894" s="1" t="str">
        <f t="shared" si="93"/>
        <v>پروژه بهره برداري نيروگاه بوشهر</v>
      </c>
      <c r="F894" s="1">
        <v>21149244</v>
      </c>
      <c r="G894" s="1">
        <v>3071946</v>
      </c>
      <c r="H894" s="1">
        <v>0</v>
      </c>
      <c r="I894" s="1">
        <v>15301386</v>
      </c>
      <c r="J894" s="1">
        <v>0</v>
      </c>
      <c r="K894" s="1">
        <v>5500000</v>
      </c>
      <c r="L894" s="1">
        <v>0</v>
      </c>
      <c r="M894" s="1">
        <v>1000000</v>
      </c>
      <c r="N894" s="1">
        <v>3540200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13980973</v>
      </c>
      <c r="W894" s="1">
        <v>4000000</v>
      </c>
      <c r="X894" s="1">
        <v>1316548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2781586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5437837</v>
      </c>
      <c r="AM894" s="1">
        <v>0</v>
      </c>
      <c r="AN894" s="1">
        <v>0</v>
      </c>
      <c r="AO894" s="1">
        <v>77079720</v>
      </c>
      <c r="AP894" s="1">
        <v>22539199</v>
      </c>
      <c r="AQ894" s="1">
        <v>54540521</v>
      </c>
      <c r="AR894" s="1">
        <v>15415944</v>
      </c>
      <c r="AS894" s="1">
        <v>2312392</v>
      </c>
      <c r="AT894" s="3">
        <f t="shared" si="90"/>
        <v>94808056</v>
      </c>
    </row>
    <row r="895" spans="1:46" x14ac:dyDescent="0.2">
      <c r="A895" s="1" t="str">
        <f>"01169"</f>
        <v>01169</v>
      </c>
      <c r="B895" s="1" t="str">
        <f>"محمدمهدي"</f>
        <v>محمدمهدي</v>
      </c>
      <c r="C895" s="1" t="str">
        <f>"مهدي نياي رود پشتي"</f>
        <v>مهدي نياي رود پشتي</v>
      </c>
      <c r="D895" s="1" t="str">
        <f t="shared" si="92"/>
        <v>قراردادي بهره بردار</v>
      </c>
      <c r="E895" s="1" t="str">
        <f t="shared" si="93"/>
        <v>پروژه بهره برداري نيروگاه بوشهر</v>
      </c>
      <c r="F895" s="1">
        <v>21610269</v>
      </c>
      <c r="G895" s="1">
        <v>4587539</v>
      </c>
      <c r="H895" s="1">
        <v>0</v>
      </c>
      <c r="I895" s="1">
        <v>15594686</v>
      </c>
      <c r="J895" s="1">
        <v>0</v>
      </c>
      <c r="K895" s="1">
        <v>5500000</v>
      </c>
      <c r="L895" s="1">
        <v>0</v>
      </c>
      <c r="M895" s="1">
        <v>1000000</v>
      </c>
      <c r="N895" s="1">
        <v>3701558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16238998</v>
      </c>
      <c r="W895" s="1">
        <v>4000000</v>
      </c>
      <c r="X895" s="1">
        <v>3136975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2908367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12181662</v>
      </c>
      <c r="AM895" s="1">
        <v>0</v>
      </c>
      <c r="AN895" s="1">
        <v>0</v>
      </c>
      <c r="AO895" s="1">
        <v>90460054</v>
      </c>
      <c r="AP895" s="1">
        <v>31836003</v>
      </c>
      <c r="AQ895" s="1">
        <v>58624051</v>
      </c>
      <c r="AR895" s="1">
        <v>18092011</v>
      </c>
      <c r="AS895" s="1">
        <v>2713802</v>
      </c>
      <c r="AT895" s="3">
        <f t="shared" si="90"/>
        <v>111265867</v>
      </c>
    </row>
    <row r="896" spans="1:46" x14ac:dyDescent="0.2">
      <c r="A896" s="1" t="str">
        <f>"01170"</f>
        <v>01170</v>
      </c>
      <c r="B896" s="1" t="str">
        <f>"عماد"</f>
        <v>عماد</v>
      </c>
      <c r="C896" s="1" t="str">
        <f>"نوري فر"</f>
        <v>نوري فر</v>
      </c>
      <c r="D896" s="1" t="str">
        <f t="shared" si="92"/>
        <v>قراردادي بهره بردار</v>
      </c>
      <c r="E896" s="1" t="str">
        <f t="shared" si="93"/>
        <v>پروژه بهره برداري نيروگاه بوشهر</v>
      </c>
      <c r="F896" s="1">
        <v>22061218</v>
      </c>
      <c r="G896" s="1">
        <v>3725930</v>
      </c>
      <c r="H896" s="1">
        <v>0</v>
      </c>
      <c r="I896" s="1">
        <v>16499067</v>
      </c>
      <c r="J896" s="1">
        <v>0</v>
      </c>
      <c r="K896" s="1">
        <v>5500000</v>
      </c>
      <c r="L896" s="1">
        <v>0</v>
      </c>
      <c r="M896" s="1">
        <v>1000000</v>
      </c>
      <c r="N896" s="1">
        <v>3859390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14837703</v>
      </c>
      <c r="W896" s="1">
        <v>4000000</v>
      </c>
      <c r="X896" s="1">
        <v>3202435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3032379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5712437</v>
      </c>
      <c r="AM896" s="1">
        <v>0</v>
      </c>
      <c r="AN896" s="1">
        <v>0</v>
      </c>
      <c r="AO896" s="1">
        <v>83430559</v>
      </c>
      <c r="AP896" s="1">
        <v>34921696</v>
      </c>
      <c r="AQ896" s="1">
        <v>48508863</v>
      </c>
      <c r="AR896" s="1">
        <v>16686112</v>
      </c>
      <c r="AS896" s="1">
        <v>2502917</v>
      </c>
      <c r="AT896" s="3">
        <f t="shared" si="90"/>
        <v>102619588</v>
      </c>
    </row>
    <row r="897" spans="1:46" x14ac:dyDescent="0.2">
      <c r="A897" s="1" t="str">
        <f>"01172"</f>
        <v>01172</v>
      </c>
      <c r="B897" s="1" t="str">
        <f>"مظاهر"</f>
        <v>مظاهر</v>
      </c>
      <c r="C897" s="1" t="str">
        <f>"اسکندري"</f>
        <v>اسکندري</v>
      </c>
      <c r="D897" s="1" t="str">
        <f t="shared" si="92"/>
        <v>قراردادي بهره بردار</v>
      </c>
      <c r="E897" s="1" t="str">
        <f t="shared" si="93"/>
        <v>پروژه بهره برداري نيروگاه بوشهر</v>
      </c>
      <c r="F897" s="1">
        <v>20917471</v>
      </c>
      <c r="G897" s="1">
        <v>40123443</v>
      </c>
      <c r="H897" s="1">
        <v>0</v>
      </c>
      <c r="I897" s="1">
        <v>15516558</v>
      </c>
      <c r="J897" s="1">
        <v>0</v>
      </c>
      <c r="K897" s="1">
        <v>5500000</v>
      </c>
      <c r="L897" s="1">
        <v>0</v>
      </c>
      <c r="M897" s="1">
        <v>1000000</v>
      </c>
      <c r="N897" s="1">
        <v>3459079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14950638</v>
      </c>
      <c r="W897" s="1">
        <v>4000000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2717848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5616907</v>
      </c>
      <c r="AM897" s="1">
        <v>0</v>
      </c>
      <c r="AN897" s="1">
        <v>0</v>
      </c>
      <c r="AO897" s="1">
        <v>113801944</v>
      </c>
      <c r="AP897" s="1">
        <v>38257862</v>
      </c>
      <c r="AQ897" s="1">
        <v>75544082</v>
      </c>
      <c r="AR897" s="1">
        <v>22760389</v>
      </c>
      <c r="AS897" s="1">
        <v>3414058</v>
      </c>
      <c r="AT897" s="3">
        <f t="shared" si="90"/>
        <v>139976391</v>
      </c>
    </row>
    <row r="898" spans="1:46" x14ac:dyDescent="0.2">
      <c r="A898" s="1" t="str">
        <f>"01173"</f>
        <v>01173</v>
      </c>
      <c r="B898" s="1" t="str">
        <f>"حجت"</f>
        <v>حجت</v>
      </c>
      <c r="C898" s="1" t="str">
        <f>"تنگسير اصل"</f>
        <v>تنگسير اصل</v>
      </c>
      <c r="D898" s="1" t="str">
        <f t="shared" si="92"/>
        <v>قراردادي بهره بردار</v>
      </c>
      <c r="E898" s="1" t="str">
        <f t="shared" si="93"/>
        <v>پروژه بهره برداري نيروگاه بوشهر</v>
      </c>
      <c r="F898" s="1">
        <v>20617678</v>
      </c>
      <c r="G898" s="1">
        <v>2128284</v>
      </c>
      <c r="H898" s="1">
        <v>0</v>
      </c>
      <c r="I898" s="1">
        <v>14757474</v>
      </c>
      <c r="J898" s="1">
        <v>0</v>
      </c>
      <c r="K898" s="1">
        <v>4125000</v>
      </c>
      <c r="L898" s="1">
        <v>0</v>
      </c>
      <c r="M898" s="1">
        <v>1000000</v>
      </c>
      <c r="N898" s="1">
        <v>3354151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13560683</v>
      </c>
      <c r="W898" s="1">
        <v>4000000</v>
      </c>
      <c r="X898" s="1">
        <v>2553941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2635405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5396269</v>
      </c>
      <c r="AM898" s="1">
        <v>0</v>
      </c>
      <c r="AN898" s="1">
        <v>0</v>
      </c>
      <c r="AO898" s="1">
        <v>74128885</v>
      </c>
      <c r="AP898" s="1">
        <v>32962041</v>
      </c>
      <c r="AQ898" s="1">
        <v>41166844</v>
      </c>
      <c r="AR898" s="1">
        <v>14825777</v>
      </c>
      <c r="AS898" s="1">
        <v>2223867</v>
      </c>
      <c r="AT898" s="3">
        <f t="shared" si="90"/>
        <v>91178529</v>
      </c>
    </row>
    <row r="899" spans="1:46" x14ac:dyDescent="0.2">
      <c r="A899" s="1" t="str">
        <f>"01174"</f>
        <v>01174</v>
      </c>
      <c r="B899" s="1" t="str">
        <f>"محمد"</f>
        <v>محمد</v>
      </c>
      <c r="C899" s="1" t="str">
        <f>"جاماسب خلاري"</f>
        <v>جاماسب خلاري</v>
      </c>
      <c r="D899" s="1" t="str">
        <f t="shared" si="92"/>
        <v>قراردادي بهره بردار</v>
      </c>
      <c r="E899" s="1" t="str">
        <f t="shared" si="93"/>
        <v>پروژه بهره برداري نيروگاه بوشهر</v>
      </c>
      <c r="F899" s="1">
        <v>20340559</v>
      </c>
      <c r="G899" s="1">
        <v>0</v>
      </c>
      <c r="H899" s="1">
        <v>0</v>
      </c>
      <c r="I899" s="1">
        <v>14295974</v>
      </c>
      <c r="J899" s="1">
        <v>0</v>
      </c>
      <c r="K899" s="1">
        <v>4125000</v>
      </c>
      <c r="L899" s="1">
        <v>0</v>
      </c>
      <c r="M899" s="1">
        <v>1000000</v>
      </c>
      <c r="N899" s="1">
        <v>3257160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15559536</v>
      </c>
      <c r="W899" s="1">
        <v>4000000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2559197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6697218</v>
      </c>
      <c r="AM899" s="1">
        <v>0</v>
      </c>
      <c r="AN899" s="1">
        <v>0</v>
      </c>
      <c r="AO899" s="1">
        <v>71834644</v>
      </c>
      <c r="AP899" s="1">
        <v>29114367</v>
      </c>
      <c r="AQ899" s="1">
        <v>42720277</v>
      </c>
      <c r="AR899" s="1">
        <v>14366929</v>
      </c>
      <c r="AS899" s="1">
        <v>2155039</v>
      </c>
      <c r="AT899" s="3">
        <f t="shared" ref="AT899:AT962" si="94">AO899+AR899+AS899</f>
        <v>88356612</v>
      </c>
    </row>
    <row r="900" spans="1:46" x14ac:dyDescent="0.2">
      <c r="A900" s="1" t="str">
        <f>"01175"</f>
        <v>01175</v>
      </c>
      <c r="B900" s="1" t="str">
        <f>"محمد مرتضي"</f>
        <v>محمد مرتضي</v>
      </c>
      <c r="C900" s="1" t="str">
        <f>"غلامي"</f>
        <v>غلامي</v>
      </c>
      <c r="D900" s="1" t="str">
        <f t="shared" si="92"/>
        <v>قراردادي بهره بردار</v>
      </c>
      <c r="E900" s="1" t="str">
        <f t="shared" si="93"/>
        <v>پروژه بهره برداري نيروگاه بوشهر</v>
      </c>
      <c r="F900" s="1">
        <v>20982972</v>
      </c>
      <c r="G900" s="1">
        <v>19622955</v>
      </c>
      <c r="H900" s="1">
        <v>0</v>
      </c>
      <c r="I900" s="1">
        <v>14402062</v>
      </c>
      <c r="J900" s="1">
        <v>0</v>
      </c>
      <c r="K900" s="1">
        <v>4125000</v>
      </c>
      <c r="L900" s="1">
        <v>0</v>
      </c>
      <c r="M900" s="1">
        <v>1000000</v>
      </c>
      <c r="N900" s="1">
        <v>3482005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10054737</v>
      </c>
      <c r="W900" s="1">
        <v>4000000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2735861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6276804</v>
      </c>
      <c r="AM900" s="1">
        <v>0</v>
      </c>
      <c r="AN900" s="1">
        <v>0</v>
      </c>
      <c r="AO900" s="1">
        <v>86682396</v>
      </c>
      <c r="AP900" s="1">
        <v>18777733</v>
      </c>
      <c r="AQ900" s="1">
        <v>67904663</v>
      </c>
      <c r="AR900" s="1">
        <v>17336479</v>
      </c>
      <c r="AS900" s="1">
        <v>2600472</v>
      </c>
      <c r="AT900" s="3">
        <f t="shared" si="94"/>
        <v>106619347</v>
      </c>
    </row>
    <row r="901" spans="1:46" x14ac:dyDescent="0.2">
      <c r="A901" s="1" t="str">
        <f>"01176"</f>
        <v>01176</v>
      </c>
      <c r="B901" s="1" t="str">
        <f>"محمد"</f>
        <v>محمد</v>
      </c>
      <c r="C901" s="1" t="str">
        <f>"مهري"</f>
        <v>مهري</v>
      </c>
      <c r="D901" s="1" t="str">
        <f t="shared" si="92"/>
        <v>قراردادي بهره بردار</v>
      </c>
      <c r="E901" s="1" t="str">
        <f t="shared" si="93"/>
        <v>پروژه بهره برداري نيروگاه بوشهر</v>
      </c>
      <c r="F901" s="1">
        <v>20401021</v>
      </c>
      <c r="G901" s="1">
        <v>3547728</v>
      </c>
      <c r="H901" s="1">
        <v>0</v>
      </c>
      <c r="I901" s="1">
        <v>14618433</v>
      </c>
      <c r="J901" s="1">
        <v>0</v>
      </c>
      <c r="K901" s="1">
        <v>5500000</v>
      </c>
      <c r="L901" s="1">
        <v>0</v>
      </c>
      <c r="M901" s="1">
        <v>1000000</v>
      </c>
      <c r="N901" s="1">
        <v>3278321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18837402</v>
      </c>
      <c r="W901" s="1">
        <v>4000000</v>
      </c>
      <c r="X901" s="1">
        <v>2956440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2575824</v>
      </c>
      <c r="AF901" s="1">
        <v>0</v>
      </c>
      <c r="AG901" s="1">
        <v>19399640</v>
      </c>
      <c r="AH901" s="1">
        <v>0</v>
      </c>
      <c r="AI901" s="1">
        <v>0</v>
      </c>
      <c r="AJ901" s="1">
        <v>0</v>
      </c>
      <c r="AK901" s="1">
        <v>0</v>
      </c>
      <c r="AL901" s="1">
        <v>4683317</v>
      </c>
      <c r="AM901" s="1">
        <v>0</v>
      </c>
      <c r="AN901" s="1">
        <v>0</v>
      </c>
      <c r="AO901" s="1">
        <v>100798126</v>
      </c>
      <c r="AP901" s="1">
        <v>33568972</v>
      </c>
      <c r="AQ901" s="1">
        <v>67229154</v>
      </c>
      <c r="AR901" s="1">
        <v>20159625</v>
      </c>
      <c r="AS901" s="1">
        <v>3023944</v>
      </c>
      <c r="AT901" s="3">
        <f t="shared" si="94"/>
        <v>123981695</v>
      </c>
    </row>
    <row r="902" spans="1:46" x14ac:dyDescent="0.2">
      <c r="A902" s="1" t="str">
        <f>"01177"</f>
        <v>01177</v>
      </c>
      <c r="B902" s="1" t="str">
        <f>"مسلم"</f>
        <v>مسلم</v>
      </c>
      <c r="C902" s="1" t="str">
        <f>"صالحي"</f>
        <v>صالحي</v>
      </c>
      <c r="D902" s="1" t="str">
        <f t="shared" si="92"/>
        <v>قراردادي بهره بردار</v>
      </c>
      <c r="E902" s="1" t="str">
        <f t="shared" si="93"/>
        <v>پروژه بهره برداري نيروگاه بوشهر</v>
      </c>
      <c r="F902" s="1">
        <v>15234006</v>
      </c>
      <c r="G902" s="1">
        <v>6196426</v>
      </c>
      <c r="H902" s="1">
        <v>0</v>
      </c>
      <c r="I902" s="1">
        <v>10156050</v>
      </c>
      <c r="J902" s="1">
        <v>0</v>
      </c>
      <c r="K902" s="1">
        <v>0</v>
      </c>
      <c r="L902" s="1">
        <v>0</v>
      </c>
      <c r="M902" s="1">
        <v>1000000</v>
      </c>
      <c r="N902" s="1">
        <v>2430966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7917494</v>
      </c>
      <c r="W902" s="1">
        <v>4000000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1910045</v>
      </c>
      <c r="AF902" s="1">
        <v>1835427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6257543</v>
      </c>
      <c r="AM902" s="1">
        <v>0</v>
      </c>
      <c r="AN902" s="1">
        <v>0</v>
      </c>
      <c r="AO902" s="1">
        <v>56937957</v>
      </c>
      <c r="AP902" s="1">
        <v>26434410</v>
      </c>
      <c r="AQ902" s="1">
        <v>30503547</v>
      </c>
      <c r="AR902" s="1">
        <v>11020506</v>
      </c>
      <c r="AS902" s="1">
        <v>1653076</v>
      </c>
      <c r="AT902" s="3">
        <f t="shared" si="94"/>
        <v>69611539</v>
      </c>
    </row>
    <row r="903" spans="1:46" x14ac:dyDescent="0.2">
      <c r="A903" s="1" t="str">
        <f>"01178"</f>
        <v>01178</v>
      </c>
      <c r="B903" s="1" t="str">
        <f>"مجيد"</f>
        <v>مجيد</v>
      </c>
      <c r="C903" s="1" t="str">
        <f>"دانيالي"</f>
        <v>دانيالي</v>
      </c>
      <c r="D903" s="1" t="str">
        <f t="shared" si="92"/>
        <v>قراردادي بهره بردار</v>
      </c>
      <c r="E903" s="1" t="str">
        <f t="shared" si="93"/>
        <v>پروژه بهره برداري نيروگاه بوشهر</v>
      </c>
      <c r="F903" s="1">
        <v>21239937</v>
      </c>
      <c r="G903" s="1">
        <v>2127948</v>
      </c>
      <c r="H903" s="1">
        <v>0</v>
      </c>
      <c r="I903" s="1">
        <v>15228980</v>
      </c>
      <c r="J903" s="1">
        <v>0</v>
      </c>
      <c r="K903" s="1">
        <v>5500000</v>
      </c>
      <c r="L903" s="1">
        <v>0</v>
      </c>
      <c r="M903" s="1">
        <v>1000000</v>
      </c>
      <c r="N903" s="1">
        <v>3571942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12062426</v>
      </c>
      <c r="W903" s="1">
        <v>4000000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2806526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5402315</v>
      </c>
      <c r="AM903" s="1">
        <v>0</v>
      </c>
      <c r="AN903" s="1">
        <v>0</v>
      </c>
      <c r="AO903" s="1">
        <v>72940074</v>
      </c>
      <c r="AP903" s="1">
        <v>24871294</v>
      </c>
      <c r="AQ903" s="1">
        <v>48068780</v>
      </c>
      <c r="AR903" s="1">
        <v>14588015</v>
      </c>
      <c r="AS903" s="1">
        <v>2188202</v>
      </c>
      <c r="AT903" s="3">
        <f t="shared" si="94"/>
        <v>89716291</v>
      </c>
    </row>
    <row r="904" spans="1:46" x14ac:dyDescent="0.2">
      <c r="A904" s="1" t="str">
        <f>"01179"</f>
        <v>01179</v>
      </c>
      <c r="B904" s="1" t="str">
        <f>"جواد"</f>
        <v>جواد</v>
      </c>
      <c r="C904" s="1" t="str">
        <f>"ذبيحي شيخ آبادي"</f>
        <v>ذبيحي شيخ آبادي</v>
      </c>
      <c r="D904" s="1" t="str">
        <f t="shared" si="92"/>
        <v>قراردادي بهره بردار</v>
      </c>
      <c r="E904" s="1" t="str">
        <f t="shared" si="93"/>
        <v>پروژه بهره برداري نيروگاه بوشهر</v>
      </c>
      <c r="F904" s="1">
        <v>21486825</v>
      </c>
      <c r="G904" s="1">
        <v>14668259</v>
      </c>
      <c r="H904" s="1">
        <v>0</v>
      </c>
      <c r="I904" s="1">
        <v>16175324</v>
      </c>
      <c r="J904" s="1">
        <v>0</v>
      </c>
      <c r="K904" s="1">
        <v>0</v>
      </c>
      <c r="L904" s="1">
        <v>0</v>
      </c>
      <c r="M904" s="1">
        <v>1000000</v>
      </c>
      <c r="N904" s="1">
        <v>3658353</v>
      </c>
      <c r="O904" s="1">
        <v>0</v>
      </c>
      <c r="P904" s="1">
        <v>0</v>
      </c>
      <c r="Q904" s="1">
        <v>0</v>
      </c>
      <c r="R904" s="1">
        <v>520433</v>
      </c>
      <c r="S904" s="1">
        <v>0</v>
      </c>
      <c r="T904" s="1">
        <v>0</v>
      </c>
      <c r="U904" s="1">
        <v>0</v>
      </c>
      <c r="V904" s="1">
        <v>15867952</v>
      </c>
      <c r="W904" s="1">
        <v>4000000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2874420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6992023</v>
      </c>
      <c r="AM904" s="1">
        <v>0</v>
      </c>
      <c r="AN904" s="1">
        <v>0</v>
      </c>
      <c r="AO904" s="1">
        <v>87243589</v>
      </c>
      <c r="AP904" s="1">
        <v>25091440</v>
      </c>
      <c r="AQ904" s="1">
        <v>62152149</v>
      </c>
      <c r="AR904" s="1">
        <v>17344631</v>
      </c>
      <c r="AS904" s="1">
        <v>2601695</v>
      </c>
      <c r="AT904" s="3">
        <f t="shared" si="94"/>
        <v>107189915</v>
      </c>
    </row>
    <row r="905" spans="1:46" x14ac:dyDescent="0.2">
      <c r="A905" s="1" t="str">
        <f>"01180"</f>
        <v>01180</v>
      </c>
      <c r="B905" s="1" t="str">
        <f>"نجمه"</f>
        <v>نجمه</v>
      </c>
      <c r="C905" s="1" t="str">
        <f>"ناظمي"</f>
        <v>ناظمي</v>
      </c>
      <c r="D905" s="1" t="str">
        <f t="shared" si="92"/>
        <v>قراردادي بهره بردار</v>
      </c>
      <c r="E905" s="1" t="str">
        <f t="shared" si="93"/>
        <v>پروژه بهره برداري نيروگاه بوشهر</v>
      </c>
      <c r="F905" s="1">
        <v>20572332</v>
      </c>
      <c r="G905" s="1">
        <v>1120225</v>
      </c>
      <c r="H905" s="1">
        <v>0</v>
      </c>
      <c r="I905" s="1">
        <v>15648394</v>
      </c>
      <c r="J905" s="1">
        <v>0</v>
      </c>
      <c r="K905" s="1">
        <v>4125000</v>
      </c>
      <c r="L905" s="1">
        <v>0</v>
      </c>
      <c r="M905" s="1">
        <v>1000000</v>
      </c>
      <c r="N905" s="1">
        <v>3536672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4810663</v>
      </c>
      <c r="W905" s="1">
        <v>4000000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2778814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5570414</v>
      </c>
      <c r="AM905" s="1">
        <v>0</v>
      </c>
      <c r="AN905" s="1">
        <v>0</v>
      </c>
      <c r="AO905" s="1">
        <v>63162514</v>
      </c>
      <c r="AP905" s="1">
        <v>21218104</v>
      </c>
      <c r="AQ905" s="1">
        <v>41944410</v>
      </c>
      <c r="AR905" s="1">
        <v>12632503</v>
      </c>
      <c r="AS905" s="1">
        <v>1894875</v>
      </c>
      <c r="AT905" s="3">
        <f t="shared" si="94"/>
        <v>77689892</v>
      </c>
    </row>
    <row r="906" spans="1:46" x14ac:dyDescent="0.2">
      <c r="A906" s="1" t="str">
        <f>"01182"</f>
        <v>01182</v>
      </c>
      <c r="B906" s="1" t="str">
        <f>"علي"</f>
        <v>علي</v>
      </c>
      <c r="C906" s="1" t="str">
        <f>"احدي"</f>
        <v>احدي</v>
      </c>
      <c r="D906" s="1" t="str">
        <f t="shared" si="92"/>
        <v>قراردادي بهره بردار</v>
      </c>
      <c r="E906" s="1" t="str">
        <f t="shared" si="93"/>
        <v>پروژه بهره برداري نيروگاه بوشهر</v>
      </c>
      <c r="F906" s="1">
        <v>22698593</v>
      </c>
      <c r="G906" s="1">
        <v>3358918</v>
      </c>
      <c r="H906" s="1">
        <v>0</v>
      </c>
      <c r="I906" s="1">
        <v>16893100</v>
      </c>
      <c r="J906" s="1">
        <v>0</v>
      </c>
      <c r="K906" s="1">
        <v>5500000</v>
      </c>
      <c r="L906" s="1">
        <v>0</v>
      </c>
      <c r="M906" s="1">
        <v>1000000</v>
      </c>
      <c r="N906" s="1">
        <v>4082472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15287037</v>
      </c>
      <c r="W906" s="1">
        <v>4000000</v>
      </c>
      <c r="X906" s="1">
        <v>3294957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3207657</v>
      </c>
      <c r="AF906" s="1">
        <v>1835427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5832102</v>
      </c>
      <c r="AM906" s="1">
        <v>0</v>
      </c>
      <c r="AN906" s="1">
        <v>0</v>
      </c>
      <c r="AO906" s="1">
        <v>86990263</v>
      </c>
      <c r="AP906" s="1">
        <v>32590257</v>
      </c>
      <c r="AQ906" s="1">
        <v>54400006</v>
      </c>
      <c r="AR906" s="1">
        <v>17030967</v>
      </c>
      <c r="AS906" s="1">
        <v>2554645</v>
      </c>
      <c r="AT906" s="3">
        <f t="shared" si="94"/>
        <v>106575875</v>
      </c>
    </row>
    <row r="907" spans="1:46" x14ac:dyDescent="0.2">
      <c r="A907" s="1" t="str">
        <f>"01183"</f>
        <v>01183</v>
      </c>
      <c r="B907" s="1" t="str">
        <f>"مسعود"</f>
        <v>مسعود</v>
      </c>
      <c r="C907" s="1" t="str">
        <f>"كرمي"</f>
        <v>كرمي</v>
      </c>
      <c r="D907" s="1" t="str">
        <f t="shared" si="92"/>
        <v>قراردادي بهره بردار</v>
      </c>
      <c r="E907" s="1" t="str">
        <f t="shared" si="93"/>
        <v>پروژه بهره برداري نيروگاه بوشهر</v>
      </c>
      <c r="F907" s="1">
        <v>27596047</v>
      </c>
      <c r="G907" s="1">
        <v>0</v>
      </c>
      <c r="H907" s="1">
        <v>0</v>
      </c>
      <c r="I907" s="1">
        <v>21511489</v>
      </c>
      <c r="J907" s="1">
        <v>0</v>
      </c>
      <c r="K907" s="1">
        <v>4125000</v>
      </c>
      <c r="L907" s="1">
        <v>0</v>
      </c>
      <c r="M907" s="1">
        <v>1000000</v>
      </c>
      <c r="N907" s="1">
        <v>4286154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15414962</v>
      </c>
      <c r="W907" s="1">
        <v>4000000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3367692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4898462</v>
      </c>
      <c r="AM907" s="1">
        <v>0</v>
      </c>
      <c r="AN907" s="1">
        <v>0</v>
      </c>
      <c r="AO907" s="1">
        <v>86199806</v>
      </c>
      <c r="AP907" s="1">
        <v>31327248</v>
      </c>
      <c r="AQ907" s="1">
        <v>54872558</v>
      </c>
      <c r="AR907" s="1">
        <v>17239961</v>
      </c>
      <c r="AS907" s="1">
        <v>2585994</v>
      </c>
      <c r="AT907" s="3">
        <f t="shared" si="94"/>
        <v>106025761</v>
      </c>
    </row>
    <row r="908" spans="1:46" x14ac:dyDescent="0.2">
      <c r="A908" s="1" t="str">
        <f>"01185"</f>
        <v>01185</v>
      </c>
      <c r="B908" s="1" t="str">
        <f>"محمود"</f>
        <v>محمود</v>
      </c>
      <c r="C908" s="1" t="str">
        <f>"دهقاني"</f>
        <v>دهقاني</v>
      </c>
      <c r="D908" s="1" t="str">
        <f>"قراردادي کارگري"</f>
        <v>قراردادي کارگري</v>
      </c>
      <c r="E908" s="1" t="str">
        <f>"پروژه تعميرات نيروگاه بوشهر"</f>
        <v>پروژه تعميرات نيروگاه بوشهر</v>
      </c>
      <c r="F908" s="1">
        <v>0</v>
      </c>
      <c r="G908" s="1">
        <v>10585691</v>
      </c>
      <c r="H908" s="1">
        <v>0</v>
      </c>
      <c r="I908" s="1">
        <v>7175612</v>
      </c>
      <c r="J908" s="1">
        <v>0</v>
      </c>
      <c r="K908" s="1">
        <v>0</v>
      </c>
      <c r="L908" s="1">
        <v>11521166</v>
      </c>
      <c r="M908" s="1">
        <v>2000000</v>
      </c>
      <c r="N908" s="1">
        <v>6378322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2640000</v>
      </c>
      <c r="U908" s="1">
        <v>0</v>
      </c>
      <c r="V908" s="1">
        <v>12970336</v>
      </c>
      <c r="W908" s="1">
        <v>4000000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3670854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72901334</v>
      </c>
      <c r="AP908" s="1">
        <v>7941654</v>
      </c>
      <c r="AQ908" s="1">
        <v>64959680</v>
      </c>
      <c r="AR908" s="1">
        <v>13846096</v>
      </c>
      <c r="AS908" s="1">
        <v>2076914</v>
      </c>
      <c r="AT908" s="3">
        <f t="shared" si="94"/>
        <v>88824344</v>
      </c>
    </row>
    <row r="909" spans="1:46" x14ac:dyDescent="0.2">
      <c r="A909" s="1" t="str">
        <f>"01186"</f>
        <v>01186</v>
      </c>
      <c r="B909" s="1" t="str">
        <f>"امير"</f>
        <v>امير</v>
      </c>
      <c r="C909" s="1" t="str">
        <f>"بختياري فرد"</f>
        <v>بختياري فرد</v>
      </c>
      <c r="D909" s="1" t="str">
        <f>"قراردادي کارگري"</f>
        <v>قراردادي کارگري</v>
      </c>
      <c r="E909" s="1" t="str">
        <f>"پروژه تعميرات نيروگاه بوشهر"</f>
        <v>پروژه تعميرات نيروگاه بوشهر</v>
      </c>
      <c r="F909" s="1">
        <v>0</v>
      </c>
      <c r="G909" s="1">
        <v>5237655</v>
      </c>
      <c r="H909" s="1">
        <v>0</v>
      </c>
      <c r="I909" s="1">
        <v>4809007</v>
      </c>
      <c r="J909" s="1">
        <v>0</v>
      </c>
      <c r="K909" s="1">
        <v>0</v>
      </c>
      <c r="L909" s="1">
        <v>11521166</v>
      </c>
      <c r="M909" s="1">
        <v>2000000</v>
      </c>
      <c r="N909" s="1">
        <v>4274674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2640000</v>
      </c>
      <c r="U909" s="1">
        <v>0</v>
      </c>
      <c r="V909" s="1">
        <v>10445957</v>
      </c>
      <c r="W909" s="1">
        <v>4000000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52943472</v>
      </c>
      <c r="AP909" s="1">
        <v>6302186</v>
      </c>
      <c r="AQ909" s="1">
        <v>46641286</v>
      </c>
      <c r="AR909" s="1">
        <v>10588694</v>
      </c>
      <c r="AS909" s="1">
        <v>1588304</v>
      </c>
      <c r="AT909" s="3">
        <f t="shared" si="94"/>
        <v>65120470</v>
      </c>
    </row>
    <row r="910" spans="1:46" x14ac:dyDescent="0.2">
      <c r="A910" s="1" t="str">
        <f>"01188"</f>
        <v>01188</v>
      </c>
      <c r="B910" s="1" t="str">
        <f>"آرش"</f>
        <v>آرش</v>
      </c>
      <c r="C910" s="1" t="str">
        <f>"احمد خسروي"</f>
        <v>احمد خسروي</v>
      </c>
      <c r="D910" s="1" t="str">
        <f t="shared" ref="D910:D918" si="95">"قراردادي بهره بردار"</f>
        <v>قراردادي بهره بردار</v>
      </c>
      <c r="E910" s="1" t="str">
        <f t="shared" ref="E910:E925" si="96">"پروژه بهره برداري نيروگاه بوشهر"</f>
        <v>پروژه بهره برداري نيروگاه بوشهر</v>
      </c>
      <c r="F910" s="1">
        <v>21476748</v>
      </c>
      <c r="G910" s="1">
        <v>0</v>
      </c>
      <c r="H910" s="1">
        <v>0</v>
      </c>
      <c r="I910" s="1">
        <v>15279678</v>
      </c>
      <c r="J910" s="1">
        <v>0</v>
      </c>
      <c r="K910" s="1">
        <v>4125000</v>
      </c>
      <c r="L910" s="1">
        <v>0</v>
      </c>
      <c r="M910" s="1">
        <v>1000000</v>
      </c>
      <c r="N910" s="1">
        <v>3654827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9263103</v>
      </c>
      <c r="W910" s="1">
        <v>4000000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2871649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5470272</v>
      </c>
      <c r="AM910" s="1">
        <v>0</v>
      </c>
      <c r="AN910" s="1">
        <v>0</v>
      </c>
      <c r="AO910" s="1">
        <v>67141277</v>
      </c>
      <c r="AP910" s="1">
        <v>20905445</v>
      </c>
      <c r="AQ910" s="1">
        <v>46235832</v>
      </c>
      <c r="AR910" s="1">
        <v>13428255</v>
      </c>
      <c r="AS910" s="1">
        <v>2014238</v>
      </c>
      <c r="AT910" s="3">
        <f t="shared" si="94"/>
        <v>82583770</v>
      </c>
    </row>
    <row r="911" spans="1:46" x14ac:dyDescent="0.2">
      <c r="A911" s="1" t="str">
        <f>"01189"</f>
        <v>01189</v>
      </c>
      <c r="B911" s="1" t="str">
        <f>"سيد علي"</f>
        <v>سيد علي</v>
      </c>
      <c r="C911" s="1" t="str">
        <f>"احمدي"</f>
        <v>احمدي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22197259</v>
      </c>
      <c r="G911" s="1">
        <v>449279</v>
      </c>
      <c r="H911" s="1">
        <v>0</v>
      </c>
      <c r="I911" s="1">
        <v>16877244</v>
      </c>
      <c r="J911" s="1">
        <v>0</v>
      </c>
      <c r="K911" s="1">
        <v>4125000</v>
      </c>
      <c r="L911" s="1">
        <v>0</v>
      </c>
      <c r="M911" s="1">
        <v>1000000</v>
      </c>
      <c r="N911" s="1">
        <v>3907004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10611536</v>
      </c>
      <c r="W911" s="1">
        <v>4000000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3069789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7006383</v>
      </c>
      <c r="AM911" s="1">
        <v>0</v>
      </c>
      <c r="AN911" s="1">
        <v>0</v>
      </c>
      <c r="AO911" s="1">
        <v>73243494</v>
      </c>
      <c r="AP911" s="1">
        <v>28834411</v>
      </c>
      <c r="AQ911" s="1">
        <v>44409083</v>
      </c>
      <c r="AR911" s="1">
        <v>14648699</v>
      </c>
      <c r="AS911" s="1">
        <v>2197305</v>
      </c>
      <c r="AT911" s="3">
        <f t="shared" si="94"/>
        <v>90089498</v>
      </c>
    </row>
    <row r="912" spans="1:46" x14ac:dyDescent="0.2">
      <c r="A912" s="1" t="str">
        <f>"01190"</f>
        <v>01190</v>
      </c>
      <c r="B912" s="1" t="str">
        <f>"علي"</f>
        <v>علي</v>
      </c>
      <c r="C912" s="1" t="str">
        <f>"بازياري"</f>
        <v>بازياري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20257423</v>
      </c>
      <c r="G912" s="1">
        <v>4225122</v>
      </c>
      <c r="H912" s="1">
        <v>0</v>
      </c>
      <c r="I912" s="1">
        <v>14091335</v>
      </c>
      <c r="J912" s="1">
        <v>0</v>
      </c>
      <c r="K912" s="1">
        <v>5500000</v>
      </c>
      <c r="L912" s="1">
        <v>0</v>
      </c>
      <c r="M912" s="1">
        <v>1000000</v>
      </c>
      <c r="N912" s="1">
        <v>3228062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14956111</v>
      </c>
      <c r="W912" s="1">
        <v>4000000</v>
      </c>
      <c r="X912" s="1">
        <v>2940594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2536334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11459640</v>
      </c>
      <c r="AM912" s="1">
        <v>0</v>
      </c>
      <c r="AN912" s="1">
        <v>0</v>
      </c>
      <c r="AO912" s="1">
        <v>84194621</v>
      </c>
      <c r="AP912" s="1">
        <v>19236406</v>
      </c>
      <c r="AQ912" s="1">
        <v>64958215</v>
      </c>
      <c r="AR912" s="1">
        <v>16838924</v>
      </c>
      <c r="AS912" s="1">
        <v>2525839</v>
      </c>
      <c r="AT912" s="3">
        <f t="shared" si="94"/>
        <v>103559384</v>
      </c>
    </row>
    <row r="913" spans="1:46" x14ac:dyDescent="0.2">
      <c r="A913" s="1" t="str">
        <f>"01191"</f>
        <v>01191</v>
      </c>
      <c r="B913" s="1" t="str">
        <f>"احسان"</f>
        <v>احسان</v>
      </c>
      <c r="C913" s="1" t="str">
        <f>"خان خانان"</f>
        <v>خان خانان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17418210</v>
      </c>
      <c r="G913" s="1">
        <v>4752411</v>
      </c>
      <c r="H913" s="1">
        <v>0</v>
      </c>
      <c r="I913" s="1">
        <v>13811594</v>
      </c>
      <c r="J913" s="1">
        <v>0</v>
      </c>
      <c r="K913" s="1">
        <v>0</v>
      </c>
      <c r="L913" s="1">
        <v>0</v>
      </c>
      <c r="M913" s="1">
        <v>1000000</v>
      </c>
      <c r="N913" s="1">
        <v>3195438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16710518</v>
      </c>
      <c r="W913" s="1">
        <v>4000000</v>
      </c>
      <c r="X913" s="1">
        <v>2528450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2510701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13701989</v>
      </c>
      <c r="AM913" s="1">
        <v>0</v>
      </c>
      <c r="AN913" s="1">
        <v>0</v>
      </c>
      <c r="AO913" s="1">
        <v>79629311</v>
      </c>
      <c r="AP913" s="1">
        <v>34314830</v>
      </c>
      <c r="AQ913" s="1">
        <v>45314481</v>
      </c>
      <c r="AR913" s="1">
        <v>15925862</v>
      </c>
      <c r="AS913" s="1">
        <v>2388879</v>
      </c>
      <c r="AT913" s="3">
        <f t="shared" si="94"/>
        <v>97944052</v>
      </c>
    </row>
    <row r="914" spans="1:46" x14ac:dyDescent="0.2">
      <c r="A914" s="1" t="str">
        <f>"01192"</f>
        <v>01192</v>
      </c>
      <c r="B914" s="1" t="str">
        <f>"حسين"</f>
        <v>حسين</v>
      </c>
      <c r="C914" s="1" t="str">
        <f>"معيني"</f>
        <v>معيني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17627309</v>
      </c>
      <c r="G914" s="1">
        <v>13041115</v>
      </c>
      <c r="H914" s="1">
        <v>0</v>
      </c>
      <c r="I914" s="1">
        <v>14160533</v>
      </c>
      <c r="J914" s="1">
        <v>0</v>
      </c>
      <c r="K914" s="1">
        <v>4620000</v>
      </c>
      <c r="L914" s="1">
        <v>0</v>
      </c>
      <c r="M914" s="1">
        <v>1000000</v>
      </c>
      <c r="N914" s="1">
        <v>3268622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16983488</v>
      </c>
      <c r="W914" s="1">
        <v>4000000</v>
      </c>
      <c r="X914" s="1">
        <v>2558803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2568203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13840448</v>
      </c>
      <c r="AM914" s="1">
        <v>0</v>
      </c>
      <c r="AN914" s="1">
        <v>0</v>
      </c>
      <c r="AO914" s="1">
        <v>93668521</v>
      </c>
      <c r="AP914" s="1">
        <v>32511606</v>
      </c>
      <c r="AQ914" s="1">
        <v>61156915</v>
      </c>
      <c r="AR914" s="1">
        <v>18733704</v>
      </c>
      <c r="AS914" s="1">
        <v>2810056</v>
      </c>
      <c r="AT914" s="3">
        <f t="shared" si="94"/>
        <v>115212281</v>
      </c>
    </row>
    <row r="915" spans="1:46" x14ac:dyDescent="0.2">
      <c r="A915" s="1" t="str">
        <f>"01194"</f>
        <v>01194</v>
      </c>
      <c r="B915" s="1" t="str">
        <f>"محمد هادي"</f>
        <v>محمد هادي</v>
      </c>
      <c r="C915" s="1" t="str">
        <f>"كارآمد"</f>
        <v>كارآمد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17891832</v>
      </c>
      <c r="G915" s="1">
        <v>9358431</v>
      </c>
      <c r="H915" s="1">
        <v>0</v>
      </c>
      <c r="I915" s="1">
        <v>14572353</v>
      </c>
      <c r="J915" s="1">
        <v>0</v>
      </c>
      <c r="K915" s="1">
        <v>3465000</v>
      </c>
      <c r="L915" s="1">
        <v>0</v>
      </c>
      <c r="M915" s="1">
        <v>1000000</v>
      </c>
      <c r="N915" s="1">
        <v>3361206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17319102</v>
      </c>
      <c r="W915" s="1">
        <v>4000000</v>
      </c>
      <c r="X915" s="1">
        <v>2597201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2640947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14015789</v>
      </c>
      <c r="AM915" s="1">
        <v>0</v>
      </c>
      <c r="AN915" s="1">
        <v>0</v>
      </c>
      <c r="AO915" s="1">
        <v>90221861</v>
      </c>
      <c r="AP915" s="1">
        <v>37667062</v>
      </c>
      <c r="AQ915" s="1">
        <v>52554799</v>
      </c>
      <c r="AR915" s="1">
        <v>18044372</v>
      </c>
      <c r="AS915" s="1">
        <v>2706656</v>
      </c>
      <c r="AT915" s="3">
        <f t="shared" si="94"/>
        <v>110972889</v>
      </c>
    </row>
    <row r="916" spans="1:46" x14ac:dyDescent="0.2">
      <c r="A916" s="1" t="str">
        <f>"01195"</f>
        <v>01195</v>
      </c>
      <c r="B916" s="1" t="str">
        <f>"عليرضا"</f>
        <v>عليرضا</v>
      </c>
      <c r="C916" s="1" t="str">
        <f>"ايزدبخش"</f>
        <v>ايزدبخش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15873899</v>
      </c>
      <c r="G916" s="1">
        <v>19881478</v>
      </c>
      <c r="H916" s="1">
        <v>0</v>
      </c>
      <c r="I916" s="1">
        <v>15821915</v>
      </c>
      <c r="J916" s="1">
        <v>0</v>
      </c>
      <c r="K916" s="1">
        <v>3465000</v>
      </c>
      <c r="L916" s="1">
        <v>0</v>
      </c>
      <c r="M916" s="1">
        <v>1000000</v>
      </c>
      <c r="N916" s="1">
        <v>2963539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9163776</v>
      </c>
      <c r="W916" s="1">
        <v>4000000</v>
      </c>
      <c r="X916" s="1">
        <v>2304276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2328495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12546074</v>
      </c>
      <c r="AM916" s="1">
        <v>0</v>
      </c>
      <c r="AN916" s="1">
        <v>0</v>
      </c>
      <c r="AO916" s="1">
        <v>89348452</v>
      </c>
      <c r="AP916" s="1">
        <v>39279847</v>
      </c>
      <c r="AQ916" s="1">
        <v>50068605</v>
      </c>
      <c r="AR916" s="1">
        <v>17869690</v>
      </c>
      <c r="AS916" s="1">
        <v>2680454</v>
      </c>
      <c r="AT916" s="3">
        <f t="shared" si="94"/>
        <v>109898596</v>
      </c>
    </row>
    <row r="917" spans="1:46" x14ac:dyDescent="0.2">
      <c r="A917" s="1" t="str">
        <f>"01196"</f>
        <v>01196</v>
      </c>
      <c r="B917" s="1" t="str">
        <f>"محمد"</f>
        <v>محمد</v>
      </c>
      <c r="C917" s="1" t="str">
        <f>"نژاد فرحاني"</f>
        <v>نژاد فرحاني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20355675</v>
      </c>
      <c r="G917" s="1">
        <v>26564288</v>
      </c>
      <c r="H917" s="1">
        <v>0</v>
      </c>
      <c r="I917" s="1">
        <v>23059131</v>
      </c>
      <c r="J917" s="1">
        <v>0</v>
      </c>
      <c r="K917" s="1">
        <v>4620000</v>
      </c>
      <c r="L917" s="1">
        <v>0</v>
      </c>
      <c r="M917" s="1">
        <v>1000000</v>
      </c>
      <c r="N917" s="1">
        <v>4135376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12660269</v>
      </c>
      <c r="W917" s="1">
        <v>4000000</v>
      </c>
      <c r="X917" s="1">
        <v>2954856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3249225</v>
      </c>
      <c r="AF917" s="1">
        <v>3670854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14968223</v>
      </c>
      <c r="AM917" s="1">
        <v>0</v>
      </c>
      <c r="AN917" s="1">
        <v>0</v>
      </c>
      <c r="AO917" s="1">
        <v>121237897</v>
      </c>
      <c r="AP917" s="1">
        <v>44717522</v>
      </c>
      <c r="AQ917" s="1">
        <v>76520375</v>
      </c>
      <c r="AR917" s="1">
        <v>23513409</v>
      </c>
      <c r="AS917" s="1">
        <v>3527011</v>
      </c>
      <c r="AT917" s="3">
        <f t="shared" si="94"/>
        <v>148278317</v>
      </c>
    </row>
    <row r="918" spans="1:46" x14ac:dyDescent="0.2">
      <c r="A918" s="1" t="str">
        <f>"01197"</f>
        <v>01197</v>
      </c>
      <c r="B918" s="1" t="str">
        <f>"حميدرضا"</f>
        <v>حميدرضا</v>
      </c>
      <c r="C918" s="1" t="str">
        <f>"بني اسد"</f>
        <v>بني اسد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20093450</v>
      </c>
      <c r="G918" s="1">
        <v>30945357</v>
      </c>
      <c r="H918" s="1">
        <v>0</v>
      </c>
      <c r="I918" s="1">
        <v>20787777</v>
      </c>
      <c r="J918" s="1">
        <v>0</v>
      </c>
      <c r="K918" s="1">
        <v>4620000</v>
      </c>
      <c r="L918" s="1">
        <v>0</v>
      </c>
      <c r="M918" s="1">
        <v>1000000</v>
      </c>
      <c r="N918" s="1">
        <v>3864183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12502230</v>
      </c>
      <c r="W918" s="1">
        <v>8200000</v>
      </c>
      <c r="X918" s="1">
        <v>2916792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3388184</v>
      </c>
      <c r="AF918" s="1">
        <v>0</v>
      </c>
      <c r="AG918" s="1">
        <v>3565247</v>
      </c>
      <c r="AH918" s="1">
        <v>0</v>
      </c>
      <c r="AI918" s="1">
        <v>0</v>
      </c>
      <c r="AJ918" s="1">
        <v>0</v>
      </c>
      <c r="AK918" s="1">
        <v>0</v>
      </c>
      <c r="AL918" s="1">
        <v>15880779</v>
      </c>
      <c r="AM918" s="1">
        <v>0</v>
      </c>
      <c r="AN918" s="1">
        <v>0</v>
      </c>
      <c r="AO918" s="1">
        <v>127763999</v>
      </c>
      <c r="AP918" s="1">
        <v>22533907</v>
      </c>
      <c r="AQ918" s="1">
        <v>105230092</v>
      </c>
      <c r="AR918" s="1">
        <v>25552799</v>
      </c>
      <c r="AS918" s="1">
        <v>3832920</v>
      </c>
      <c r="AT918" s="3">
        <f t="shared" si="94"/>
        <v>157149718</v>
      </c>
    </row>
    <row r="919" spans="1:46" x14ac:dyDescent="0.2">
      <c r="A919" s="1" t="str">
        <f>"01198"</f>
        <v>01198</v>
      </c>
      <c r="B919" s="1" t="str">
        <f>"امين"</f>
        <v>امين</v>
      </c>
      <c r="C919" s="1" t="str">
        <f>"غريب زاده"</f>
        <v>غريب زاده</v>
      </c>
      <c r="D919" s="1" t="str">
        <f>"قراردادي کارگري"</f>
        <v>قراردادي کارگري</v>
      </c>
      <c r="E919" s="1" t="str">
        <f t="shared" si="96"/>
        <v>پروژه بهره برداري نيروگاه بوشهر</v>
      </c>
      <c r="F919" s="1">
        <v>12384715</v>
      </c>
      <c r="G919" s="1">
        <v>0</v>
      </c>
      <c r="H919" s="1">
        <v>0</v>
      </c>
      <c r="I919" s="1">
        <v>7010336</v>
      </c>
      <c r="J919" s="1">
        <v>0</v>
      </c>
      <c r="K919" s="1">
        <v>0</v>
      </c>
      <c r="L919" s="1">
        <v>0</v>
      </c>
      <c r="M919" s="1">
        <v>1000000</v>
      </c>
      <c r="N919" s="1">
        <v>2006848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2640000</v>
      </c>
      <c r="U919" s="1">
        <v>0</v>
      </c>
      <c r="V919" s="1">
        <v>2770132</v>
      </c>
      <c r="W919" s="1">
        <v>4000000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1576809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4722618</v>
      </c>
      <c r="AM919" s="1">
        <v>0</v>
      </c>
      <c r="AN919" s="1">
        <v>0</v>
      </c>
      <c r="AO919" s="1">
        <v>38111458</v>
      </c>
      <c r="AP919" s="1">
        <v>9034185</v>
      </c>
      <c r="AQ919" s="1">
        <v>29077273</v>
      </c>
      <c r="AR919" s="1">
        <v>7622292</v>
      </c>
      <c r="AS919" s="1">
        <v>1143344</v>
      </c>
      <c r="AT919" s="3">
        <f t="shared" si="94"/>
        <v>46877094</v>
      </c>
    </row>
    <row r="920" spans="1:46" x14ac:dyDescent="0.2">
      <c r="A920" s="1" t="str">
        <f>"01199"</f>
        <v>01199</v>
      </c>
      <c r="B920" s="1" t="str">
        <f>"مهدي"</f>
        <v>مهدي</v>
      </c>
      <c r="C920" s="1" t="str">
        <f>"غلام نژاد دزفولي"</f>
        <v>غلام نژاد دزفولي</v>
      </c>
      <c r="D920" s="1" t="str">
        <f t="shared" ref="D920:D927" si="97">"قراردادي بهره بردار"</f>
        <v>قراردادي بهره بردار</v>
      </c>
      <c r="E920" s="1" t="str">
        <f t="shared" si="96"/>
        <v>پروژه بهره برداري نيروگاه بوشهر</v>
      </c>
      <c r="F920" s="1">
        <v>15400277</v>
      </c>
      <c r="G920" s="1">
        <v>26659918</v>
      </c>
      <c r="H920" s="1">
        <v>0</v>
      </c>
      <c r="I920" s="1">
        <v>15032611</v>
      </c>
      <c r="J920" s="1">
        <v>0</v>
      </c>
      <c r="K920" s="1">
        <v>4620000</v>
      </c>
      <c r="L920" s="1">
        <v>0</v>
      </c>
      <c r="M920" s="1">
        <v>1000000</v>
      </c>
      <c r="N920" s="1">
        <v>2797772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8803412</v>
      </c>
      <c r="W920" s="1">
        <v>4000000</v>
      </c>
      <c r="X920" s="1">
        <v>2235524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2198249</v>
      </c>
      <c r="AF920" s="1">
        <v>3670854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12157100</v>
      </c>
      <c r="AM920" s="1">
        <v>0</v>
      </c>
      <c r="AN920" s="1">
        <v>0</v>
      </c>
      <c r="AO920" s="1">
        <v>98575717</v>
      </c>
      <c r="AP920" s="1">
        <v>36957509</v>
      </c>
      <c r="AQ920" s="1">
        <v>61618208</v>
      </c>
      <c r="AR920" s="1">
        <v>18980973</v>
      </c>
      <c r="AS920" s="1">
        <v>2847146</v>
      </c>
      <c r="AT920" s="3">
        <f t="shared" si="94"/>
        <v>120403836</v>
      </c>
    </row>
    <row r="921" spans="1:46" x14ac:dyDescent="0.2">
      <c r="A921" s="1" t="str">
        <f>"01200"</f>
        <v>01200</v>
      </c>
      <c r="B921" s="1" t="str">
        <f>"ابراهيم"</f>
        <v>ابراهيم</v>
      </c>
      <c r="C921" s="1" t="str">
        <f>"حيدري"</f>
        <v>حيدري</v>
      </c>
      <c r="D921" s="1" t="str">
        <f t="shared" si="97"/>
        <v>قراردادي بهره بردار</v>
      </c>
      <c r="E921" s="1" t="str">
        <f t="shared" si="96"/>
        <v>پروژه بهره برداري نيروگاه بوشهر</v>
      </c>
      <c r="F921" s="1">
        <v>14752826</v>
      </c>
      <c r="G921" s="1">
        <v>20174177</v>
      </c>
      <c r="H921" s="1">
        <v>0</v>
      </c>
      <c r="I921" s="1">
        <v>14415219</v>
      </c>
      <c r="J921" s="1">
        <v>0</v>
      </c>
      <c r="K921" s="1">
        <v>4620000</v>
      </c>
      <c r="L921" s="1">
        <v>0</v>
      </c>
      <c r="M921" s="1">
        <v>1000000</v>
      </c>
      <c r="N921" s="1">
        <v>2571164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8421452</v>
      </c>
      <c r="W921" s="1">
        <v>4000000</v>
      </c>
      <c r="X921" s="1">
        <v>2141539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2020200</v>
      </c>
      <c r="AF921" s="1">
        <v>5506281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11761952</v>
      </c>
      <c r="AM921" s="1">
        <v>0</v>
      </c>
      <c r="AN921" s="1">
        <v>0</v>
      </c>
      <c r="AO921" s="1">
        <v>91384810</v>
      </c>
      <c r="AP921" s="1">
        <v>33073644</v>
      </c>
      <c r="AQ921" s="1">
        <v>58311166</v>
      </c>
      <c r="AR921" s="1">
        <v>17175706</v>
      </c>
      <c r="AS921" s="1">
        <v>2576356</v>
      </c>
      <c r="AT921" s="3">
        <f t="shared" si="94"/>
        <v>111136872</v>
      </c>
    </row>
    <row r="922" spans="1:46" x14ac:dyDescent="0.2">
      <c r="A922" s="1" t="str">
        <f>"01201"</f>
        <v>01201</v>
      </c>
      <c r="B922" s="1" t="str">
        <f>"مهدي"</f>
        <v>مهدي</v>
      </c>
      <c r="C922" s="1" t="str">
        <f>"عوض پور"</f>
        <v>عوض پور</v>
      </c>
      <c r="D922" s="1" t="str">
        <f t="shared" si="97"/>
        <v>قراردادي بهره بردار</v>
      </c>
      <c r="E922" s="1" t="str">
        <f t="shared" si="96"/>
        <v>پروژه بهره برداري نيروگاه بوشهر</v>
      </c>
      <c r="F922" s="1">
        <v>15951997</v>
      </c>
      <c r="G922" s="1">
        <v>24230234</v>
      </c>
      <c r="H922" s="1">
        <v>0</v>
      </c>
      <c r="I922" s="1">
        <v>16067077</v>
      </c>
      <c r="J922" s="1">
        <v>0</v>
      </c>
      <c r="K922" s="1">
        <v>4620000</v>
      </c>
      <c r="L922" s="1">
        <v>0</v>
      </c>
      <c r="M922" s="1">
        <v>1000000</v>
      </c>
      <c r="N922" s="1">
        <v>2990874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9242652</v>
      </c>
      <c r="W922" s="1">
        <v>4000000</v>
      </c>
      <c r="X922" s="1">
        <v>2315612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2349972</v>
      </c>
      <c r="AF922" s="1">
        <v>1835427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12600364</v>
      </c>
      <c r="AM922" s="1">
        <v>0</v>
      </c>
      <c r="AN922" s="1">
        <v>0</v>
      </c>
      <c r="AO922" s="1">
        <v>97204209</v>
      </c>
      <c r="AP922" s="1">
        <v>32288976</v>
      </c>
      <c r="AQ922" s="1">
        <v>64915233</v>
      </c>
      <c r="AR922" s="1">
        <v>19073756</v>
      </c>
      <c r="AS922" s="1">
        <v>2861063</v>
      </c>
      <c r="AT922" s="3">
        <f t="shared" si="94"/>
        <v>119139028</v>
      </c>
    </row>
    <row r="923" spans="1:46" x14ac:dyDescent="0.2">
      <c r="A923" s="1" t="str">
        <f>"01203"</f>
        <v>01203</v>
      </c>
      <c r="B923" s="1" t="str">
        <f>"علي"</f>
        <v>علي</v>
      </c>
      <c r="C923" s="1" t="str">
        <f>"زنده بودي"</f>
        <v>زنده بودي</v>
      </c>
      <c r="D923" s="1" t="str">
        <f t="shared" si="97"/>
        <v>قراردادي بهره بردار</v>
      </c>
      <c r="E923" s="1" t="str">
        <f t="shared" si="96"/>
        <v>پروژه بهره برداري نيروگاه بوشهر</v>
      </c>
      <c r="F923" s="1">
        <v>16549063</v>
      </c>
      <c r="G923" s="1">
        <v>23240112</v>
      </c>
      <c r="H923" s="1">
        <v>0</v>
      </c>
      <c r="I923" s="1">
        <v>17035134</v>
      </c>
      <c r="J923" s="1">
        <v>0</v>
      </c>
      <c r="K923" s="1">
        <v>4620000</v>
      </c>
      <c r="L923" s="1">
        <v>0</v>
      </c>
      <c r="M923" s="1">
        <v>1000000</v>
      </c>
      <c r="N923" s="1">
        <v>3199847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9811686</v>
      </c>
      <c r="W923" s="1">
        <v>4000000</v>
      </c>
      <c r="X923" s="1">
        <v>2402283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2514165</v>
      </c>
      <c r="AF923" s="1">
        <v>3670854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13030781</v>
      </c>
      <c r="AM923" s="1">
        <v>0</v>
      </c>
      <c r="AN923" s="1">
        <v>0</v>
      </c>
      <c r="AO923" s="1">
        <v>101073925</v>
      </c>
      <c r="AP923" s="1">
        <v>37768349</v>
      </c>
      <c r="AQ923" s="1">
        <v>63305576</v>
      </c>
      <c r="AR923" s="1">
        <v>19480614</v>
      </c>
      <c r="AS923" s="1">
        <v>2922092</v>
      </c>
      <c r="AT923" s="3">
        <f t="shared" si="94"/>
        <v>123476631</v>
      </c>
    </row>
    <row r="924" spans="1:46" x14ac:dyDescent="0.2">
      <c r="A924" s="1" t="str">
        <f>"01204"</f>
        <v>01204</v>
      </c>
      <c r="B924" s="1" t="str">
        <f>"فتح اله"</f>
        <v>فتح اله</v>
      </c>
      <c r="C924" s="1" t="str">
        <f>"محسني پور"</f>
        <v>محسني پور</v>
      </c>
      <c r="D924" s="1" t="str">
        <f t="shared" si="97"/>
        <v>قراردادي بهره بردار</v>
      </c>
      <c r="E924" s="1" t="str">
        <f t="shared" si="96"/>
        <v>پروژه بهره برداري نيروگاه بوشهر</v>
      </c>
      <c r="F924" s="1">
        <v>18073219</v>
      </c>
      <c r="G924" s="1">
        <v>23413150</v>
      </c>
      <c r="H924" s="1">
        <v>0</v>
      </c>
      <c r="I924" s="1">
        <v>19316459</v>
      </c>
      <c r="J924" s="1">
        <v>0</v>
      </c>
      <c r="K924" s="1">
        <v>4620000</v>
      </c>
      <c r="L924" s="1">
        <v>0</v>
      </c>
      <c r="M924" s="1">
        <v>1000000</v>
      </c>
      <c r="N924" s="1">
        <v>3733301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11036691</v>
      </c>
      <c r="W924" s="1">
        <v>4000000</v>
      </c>
      <c r="X924" s="1">
        <v>2623532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2933308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14031560</v>
      </c>
      <c r="AM924" s="1">
        <v>0</v>
      </c>
      <c r="AN924" s="1">
        <v>0</v>
      </c>
      <c r="AO924" s="1">
        <v>104781220</v>
      </c>
      <c r="AP924" s="1">
        <v>39028410</v>
      </c>
      <c r="AQ924" s="1">
        <v>65752810</v>
      </c>
      <c r="AR924" s="1">
        <v>20956244</v>
      </c>
      <c r="AS924" s="1">
        <v>3143437</v>
      </c>
      <c r="AT924" s="3">
        <f t="shared" si="94"/>
        <v>128880901</v>
      </c>
    </row>
    <row r="925" spans="1:46" x14ac:dyDescent="0.2">
      <c r="A925" s="1" t="str">
        <f>"01205"</f>
        <v>01205</v>
      </c>
      <c r="B925" s="1" t="str">
        <f>"مهدي"</f>
        <v>مهدي</v>
      </c>
      <c r="C925" s="1" t="str">
        <f>"عالي زاده"</f>
        <v>عالي زاده</v>
      </c>
      <c r="D925" s="1" t="str">
        <f t="shared" si="97"/>
        <v>قراردادي بهره بردار</v>
      </c>
      <c r="E925" s="1" t="str">
        <f t="shared" si="96"/>
        <v>پروژه بهره برداري نيروگاه بوشهر</v>
      </c>
      <c r="F925" s="1">
        <v>16664949</v>
      </c>
      <c r="G925" s="1">
        <v>24289865</v>
      </c>
      <c r="H925" s="1">
        <v>0</v>
      </c>
      <c r="I925" s="1">
        <v>15307797</v>
      </c>
      <c r="J925" s="1">
        <v>0</v>
      </c>
      <c r="K925" s="1">
        <v>4620000</v>
      </c>
      <c r="L925" s="1">
        <v>0</v>
      </c>
      <c r="M925" s="1">
        <v>1000000</v>
      </c>
      <c r="N925" s="1">
        <v>3240407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8956552</v>
      </c>
      <c r="W925" s="1">
        <v>4000000</v>
      </c>
      <c r="X925" s="1">
        <v>2419106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2546034</v>
      </c>
      <c r="AF925" s="1">
        <v>3670854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10654609</v>
      </c>
      <c r="AM925" s="1">
        <v>0</v>
      </c>
      <c r="AN925" s="1">
        <v>0</v>
      </c>
      <c r="AO925" s="1">
        <v>97370173</v>
      </c>
      <c r="AP925" s="1">
        <v>34462724</v>
      </c>
      <c r="AQ925" s="1">
        <v>62907449</v>
      </c>
      <c r="AR925" s="1">
        <v>18739864</v>
      </c>
      <c r="AS925" s="1">
        <v>2810980</v>
      </c>
      <c r="AT925" s="3">
        <f t="shared" si="94"/>
        <v>118921017</v>
      </c>
    </row>
    <row r="926" spans="1:46" x14ac:dyDescent="0.2">
      <c r="A926" s="1" t="str">
        <f>"01206"</f>
        <v>01206</v>
      </c>
      <c r="B926" s="1" t="str">
        <f>"عليرضا"</f>
        <v>عليرضا</v>
      </c>
      <c r="C926" s="1" t="str">
        <f>"قايد"</f>
        <v>قايد</v>
      </c>
      <c r="D926" s="1" t="str">
        <f t="shared" si="97"/>
        <v>قراردادي بهره بردار</v>
      </c>
      <c r="E926" s="1" t="str">
        <f>"پروژه تعميرات نيروگاه بوشهر"</f>
        <v>پروژه تعميرات نيروگاه بوشهر</v>
      </c>
      <c r="F926" s="1">
        <v>64573077</v>
      </c>
      <c r="G926" s="1">
        <v>1696095</v>
      </c>
      <c r="H926" s="1">
        <v>0</v>
      </c>
      <c r="I926" s="1">
        <v>82281581</v>
      </c>
      <c r="J926" s="1">
        <v>0</v>
      </c>
      <c r="K926" s="1">
        <v>5500000</v>
      </c>
      <c r="L926" s="1">
        <v>0</v>
      </c>
      <c r="M926" s="1">
        <v>1000000</v>
      </c>
      <c r="N926" s="1">
        <v>10860355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18108920</v>
      </c>
      <c r="W926" s="1">
        <v>8200000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9507215</v>
      </c>
      <c r="AF926" s="1">
        <v>7417557</v>
      </c>
      <c r="AG926" s="1">
        <v>3006597</v>
      </c>
      <c r="AH926" s="1">
        <v>0</v>
      </c>
      <c r="AI926" s="1">
        <v>0</v>
      </c>
      <c r="AJ926" s="1">
        <v>0</v>
      </c>
      <c r="AK926" s="1">
        <v>0</v>
      </c>
      <c r="AL926" s="1">
        <v>10860355</v>
      </c>
      <c r="AM926" s="1">
        <v>0</v>
      </c>
      <c r="AN926" s="1">
        <v>0</v>
      </c>
      <c r="AO926" s="1">
        <v>223011752</v>
      </c>
      <c r="AP926" s="1">
        <v>145031944</v>
      </c>
      <c r="AQ926" s="1">
        <v>77979808</v>
      </c>
      <c r="AR926" s="1">
        <v>26552511</v>
      </c>
      <c r="AS926" s="1">
        <v>3982877</v>
      </c>
      <c r="AT926" s="3">
        <f t="shared" si="94"/>
        <v>253547140</v>
      </c>
    </row>
    <row r="927" spans="1:46" x14ac:dyDescent="0.2">
      <c r="A927" s="1" t="str">
        <f>"01207"</f>
        <v>01207</v>
      </c>
      <c r="B927" s="1" t="str">
        <f>"ابوالفضل"</f>
        <v>ابوالفضل</v>
      </c>
      <c r="C927" s="1" t="str">
        <f>"شهابي"</f>
        <v>شهابي</v>
      </c>
      <c r="D927" s="1" t="str">
        <f t="shared" si="97"/>
        <v>قراردادي بهره بردار</v>
      </c>
      <c r="E927" s="1" t="str">
        <f>"پروژه بهره برداري نيروگاه بوشهر"</f>
        <v>پروژه بهره برداري نيروگاه بوشهر</v>
      </c>
      <c r="F927" s="1">
        <v>25134724</v>
      </c>
      <c r="G927" s="1">
        <v>0</v>
      </c>
      <c r="H927" s="1">
        <v>0</v>
      </c>
      <c r="I927" s="1">
        <v>20592803</v>
      </c>
      <c r="J927" s="1">
        <v>0</v>
      </c>
      <c r="K927" s="1">
        <v>5500000</v>
      </c>
      <c r="L927" s="1">
        <v>0</v>
      </c>
      <c r="M927" s="1">
        <v>1000000</v>
      </c>
      <c r="N927" s="1">
        <v>3705086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5673382</v>
      </c>
      <c r="W927" s="1">
        <v>4000000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2911139</v>
      </c>
      <c r="AF927" s="1">
        <v>1835427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4390074</v>
      </c>
      <c r="AM927" s="1">
        <v>0</v>
      </c>
      <c r="AN927" s="1">
        <v>0</v>
      </c>
      <c r="AO927" s="1">
        <v>74742635</v>
      </c>
      <c r="AP927" s="1">
        <v>27179382</v>
      </c>
      <c r="AQ927" s="1">
        <v>47563253</v>
      </c>
      <c r="AR927" s="1">
        <v>14581442</v>
      </c>
      <c r="AS927" s="1">
        <v>2187216</v>
      </c>
      <c r="AT927" s="3">
        <f t="shared" si="94"/>
        <v>91511293</v>
      </c>
    </row>
    <row r="928" spans="1:46" x14ac:dyDescent="0.2">
      <c r="A928" s="1" t="str">
        <f>"01208"</f>
        <v>01208</v>
      </c>
      <c r="B928" s="1" t="str">
        <f>"عليرضا"</f>
        <v>عليرضا</v>
      </c>
      <c r="C928" s="1" t="str">
        <f>"فياض"</f>
        <v>فياض</v>
      </c>
      <c r="D928" s="1" t="str">
        <f t="shared" ref="D928:D935" si="98">"قراردادي کارگري"</f>
        <v>قراردادي کارگري</v>
      </c>
      <c r="E928" s="1" t="str">
        <f t="shared" ref="E928:E935" si="99">"پروژه تعميرات نيروگاه بوشهر"</f>
        <v>پروژه تعميرات نيروگاه بوشهر</v>
      </c>
      <c r="F928" s="1">
        <v>0</v>
      </c>
      <c r="G928" s="1">
        <v>8560178</v>
      </c>
      <c r="H928" s="1">
        <v>0</v>
      </c>
      <c r="I928" s="1">
        <v>5407677</v>
      </c>
      <c r="J928" s="1">
        <v>0</v>
      </c>
      <c r="K928" s="1">
        <v>0</v>
      </c>
      <c r="L928" s="1">
        <v>11521166</v>
      </c>
      <c r="M928" s="1">
        <v>2000000</v>
      </c>
      <c r="N928" s="1">
        <v>4304619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2640000</v>
      </c>
      <c r="U928" s="1">
        <v>0</v>
      </c>
      <c r="V928" s="1">
        <v>7455970</v>
      </c>
      <c r="W928" s="1">
        <v>4000000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53960770</v>
      </c>
      <c r="AP928" s="1">
        <v>8469605</v>
      </c>
      <c r="AQ928" s="1">
        <v>45491165</v>
      </c>
      <c r="AR928" s="1">
        <v>10792154</v>
      </c>
      <c r="AS928" s="1">
        <v>1618823</v>
      </c>
      <c r="AT928" s="3">
        <f t="shared" si="94"/>
        <v>66371747</v>
      </c>
    </row>
    <row r="929" spans="1:46" x14ac:dyDescent="0.2">
      <c r="A929" s="1" t="str">
        <f>"01209"</f>
        <v>01209</v>
      </c>
      <c r="B929" s="1" t="str">
        <f>"اسماعيل"</f>
        <v>اسماعيل</v>
      </c>
      <c r="C929" s="1" t="str">
        <f>"انصاري"</f>
        <v>انصاري</v>
      </c>
      <c r="D929" s="1" t="str">
        <f t="shared" si="98"/>
        <v>قراردادي کارگري</v>
      </c>
      <c r="E929" s="1" t="str">
        <f t="shared" si="99"/>
        <v>پروژه تعميرات نيروگاه بوشهر</v>
      </c>
      <c r="F929" s="1">
        <v>0</v>
      </c>
      <c r="G929" s="1">
        <v>3707174</v>
      </c>
      <c r="H929" s="1">
        <v>0</v>
      </c>
      <c r="I929" s="1">
        <v>5061670</v>
      </c>
      <c r="J929" s="1">
        <v>0</v>
      </c>
      <c r="K929" s="1">
        <v>0</v>
      </c>
      <c r="L929" s="1">
        <v>11521166</v>
      </c>
      <c r="M929" s="1">
        <v>2000000</v>
      </c>
      <c r="N929" s="1">
        <v>4499263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2640000</v>
      </c>
      <c r="U929" s="1">
        <v>0</v>
      </c>
      <c r="V929" s="1">
        <v>10894055</v>
      </c>
      <c r="W929" s="1">
        <v>4000000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3670854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56430299</v>
      </c>
      <c r="AP929" s="1">
        <v>7935275</v>
      </c>
      <c r="AQ929" s="1">
        <v>48495024</v>
      </c>
      <c r="AR929" s="1">
        <v>10551889</v>
      </c>
      <c r="AS929" s="1">
        <v>1582783</v>
      </c>
      <c r="AT929" s="3">
        <f t="shared" si="94"/>
        <v>68564971</v>
      </c>
    </row>
    <row r="930" spans="1:46" x14ac:dyDescent="0.2">
      <c r="A930" s="1" t="str">
        <f>"01210"</f>
        <v>01210</v>
      </c>
      <c r="B930" s="1" t="str">
        <f>"رضا"</f>
        <v>رضا</v>
      </c>
      <c r="C930" s="1" t="str">
        <f>"يادگاري"</f>
        <v>يادگاري</v>
      </c>
      <c r="D930" s="1" t="str">
        <f t="shared" si="98"/>
        <v>قراردادي کارگري</v>
      </c>
      <c r="E930" s="1" t="str">
        <f t="shared" si="99"/>
        <v>پروژه تعميرات نيروگاه بوشهر</v>
      </c>
      <c r="F930" s="1">
        <v>0</v>
      </c>
      <c r="G930" s="1">
        <v>4284714</v>
      </c>
      <c r="H930" s="1">
        <v>0</v>
      </c>
      <c r="I930" s="1">
        <v>4531079</v>
      </c>
      <c r="J930" s="1">
        <v>0</v>
      </c>
      <c r="K930" s="1">
        <v>0</v>
      </c>
      <c r="L930" s="1">
        <v>11521166</v>
      </c>
      <c r="M930" s="1">
        <v>2000000</v>
      </c>
      <c r="N930" s="1">
        <v>4027625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2640000</v>
      </c>
      <c r="U930" s="1">
        <v>0</v>
      </c>
      <c r="V930" s="1">
        <v>10318659</v>
      </c>
      <c r="W930" s="1">
        <v>4000000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3670854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54545895</v>
      </c>
      <c r="AP930" s="1">
        <v>8837717</v>
      </c>
      <c r="AQ930" s="1">
        <v>45708178</v>
      </c>
      <c r="AR930" s="1">
        <v>10175008</v>
      </c>
      <c r="AS930" s="1">
        <v>1526251</v>
      </c>
      <c r="AT930" s="3">
        <f t="shared" si="94"/>
        <v>66247154</v>
      </c>
    </row>
    <row r="931" spans="1:46" x14ac:dyDescent="0.2">
      <c r="A931" s="1" t="str">
        <f>"01211"</f>
        <v>01211</v>
      </c>
      <c r="B931" s="1" t="str">
        <f>"اميد"</f>
        <v>اميد</v>
      </c>
      <c r="C931" s="1" t="str">
        <f>"غريبي"</f>
        <v>غريبي</v>
      </c>
      <c r="D931" s="1" t="str">
        <f t="shared" si="98"/>
        <v>قراردادي کارگري</v>
      </c>
      <c r="E931" s="1" t="str">
        <f t="shared" si="99"/>
        <v>پروژه تعميرات نيروگاه بوشهر</v>
      </c>
      <c r="F931" s="1">
        <v>0</v>
      </c>
      <c r="G931" s="1">
        <v>7807108</v>
      </c>
      <c r="H931" s="1">
        <v>0</v>
      </c>
      <c r="I931" s="1">
        <v>4611089</v>
      </c>
      <c r="J931" s="1">
        <v>0</v>
      </c>
      <c r="K931" s="1">
        <v>0</v>
      </c>
      <c r="L931" s="1">
        <v>11521166</v>
      </c>
      <c r="M931" s="1">
        <v>2000000</v>
      </c>
      <c r="N931" s="1">
        <v>4098746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2640000</v>
      </c>
      <c r="U931" s="1">
        <v>0</v>
      </c>
      <c r="V931" s="1">
        <v>10234844</v>
      </c>
      <c r="W931" s="1">
        <v>4000000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1835427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56433528</v>
      </c>
      <c r="AP931" s="1">
        <v>6712233</v>
      </c>
      <c r="AQ931" s="1">
        <v>49721295</v>
      </c>
      <c r="AR931" s="1">
        <v>10919620</v>
      </c>
      <c r="AS931" s="1">
        <v>1637943</v>
      </c>
      <c r="AT931" s="3">
        <f t="shared" si="94"/>
        <v>68991091</v>
      </c>
    </row>
    <row r="932" spans="1:46" x14ac:dyDescent="0.2">
      <c r="A932" s="1" t="str">
        <f>"01212"</f>
        <v>01212</v>
      </c>
      <c r="B932" s="1" t="str">
        <f>"پيمان"</f>
        <v>پيمان</v>
      </c>
      <c r="C932" s="1" t="str">
        <f>"زارعي"</f>
        <v>زارعي</v>
      </c>
      <c r="D932" s="1" t="str">
        <f t="shared" si="98"/>
        <v>قراردادي کارگري</v>
      </c>
      <c r="E932" s="1" t="str">
        <f t="shared" si="99"/>
        <v>پروژه تعميرات نيروگاه بوشهر</v>
      </c>
      <c r="F932" s="1">
        <v>0</v>
      </c>
      <c r="G932" s="1">
        <v>9092453</v>
      </c>
      <c r="H932" s="1">
        <v>0</v>
      </c>
      <c r="I932" s="1">
        <v>4556345</v>
      </c>
      <c r="J932" s="1">
        <v>0</v>
      </c>
      <c r="K932" s="1">
        <v>0</v>
      </c>
      <c r="L932" s="1">
        <v>11521166</v>
      </c>
      <c r="M932" s="1">
        <v>2000000</v>
      </c>
      <c r="N932" s="1">
        <v>4050085</v>
      </c>
      <c r="O932" s="1">
        <v>0</v>
      </c>
      <c r="P932" s="1">
        <v>0</v>
      </c>
      <c r="Q932" s="1">
        <v>0</v>
      </c>
      <c r="R932" s="1">
        <v>181837</v>
      </c>
      <c r="S932" s="1">
        <v>0</v>
      </c>
      <c r="T932" s="1">
        <v>2640000</v>
      </c>
      <c r="U932" s="1">
        <v>0</v>
      </c>
      <c r="V932" s="1">
        <v>10176452</v>
      </c>
      <c r="W932" s="1">
        <v>4000000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55812247</v>
      </c>
      <c r="AP932" s="1">
        <v>5357757</v>
      </c>
      <c r="AQ932" s="1">
        <v>50454490</v>
      </c>
      <c r="AR932" s="1">
        <v>11126082</v>
      </c>
      <c r="AS932" s="1">
        <v>1668912</v>
      </c>
      <c r="AT932" s="3">
        <f t="shared" si="94"/>
        <v>68607241</v>
      </c>
    </row>
    <row r="933" spans="1:46" x14ac:dyDescent="0.2">
      <c r="A933" s="1" t="str">
        <f>"01214"</f>
        <v>01214</v>
      </c>
      <c r="B933" s="1" t="str">
        <f>"سيدمحمد"</f>
        <v>سيدمحمد</v>
      </c>
      <c r="C933" s="1" t="str">
        <f>"مساوات"</f>
        <v>مساوات</v>
      </c>
      <c r="D933" s="1" t="str">
        <f t="shared" si="98"/>
        <v>قراردادي کارگري</v>
      </c>
      <c r="E933" s="1" t="str">
        <f t="shared" si="99"/>
        <v>پروژه تعميرات نيروگاه بوشهر</v>
      </c>
      <c r="F933" s="1">
        <v>0</v>
      </c>
      <c r="G933" s="1">
        <v>6785205</v>
      </c>
      <c r="H933" s="1">
        <v>0</v>
      </c>
      <c r="I933" s="1">
        <v>4678465</v>
      </c>
      <c r="J933" s="1">
        <v>0</v>
      </c>
      <c r="K933" s="1">
        <v>0</v>
      </c>
      <c r="L933" s="1">
        <v>11521166</v>
      </c>
      <c r="M933" s="1">
        <v>2000000</v>
      </c>
      <c r="N933" s="1">
        <v>4158636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2640000</v>
      </c>
      <c r="U933" s="1">
        <v>0</v>
      </c>
      <c r="V933" s="1">
        <v>10306713</v>
      </c>
      <c r="W933" s="1">
        <v>4000000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53887627</v>
      </c>
      <c r="AP933" s="1">
        <v>6412884</v>
      </c>
      <c r="AQ933" s="1">
        <v>47474743</v>
      </c>
      <c r="AR933" s="1">
        <v>10777525</v>
      </c>
      <c r="AS933" s="1">
        <v>1616629</v>
      </c>
      <c r="AT933" s="3">
        <f t="shared" si="94"/>
        <v>66281781</v>
      </c>
    </row>
    <row r="934" spans="1:46" x14ac:dyDescent="0.2">
      <c r="A934" s="1" t="str">
        <f>"01215"</f>
        <v>01215</v>
      </c>
      <c r="B934" s="1" t="str">
        <f>"عبدالمحمد"</f>
        <v>عبدالمحمد</v>
      </c>
      <c r="C934" s="1" t="str">
        <f>"ماهيني"</f>
        <v>ماهيني</v>
      </c>
      <c r="D934" s="1" t="str">
        <f t="shared" si="98"/>
        <v>قراردادي کارگري</v>
      </c>
      <c r="E934" s="1" t="str">
        <f t="shared" si="99"/>
        <v>پروژه تعميرات نيروگاه بوشهر</v>
      </c>
      <c r="F934" s="1">
        <v>0</v>
      </c>
      <c r="G934" s="1">
        <v>7765198</v>
      </c>
      <c r="H934" s="1">
        <v>0</v>
      </c>
      <c r="I934" s="1">
        <v>4328950</v>
      </c>
      <c r="J934" s="1">
        <v>0</v>
      </c>
      <c r="K934" s="1">
        <v>0</v>
      </c>
      <c r="L934" s="1">
        <v>11521166</v>
      </c>
      <c r="M934" s="1">
        <v>2000000</v>
      </c>
      <c r="N934" s="1">
        <v>3847955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2640000</v>
      </c>
      <c r="U934" s="1">
        <v>0</v>
      </c>
      <c r="V934" s="1">
        <v>9768330</v>
      </c>
      <c r="W934" s="1">
        <v>4000000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4036948</v>
      </c>
      <c r="AE934" s="1">
        <v>0</v>
      </c>
      <c r="AF934" s="1">
        <v>1835427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58958889</v>
      </c>
      <c r="AP934" s="1">
        <v>6606437</v>
      </c>
      <c r="AQ934" s="1">
        <v>52352452</v>
      </c>
      <c r="AR934" s="1">
        <v>11424692</v>
      </c>
      <c r="AS934" s="1">
        <v>1713704</v>
      </c>
      <c r="AT934" s="3">
        <f t="shared" si="94"/>
        <v>72097285</v>
      </c>
    </row>
    <row r="935" spans="1:46" x14ac:dyDescent="0.2">
      <c r="A935" s="1" t="str">
        <f>"01216"</f>
        <v>01216</v>
      </c>
      <c r="B935" s="1" t="str">
        <f>"محمدصادق"</f>
        <v>محمدصادق</v>
      </c>
      <c r="C935" s="1" t="str">
        <f>"احمدي"</f>
        <v>احمدي</v>
      </c>
      <c r="D935" s="1" t="str">
        <f t="shared" si="98"/>
        <v>قراردادي کارگري</v>
      </c>
      <c r="E935" s="1" t="str">
        <f t="shared" si="99"/>
        <v>پروژه تعميرات نيروگاه بوشهر</v>
      </c>
      <c r="F935" s="1">
        <v>0</v>
      </c>
      <c r="G935" s="1">
        <v>4198068</v>
      </c>
      <c r="H935" s="1">
        <v>0</v>
      </c>
      <c r="I935" s="1">
        <v>4139453</v>
      </c>
      <c r="J935" s="1">
        <v>0</v>
      </c>
      <c r="K935" s="1">
        <v>0</v>
      </c>
      <c r="L935" s="1">
        <v>11521166</v>
      </c>
      <c r="M935" s="1">
        <v>2000000</v>
      </c>
      <c r="N935" s="1">
        <v>3679513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2640000</v>
      </c>
      <c r="U935" s="1">
        <v>0</v>
      </c>
      <c r="V935" s="1">
        <v>6812236</v>
      </c>
      <c r="W935" s="1">
        <v>4000000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1835427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47724950</v>
      </c>
      <c r="AP935" s="1">
        <v>4616987</v>
      </c>
      <c r="AQ935" s="1">
        <v>43107963</v>
      </c>
      <c r="AR935" s="1">
        <v>9177905</v>
      </c>
      <c r="AS935" s="1">
        <v>1376686</v>
      </c>
      <c r="AT935" s="3">
        <f t="shared" si="94"/>
        <v>58279541</v>
      </c>
    </row>
    <row r="936" spans="1:46" x14ac:dyDescent="0.2">
      <c r="A936" s="1" t="str">
        <f>"01217"</f>
        <v>01217</v>
      </c>
      <c r="B936" s="1" t="str">
        <f>"ابراهيم"</f>
        <v>ابراهيم</v>
      </c>
      <c r="C936" s="1" t="str">
        <f>"محمدي نژاد"</f>
        <v>محمدي نژاد</v>
      </c>
      <c r="D936" s="1" t="str">
        <f>"قراردادي بهره بردار"</f>
        <v>قراردادي بهره بردار</v>
      </c>
      <c r="E936" s="1" t="str">
        <f>"پروژه بهره برداري نيروگاه بوشهر"</f>
        <v>پروژه بهره برداري نيروگاه بوشهر</v>
      </c>
      <c r="F936" s="1">
        <v>16833740</v>
      </c>
      <c r="G936" s="1">
        <v>30552749</v>
      </c>
      <c r="H936" s="1">
        <v>0</v>
      </c>
      <c r="I936" s="1">
        <v>16834738</v>
      </c>
      <c r="J936" s="1">
        <v>0</v>
      </c>
      <c r="K936" s="1">
        <v>4620000</v>
      </c>
      <c r="L936" s="1">
        <v>0</v>
      </c>
      <c r="M936" s="1">
        <v>1000000</v>
      </c>
      <c r="N936" s="1">
        <v>3299484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9907919</v>
      </c>
      <c r="W936" s="1">
        <v>4000000</v>
      </c>
      <c r="X936" s="1">
        <v>2443607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2592451</v>
      </c>
      <c r="AF936" s="1">
        <v>1835427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13281826</v>
      </c>
      <c r="AM936" s="1">
        <v>0</v>
      </c>
      <c r="AN936" s="1">
        <v>0</v>
      </c>
      <c r="AO936" s="1">
        <v>107201941</v>
      </c>
      <c r="AP936" s="1">
        <v>43520084</v>
      </c>
      <c r="AQ936" s="1">
        <v>63681857</v>
      </c>
      <c r="AR936" s="1">
        <v>21073303</v>
      </c>
      <c r="AS936" s="1">
        <v>3160995</v>
      </c>
      <c r="AT936" s="3">
        <f t="shared" si="94"/>
        <v>131436239</v>
      </c>
    </row>
    <row r="937" spans="1:46" x14ac:dyDescent="0.2">
      <c r="A937" s="1" t="str">
        <f>"01218"</f>
        <v>01218</v>
      </c>
      <c r="B937" s="1" t="str">
        <f>"عليرضا"</f>
        <v>عليرضا</v>
      </c>
      <c r="C937" s="1" t="str">
        <f>"حاجياني"</f>
        <v>حاجياني</v>
      </c>
      <c r="D937" s="1" t="str">
        <f>"قراردادي بهره بردار"</f>
        <v>قراردادي بهره بردار</v>
      </c>
      <c r="E937" s="1" t="str">
        <f>"پروژه بهره برداري نيروگاه بوشهر"</f>
        <v>پروژه بهره برداري نيروگاه بوشهر</v>
      </c>
      <c r="F937" s="1">
        <v>16695180</v>
      </c>
      <c r="G937" s="1">
        <v>23558175</v>
      </c>
      <c r="H937" s="1">
        <v>0</v>
      </c>
      <c r="I937" s="1">
        <v>17532816</v>
      </c>
      <c r="J937" s="1">
        <v>0</v>
      </c>
      <c r="K937" s="1">
        <v>4620000</v>
      </c>
      <c r="L937" s="1">
        <v>0</v>
      </c>
      <c r="M937" s="1">
        <v>1000000</v>
      </c>
      <c r="N937" s="1">
        <v>3250988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9834059</v>
      </c>
      <c r="W937" s="1">
        <v>4000000</v>
      </c>
      <c r="X937" s="1">
        <v>2423494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2554347</v>
      </c>
      <c r="AF937" s="1">
        <v>3670854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13123742</v>
      </c>
      <c r="AM937" s="1">
        <v>0</v>
      </c>
      <c r="AN937" s="1">
        <v>0</v>
      </c>
      <c r="AO937" s="1">
        <v>102263655</v>
      </c>
      <c r="AP937" s="1">
        <v>30323499</v>
      </c>
      <c r="AQ937" s="1">
        <v>71940156</v>
      </c>
      <c r="AR937" s="1">
        <v>19718560</v>
      </c>
      <c r="AS937" s="1">
        <v>2957784</v>
      </c>
      <c r="AT937" s="3">
        <f t="shared" si="94"/>
        <v>124939999</v>
      </c>
    </row>
    <row r="938" spans="1:46" x14ac:dyDescent="0.2">
      <c r="A938" s="1" t="str">
        <f>"01219"</f>
        <v>01219</v>
      </c>
      <c r="B938" s="1" t="str">
        <f>"محسن"</f>
        <v>محسن</v>
      </c>
      <c r="C938" s="1" t="str">
        <f>"قيصي زاده"</f>
        <v>قيصي زاده</v>
      </c>
      <c r="D938" s="1" t="str">
        <f>"قراردادي بهره بردار"</f>
        <v>قراردادي بهره بردار</v>
      </c>
      <c r="E938" s="1" t="str">
        <f>"پروژه بهره برداري نيروگاه بوشهر"</f>
        <v>پروژه بهره برداري نيروگاه بوشهر</v>
      </c>
      <c r="F938" s="1">
        <v>35750476</v>
      </c>
      <c r="G938" s="1">
        <v>15045223</v>
      </c>
      <c r="H938" s="1">
        <v>0</v>
      </c>
      <c r="I938" s="1">
        <v>28860191</v>
      </c>
      <c r="J938" s="1">
        <v>0</v>
      </c>
      <c r="K938" s="1">
        <v>5500000</v>
      </c>
      <c r="L938" s="1">
        <v>0</v>
      </c>
      <c r="M938" s="1">
        <v>1000000</v>
      </c>
      <c r="N938" s="1">
        <v>5112772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9456279</v>
      </c>
      <c r="W938" s="1">
        <v>8200000</v>
      </c>
      <c r="X938" s="1">
        <v>0</v>
      </c>
      <c r="Y938" s="1">
        <v>0</v>
      </c>
      <c r="Z938" s="1">
        <v>9646145</v>
      </c>
      <c r="AA938" s="1">
        <v>0</v>
      </c>
      <c r="AB938" s="1">
        <v>0</v>
      </c>
      <c r="AC938" s="1">
        <v>0</v>
      </c>
      <c r="AD938" s="1">
        <v>0</v>
      </c>
      <c r="AE938" s="1">
        <v>4465387</v>
      </c>
      <c r="AF938" s="1">
        <v>2472519</v>
      </c>
      <c r="AG938" s="1">
        <v>20029361</v>
      </c>
      <c r="AH938" s="1">
        <v>0</v>
      </c>
      <c r="AI938" s="1">
        <v>0</v>
      </c>
      <c r="AJ938" s="1">
        <v>0</v>
      </c>
      <c r="AK938" s="1">
        <v>0</v>
      </c>
      <c r="AL938" s="1">
        <v>4382375</v>
      </c>
      <c r="AM938" s="1">
        <v>0</v>
      </c>
      <c r="AN938" s="1">
        <v>0</v>
      </c>
      <c r="AO938" s="1">
        <v>149920728</v>
      </c>
      <c r="AP938" s="1">
        <v>17521569</v>
      </c>
      <c r="AQ938" s="1">
        <v>132399159</v>
      </c>
      <c r="AR938" s="1">
        <v>27560413</v>
      </c>
      <c r="AS938" s="1">
        <v>4134061</v>
      </c>
      <c r="AT938" s="3">
        <f t="shared" si="94"/>
        <v>181615202</v>
      </c>
    </row>
    <row r="939" spans="1:46" x14ac:dyDescent="0.2">
      <c r="A939" s="1" t="str">
        <f>"01220"</f>
        <v>01220</v>
      </c>
      <c r="B939" s="1" t="str">
        <f>"امير"</f>
        <v>امير</v>
      </c>
      <c r="C939" s="1" t="str">
        <f>"عالي پور"</f>
        <v>عالي پور</v>
      </c>
      <c r="D939" s="1" t="str">
        <f>"قراردادي کارگري"</f>
        <v>قراردادي کارگري</v>
      </c>
      <c r="E939" s="1" t="str">
        <f>"پروژه تعميرات نيروگاه بوشهر"</f>
        <v>پروژه تعميرات نيروگاه بوشهر</v>
      </c>
      <c r="F939" s="1">
        <v>0</v>
      </c>
      <c r="G939" s="1">
        <v>9738204</v>
      </c>
      <c r="H939" s="1">
        <v>0</v>
      </c>
      <c r="I939" s="1">
        <v>3962588</v>
      </c>
      <c r="J939" s="1">
        <v>0</v>
      </c>
      <c r="K939" s="1">
        <v>0</v>
      </c>
      <c r="L939" s="1">
        <v>11521166</v>
      </c>
      <c r="M939" s="1">
        <v>2000000</v>
      </c>
      <c r="N939" s="1">
        <v>3522301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2640000</v>
      </c>
      <c r="U939" s="1">
        <v>0</v>
      </c>
      <c r="V939" s="1">
        <v>12724147</v>
      </c>
      <c r="W939" s="1">
        <v>4000000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3841555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3462472</v>
      </c>
      <c r="AK939" s="1">
        <v>0</v>
      </c>
      <c r="AL939" s="1">
        <v>0</v>
      </c>
      <c r="AM939" s="1">
        <v>0</v>
      </c>
      <c r="AN939" s="1">
        <v>0</v>
      </c>
      <c r="AO939" s="1">
        <v>64016747</v>
      </c>
      <c r="AP939" s="1">
        <v>8107130</v>
      </c>
      <c r="AQ939" s="1">
        <v>55909617</v>
      </c>
      <c r="AR939" s="1">
        <v>12803349</v>
      </c>
      <c r="AS939" s="1">
        <v>1920502</v>
      </c>
      <c r="AT939" s="3">
        <f t="shared" si="94"/>
        <v>78740598</v>
      </c>
    </row>
    <row r="940" spans="1:46" x14ac:dyDescent="0.2">
      <c r="A940" s="1" t="str">
        <f>"01221"</f>
        <v>01221</v>
      </c>
      <c r="B940" s="1" t="str">
        <f>"بهروز"</f>
        <v>بهروز</v>
      </c>
      <c r="C940" s="1" t="str">
        <f>"ايسپره"</f>
        <v>ايسپره</v>
      </c>
      <c r="D940" s="1" t="str">
        <f t="shared" ref="D940:D951" si="100">"قراردادي بهره بردار"</f>
        <v>قراردادي بهره بردار</v>
      </c>
      <c r="E940" s="1" t="str">
        <f t="shared" ref="E940:E951" si="101">"پروژه بهره برداري نيروگاه بوشهر"</f>
        <v>پروژه بهره برداري نيروگاه بوشهر</v>
      </c>
      <c r="F940" s="1">
        <v>19615010</v>
      </c>
      <c r="G940" s="1">
        <v>1094301</v>
      </c>
      <c r="H940" s="1">
        <v>0</v>
      </c>
      <c r="I940" s="1">
        <v>16090090</v>
      </c>
      <c r="J940" s="1">
        <v>0</v>
      </c>
      <c r="K940" s="1">
        <v>0</v>
      </c>
      <c r="L940" s="1">
        <v>0</v>
      </c>
      <c r="M940" s="1">
        <v>1000000</v>
      </c>
      <c r="N940" s="1">
        <v>3201610</v>
      </c>
      <c r="O940" s="1">
        <v>0</v>
      </c>
      <c r="P940" s="1">
        <v>0</v>
      </c>
      <c r="Q940" s="1">
        <v>0</v>
      </c>
      <c r="R940" s="1">
        <v>175605</v>
      </c>
      <c r="S940" s="1">
        <v>0</v>
      </c>
      <c r="T940" s="1">
        <v>0</v>
      </c>
      <c r="U940" s="1">
        <v>0</v>
      </c>
      <c r="V940" s="1">
        <v>4699337</v>
      </c>
      <c r="W940" s="1">
        <v>4000000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2515551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5571106</v>
      </c>
      <c r="AM940" s="1">
        <v>0</v>
      </c>
      <c r="AN940" s="1">
        <v>0</v>
      </c>
      <c r="AO940" s="1">
        <v>57962610</v>
      </c>
      <c r="AP940" s="1">
        <v>32488495</v>
      </c>
      <c r="AQ940" s="1">
        <v>25474115</v>
      </c>
      <c r="AR940" s="1">
        <v>11557401</v>
      </c>
      <c r="AS940" s="1">
        <v>1733610</v>
      </c>
      <c r="AT940" s="3">
        <f t="shared" si="94"/>
        <v>71253621</v>
      </c>
    </row>
    <row r="941" spans="1:46" x14ac:dyDescent="0.2">
      <c r="A941" s="1" t="str">
        <f>"01222"</f>
        <v>01222</v>
      </c>
      <c r="B941" s="1" t="str">
        <f>"محمد"</f>
        <v>محمد</v>
      </c>
      <c r="C941" s="1" t="str">
        <f>"اومن"</f>
        <v>اومن</v>
      </c>
      <c r="D941" s="1" t="str">
        <f t="shared" si="100"/>
        <v>قراردادي بهره بردار</v>
      </c>
      <c r="E941" s="1" t="str">
        <f t="shared" si="101"/>
        <v>پروژه بهره برداري نيروگاه بوشهر</v>
      </c>
      <c r="F941" s="1">
        <v>19766166</v>
      </c>
      <c r="G941" s="1">
        <v>4481720</v>
      </c>
      <c r="H941" s="1">
        <v>0</v>
      </c>
      <c r="I941" s="1">
        <v>14441220</v>
      </c>
      <c r="J941" s="1">
        <v>0</v>
      </c>
      <c r="K941" s="1">
        <v>4125000</v>
      </c>
      <c r="L941" s="1">
        <v>0</v>
      </c>
      <c r="M941" s="1">
        <v>1000000</v>
      </c>
      <c r="N941" s="1">
        <v>3056123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10585394</v>
      </c>
      <c r="W941" s="1">
        <v>4000000</v>
      </c>
      <c r="X941" s="1">
        <v>2869282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2401239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13262226</v>
      </c>
      <c r="AM941" s="1">
        <v>0</v>
      </c>
      <c r="AN941" s="1">
        <v>0</v>
      </c>
      <c r="AO941" s="1">
        <v>79988370</v>
      </c>
      <c r="AP941" s="1">
        <v>21026109</v>
      </c>
      <c r="AQ941" s="1">
        <v>58962261</v>
      </c>
      <c r="AR941" s="1">
        <v>15997674</v>
      </c>
      <c r="AS941" s="1">
        <v>2399651</v>
      </c>
      <c r="AT941" s="3">
        <f t="shared" si="94"/>
        <v>98385695</v>
      </c>
    </row>
    <row r="942" spans="1:46" x14ac:dyDescent="0.2">
      <c r="A942" s="1" t="str">
        <f>"01223"</f>
        <v>01223</v>
      </c>
      <c r="B942" s="1" t="str">
        <f>"مهدي"</f>
        <v>مهدي</v>
      </c>
      <c r="C942" s="1" t="str">
        <f>"سالاروند"</f>
        <v>سالاروند</v>
      </c>
      <c r="D942" s="1" t="str">
        <f t="shared" si="100"/>
        <v>قراردادي بهره بردار</v>
      </c>
      <c r="E942" s="1" t="str">
        <f t="shared" si="101"/>
        <v>پروژه بهره برداري نيروگاه بوشهر</v>
      </c>
      <c r="F942" s="1">
        <v>20778911</v>
      </c>
      <c r="G942" s="1">
        <v>8078553</v>
      </c>
      <c r="H942" s="1">
        <v>0</v>
      </c>
      <c r="I942" s="1">
        <v>14722767</v>
      </c>
      <c r="J942" s="1">
        <v>0</v>
      </c>
      <c r="K942" s="1">
        <v>5500000</v>
      </c>
      <c r="L942" s="1">
        <v>0</v>
      </c>
      <c r="M942" s="1">
        <v>1000000</v>
      </c>
      <c r="N942" s="1">
        <v>3410583</v>
      </c>
      <c r="O942" s="1">
        <v>0</v>
      </c>
      <c r="P942" s="1">
        <v>0</v>
      </c>
      <c r="Q942" s="1">
        <v>0</v>
      </c>
      <c r="R942" s="1">
        <v>2704699</v>
      </c>
      <c r="S942" s="1">
        <v>0</v>
      </c>
      <c r="T942" s="1">
        <v>0</v>
      </c>
      <c r="U942" s="1">
        <v>0</v>
      </c>
      <c r="V942" s="1">
        <v>9540386</v>
      </c>
      <c r="W942" s="1">
        <v>4000000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2679744</v>
      </c>
      <c r="AF942" s="1">
        <v>1835427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6109927</v>
      </c>
      <c r="AM942" s="1">
        <v>0</v>
      </c>
      <c r="AN942" s="1">
        <v>0</v>
      </c>
      <c r="AO942" s="1">
        <v>80360997</v>
      </c>
      <c r="AP942" s="1">
        <v>50171030</v>
      </c>
      <c r="AQ942" s="1">
        <v>30189967</v>
      </c>
      <c r="AR942" s="1">
        <v>15164174</v>
      </c>
      <c r="AS942" s="1">
        <v>2274626</v>
      </c>
      <c r="AT942" s="3">
        <f t="shared" si="94"/>
        <v>97799797</v>
      </c>
    </row>
    <row r="943" spans="1:46" x14ac:dyDescent="0.2">
      <c r="A943" s="1" t="str">
        <f>"01224"</f>
        <v>01224</v>
      </c>
      <c r="B943" s="1" t="str">
        <f>"يوسف"</f>
        <v>يوسف</v>
      </c>
      <c r="C943" s="1" t="str">
        <f>"رضايي بانبيدي"</f>
        <v>رضايي بانبيدي</v>
      </c>
      <c r="D943" s="1" t="str">
        <f t="shared" si="100"/>
        <v>قراردادي بهره بردار</v>
      </c>
      <c r="E943" s="1" t="str">
        <f t="shared" si="101"/>
        <v>پروژه بهره برداري نيروگاه بوشهر</v>
      </c>
      <c r="F943" s="1">
        <v>15057657</v>
      </c>
      <c r="G943" s="1">
        <v>4612017</v>
      </c>
      <c r="H943" s="1">
        <v>0</v>
      </c>
      <c r="I943" s="1">
        <v>11068824</v>
      </c>
      <c r="J943" s="1">
        <v>0</v>
      </c>
      <c r="K943" s="1">
        <v>4620000</v>
      </c>
      <c r="L943" s="1">
        <v>0</v>
      </c>
      <c r="M943" s="1">
        <v>1000000</v>
      </c>
      <c r="N943" s="1">
        <v>2942377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6331059</v>
      </c>
      <c r="W943" s="1">
        <v>4000000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2311868</v>
      </c>
      <c r="AF943" s="1">
        <v>1835427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5860797</v>
      </c>
      <c r="AM943" s="1">
        <v>0</v>
      </c>
      <c r="AN943" s="1">
        <v>0</v>
      </c>
      <c r="AO943" s="1">
        <v>59640026</v>
      </c>
      <c r="AP943" s="1">
        <v>17210495</v>
      </c>
      <c r="AQ943" s="1">
        <v>42429531</v>
      </c>
      <c r="AR943" s="1">
        <v>11560920</v>
      </c>
      <c r="AS943" s="1">
        <v>1734138</v>
      </c>
      <c r="AT943" s="3">
        <f t="shared" si="94"/>
        <v>72935084</v>
      </c>
    </row>
    <row r="944" spans="1:46" x14ac:dyDescent="0.2">
      <c r="A944" s="1" t="str">
        <f>"01225"</f>
        <v>01225</v>
      </c>
      <c r="B944" s="1" t="str">
        <f>"حامد"</f>
        <v>حامد</v>
      </c>
      <c r="C944" s="1" t="str">
        <f>"علي نژاد"</f>
        <v>علي نژاد</v>
      </c>
      <c r="D944" s="1" t="str">
        <f t="shared" si="100"/>
        <v>قراردادي بهره بردار</v>
      </c>
      <c r="E944" s="1" t="str">
        <f t="shared" si="101"/>
        <v>پروژه بهره برداري نيروگاه بوشهر</v>
      </c>
      <c r="F944" s="1">
        <v>21539730</v>
      </c>
      <c r="G944" s="1">
        <v>0</v>
      </c>
      <c r="H944" s="1">
        <v>0</v>
      </c>
      <c r="I944" s="1">
        <v>15188827</v>
      </c>
      <c r="J944" s="1">
        <v>0</v>
      </c>
      <c r="K944" s="1">
        <v>0</v>
      </c>
      <c r="L944" s="1">
        <v>0</v>
      </c>
      <c r="M944" s="1">
        <v>1000000</v>
      </c>
      <c r="N944" s="1">
        <v>3676870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9244764</v>
      </c>
      <c r="W944" s="1">
        <v>4000000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2888970</v>
      </c>
      <c r="AF944" s="1">
        <v>1835427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5362259</v>
      </c>
      <c r="AM944" s="1">
        <v>0</v>
      </c>
      <c r="AN944" s="1">
        <v>0</v>
      </c>
      <c r="AO944" s="1">
        <v>64736847</v>
      </c>
      <c r="AP944" s="1">
        <v>29209900</v>
      </c>
      <c r="AQ944" s="1">
        <v>35526947</v>
      </c>
      <c r="AR944" s="1">
        <v>12580284</v>
      </c>
      <c r="AS944" s="1">
        <v>1887043</v>
      </c>
      <c r="AT944" s="3">
        <f t="shared" si="94"/>
        <v>79204174</v>
      </c>
    </row>
    <row r="945" spans="1:46" x14ac:dyDescent="0.2">
      <c r="A945" s="1" t="str">
        <f>"01226"</f>
        <v>01226</v>
      </c>
      <c r="B945" s="1" t="str">
        <f>"حيدر"</f>
        <v>حيدر</v>
      </c>
      <c r="C945" s="1" t="str">
        <f>"مير علايي"</f>
        <v>مير علايي</v>
      </c>
      <c r="D945" s="1" t="str">
        <f t="shared" si="100"/>
        <v>قراردادي بهره بردار</v>
      </c>
      <c r="E945" s="1" t="str">
        <f t="shared" si="101"/>
        <v>پروژه بهره برداري نيروگاه بوشهر</v>
      </c>
      <c r="F945" s="1">
        <v>15037503</v>
      </c>
      <c r="G945" s="1">
        <v>291195</v>
      </c>
      <c r="H945" s="1">
        <v>0</v>
      </c>
      <c r="I945" s="1">
        <v>9878832</v>
      </c>
      <c r="J945" s="1">
        <v>0</v>
      </c>
      <c r="K945" s="1">
        <v>0</v>
      </c>
      <c r="L945" s="1">
        <v>0</v>
      </c>
      <c r="M945" s="1">
        <v>1000000</v>
      </c>
      <c r="N945" s="1">
        <v>2639939</v>
      </c>
      <c r="O945" s="1">
        <v>0</v>
      </c>
      <c r="P945" s="1">
        <v>0</v>
      </c>
      <c r="Q945" s="1">
        <v>0</v>
      </c>
      <c r="R945" s="1">
        <v>268594</v>
      </c>
      <c r="S945" s="1">
        <v>0</v>
      </c>
      <c r="T945" s="1">
        <v>0</v>
      </c>
      <c r="U945" s="1">
        <v>0</v>
      </c>
      <c r="V945" s="1">
        <v>6877755</v>
      </c>
      <c r="W945" s="1">
        <v>4000000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2074238</v>
      </c>
      <c r="AF945" s="1">
        <v>1835427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4758265</v>
      </c>
      <c r="AM945" s="1">
        <v>0</v>
      </c>
      <c r="AN945" s="1">
        <v>0</v>
      </c>
      <c r="AO945" s="1">
        <v>48661748</v>
      </c>
      <c r="AP945" s="1">
        <v>25503108</v>
      </c>
      <c r="AQ945" s="1">
        <v>23158640</v>
      </c>
      <c r="AR945" s="1">
        <v>9311545</v>
      </c>
      <c r="AS945" s="1">
        <v>1396732</v>
      </c>
      <c r="AT945" s="3">
        <f t="shared" si="94"/>
        <v>59370025</v>
      </c>
    </row>
    <row r="946" spans="1:46" x14ac:dyDescent="0.2">
      <c r="A946" s="1" t="str">
        <f>"01227"</f>
        <v>01227</v>
      </c>
      <c r="B946" s="1" t="str">
        <f>"اصغر"</f>
        <v>اصغر</v>
      </c>
      <c r="C946" s="1" t="str">
        <f>"خسروي"</f>
        <v>خسروي</v>
      </c>
      <c r="D946" s="1" t="str">
        <f t="shared" si="100"/>
        <v>قراردادي بهره بردار</v>
      </c>
      <c r="E946" s="1" t="str">
        <f t="shared" si="101"/>
        <v>پروژه بهره برداري نيروگاه بوشهر</v>
      </c>
      <c r="F946" s="1">
        <v>14629382</v>
      </c>
      <c r="G946" s="1">
        <v>0</v>
      </c>
      <c r="H946" s="1">
        <v>0</v>
      </c>
      <c r="I946" s="1">
        <v>9602252</v>
      </c>
      <c r="J946" s="1">
        <v>0</v>
      </c>
      <c r="K946" s="1">
        <v>4620000</v>
      </c>
      <c r="L946" s="1">
        <v>0</v>
      </c>
      <c r="M946" s="1">
        <v>1000000</v>
      </c>
      <c r="N946" s="1">
        <v>2497098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6657680</v>
      </c>
      <c r="W946" s="1">
        <v>4000000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1962004</v>
      </c>
      <c r="AF946" s="1">
        <v>1835427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4597662</v>
      </c>
      <c r="AM946" s="1">
        <v>0</v>
      </c>
      <c r="AN946" s="1">
        <v>0</v>
      </c>
      <c r="AO946" s="1">
        <v>51401505</v>
      </c>
      <c r="AP946" s="1">
        <v>15435616</v>
      </c>
      <c r="AQ946" s="1">
        <v>35965889</v>
      </c>
      <c r="AR946" s="1">
        <v>9913216</v>
      </c>
      <c r="AS946" s="1">
        <v>1486982</v>
      </c>
      <c r="AT946" s="3">
        <f t="shared" si="94"/>
        <v>62801703</v>
      </c>
    </row>
    <row r="947" spans="1:46" x14ac:dyDescent="0.2">
      <c r="A947" s="1" t="str">
        <f>"01228"</f>
        <v>01228</v>
      </c>
      <c r="B947" s="1" t="str">
        <f>"پيمان"</f>
        <v>پيمان</v>
      </c>
      <c r="C947" s="1" t="str">
        <f>"قائدي"</f>
        <v>قائدي</v>
      </c>
      <c r="D947" s="1" t="str">
        <f t="shared" si="100"/>
        <v>قراردادي بهره بردار</v>
      </c>
      <c r="E947" s="1" t="str">
        <f t="shared" si="101"/>
        <v>پروژه بهره برداري نيروگاه بوشهر</v>
      </c>
      <c r="F947" s="1">
        <v>15249121</v>
      </c>
      <c r="G947" s="1">
        <v>7383796</v>
      </c>
      <c r="H947" s="1">
        <v>0</v>
      </c>
      <c r="I947" s="1">
        <v>9948981</v>
      </c>
      <c r="J947" s="1">
        <v>0</v>
      </c>
      <c r="K947" s="1">
        <v>0</v>
      </c>
      <c r="L947" s="1">
        <v>0</v>
      </c>
      <c r="M947" s="1">
        <v>1000000</v>
      </c>
      <c r="N947" s="1">
        <v>2714006</v>
      </c>
      <c r="O947" s="1">
        <v>0</v>
      </c>
      <c r="P947" s="1">
        <v>0</v>
      </c>
      <c r="Q947" s="1">
        <v>0</v>
      </c>
      <c r="R947" s="1">
        <v>637568</v>
      </c>
      <c r="S947" s="1">
        <v>0</v>
      </c>
      <c r="T947" s="1">
        <v>0</v>
      </c>
      <c r="U947" s="1">
        <v>0</v>
      </c>
      <c r="V947" s="1">
        <v>6975929</v>
      </c>
      <c r="W947" s="1">
        <v>4000000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2132433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4835103</v>
      </c>
      <c r="AM947" s="1">
        <v>0</v>
      </c>
      <c r="AN947" s="1">
        <v>0</v>
      </c>
      <c r="AO947" s="1">
        <v>54876937</v>
      </c>
      <c r="AP947" s="1">
        <v>8068218</v>
      </c>
      <c r="AQ947" s="1">
        <v>46808719</v>
      </c>
      <c r="AR947" s="1">
        <v>10847874</v>
      </c>
      <c r="AS947" s="1">
        <v>1627181</v>
      </c>
      <c r="AT947" s="3">
        <f t="shared" si="94"/>
        <v>67351992</v>
      </c>
    </row>
    <row r="948" spans="1:46" x14ac:dyDescent="0.2">
      <c r="A948" s="1" t="str">
        <f>"01229"</f>
        <v>01229</v>
      </c>
      <c r="B948" s="1" t="str">
        <f>"ميثم"</f>
        <v>ميثم</v>
      </c>
      <c r="C948" s="1" t="str">
        <f>"دهقاني"</f>
        <v>دهقاني</v>
      </c>
      <c r="D948" s="1" t="str">
        <f t="shared" si="100"/>
        <v>قراردادي بهره بردار</v>
      </c>
      <c r="E948" s="1" t="str">
        <f t="shared" si="101"/>
        <v>پروژه بهره برداري نيروگاه بوشهر</v>
      </c>
      <c r="F948" s="1">
        <v>17607155</v>
      </c>
      <c r="G948" s="1">
        <v>0</v>
      </c>
      <c r="H948" s="1">
        <v>0</v>
      </c>
      <c r="I948" s="1">
        <v>12500235</v>
      </c>
      <c r="J948" s="1">
        <v>0</v>
      </c>
      <c r="K948" s="1">
        <v>4620000</v>
      </c>
      <c r="L948" s="1">
        <v>0</v>
      </c>
      <c r="M948" s="1">
        <v>1000000</v>
      </c>
      <c r="N948" s="1">
        <v>3261569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7975578</v>
      </c>
      <c r="W948" s="1">
        <v>4000000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2562662</v>
      </c>
      <c r="AF948" s="1">
        <v>1835427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6045106</v>
      </c>
      <c r="AM948" s="1">
        <v>0</v>
      </c>
      <c r="AN948" s="1">
        <v>0</v>
      </c>
      <c r="AO948" s="1">
        <v>61407732</v>
      </c>
      <c r="AP948" s="1">
        <v>26373741</v>
      </c>
      <c r="AQ948" s="1">
        <v>35033991</v>
      </c>
      <c r="AR948" s="1">
        <v>11914461</v>
      </c>
      <c r="AS948" s="1">
        <v>1787169</v>
      </c>
      <c r="AT948" s="3">
        <f t="shared" si="94"/>
        <v>75109362</v>
      </c>
    </row>
    <row r="949" spans="1:46" x14ac:dyDescent="0.2">
      <c r="A949" s="1" t="str">
        <f>"01230"</f>
        <v>01230</v>
      </c>
      <c r="B949" s="1" t="str">
        <f>"محمد شريف"</f>
        <v>محمد شريف</v>
      </c>
      <c r="C949" s="1" t="str">
        <f>"دل آرام"</f>
        <v>دل آرام</v>
      </c>
      <c r="D949" s="1" t="str">
        <f t="shared" si="100"/>
        <v>قراردادي بهره بردار</v>
      </c>
      <c r="E949" s="1" t="str">
        <f t="shared" si="101"/>
        <v>پروژه بهره برداري نيروگاه بوشهر</v>
      </c>
      <c r="F949" s="1">
        <v>27923552</v>
      </c>
      <c r="G949" s="1">
        <v>7900856</v>
      </c>
      <c r="H949" s="1">
        <v>0</v>
      </c>
      <c r="I949" s="1">
        <v>22572182</v>
      </c>
      <c r="J949" s="1">
        <v>0</v>
      </c>
      <c r="K949" s="1">
        <v>0</v>
      </c>
      <c r="L949" s="1">
        <v>0</v>
      </c>
      <c r="M949" s="1">
        <v>1000000</v>
      </c>
      <c r="N949" s="1">
        <v>4400781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13880134</v>
      </c>
      <c r="W949" s="1">
        <v>4000000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3457757</v>
      </c>
      <c r="AF949" s="1">
        <v>1835427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7741605</v>
      </c>
      <c r="AM949" s="1">
        <v>0</v>
      </c>
      <c r="AN949" s="1">
        <v>0</v>
      </c>
      <c r="AO949" s="1">
        <v>94712294</v>
      </c>
      <c r="AP949" s="1">
        <v>24176452</v>
      </c>
      <c r="AQ949" s="1">
        <v>70535842</v>
      </c>
      <c r="AR949" s="1">
        <v>18575373</v>
      </c>
      <c r="AS949" s="1">
        <v>2786306</v>
      </c>
      <c r="AT949" s="3">
        <f t="shared" si="94"/>
        <v>116073973</v>
      </c>
    </row>
    <row r="950" spans="1:46" x14ac:dyDescent="0.2">
      <c r="A950" s="1" t="str">
        <f>"01231"</f>
        <v>01231</v>
      </c>
      <c r="B950" s="1" t="str">
        <f>"جواد"</f>
        <v>جواد</v>
      </c>
      <c r="C950" s="1" t="str">
        <f>"سهرابي"</f>
        <v>سهرابي</v>
      </c>
      <c r="D950" s="1" t="str">
        <f t="shared" si="100"/>
        <v>قراردادي بهره بردار</v>
      </c>
      <c r="E950" s="1" t="str">
        <f t="shared" si="101"/>
        <v>پروژه بهره برداري نيروگاه بوشهر</v>
      </c>
      <c r="F950" s="1">
        <v>13616636</v>
      </c>
      <c r="G950" s="1">
        <v>0</v>
      </c>
      <c r="H950" s="1">
        <v>0</v>
      </c>
      <c r="I950" s="1">
        <v>8105316</v>
      </c>
      <c r="J950" s="1">
        <v>0</v>
      </c>
      <c r="K950" s="1">
        <v>4620000</v>
      </c>
      <c r="L950" s="1">
        <v>0</v>
      </c>
      <c r="M950" s="1">
        <v>1000000</v>
      </c>
      <c r="N950" s="1">
        <v>2142636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5956797</v>
      </c>
      <c r="W950" s="1">
        <v>4000000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1683500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4235895</v>
      </c>
      <c r="AM950" s="1">
        <v>0</v>
      </c>
      <c r="AN950" s="1">
        <v>0</v>
      </c>
      <c r="AO950" s="1">
        <v>45360780</v>
      </c>
      <c r="AP950" s="1">
        <v>13573011</v>
      </c>
      <c r="AQ950" s="1">
        <v>31787769</v>
      </c>
      <c r="AR950" s="1">
        <v>9072156</v>
      </c>
      <c r="AS950" s="1">
        <v>1360823</v>
      </c>
      <c r="AT950" s="3">
        <f t="shared" si="94"/>
        <v>55793759</v>
      </c>
    </row>
    <row r="951" spans="1:46" x14ac:dyDescent="0.2">
      <c r="A951" s="1" t="str">
        <f>"01232"</f>
        <v>01232</v>
      </c>
      <c r="B951" s="1" t="str">
        <f>"محمد جواد"</f>
        <v>محمد جواد</v>
      </c>
      <c r="C951" s="1" t="str">
        <f>"حيدري"</f>
        <v>حيدري</v>
      </c>
      <c r="D951" s="1" t="str">
        <f t="shared" si="100"/>
        <v>قراردادي بهره بردار</v>
      </c>
      <c r="E951" s="1" t="str">
        <f t="shared" si="101"/>
        <v>پروژه بهره برداري نيروگاه بوشهر</v>
      </c>
      <c r="F951" s="1">
        <v>15390200</v>
      </c>
      <c r="G951" s="1">
        <v>0</v>
      </c>
      <c r="H951" s="1">
        <v>0</v>
      </c>
      <c r="I951" s="1">
        <v>10040743</v>
      </c>
      <c r="J951" s="1">
        <v>0</v>
      </c>
      <c r="K951" s="1">
        <v>3465000</v>
      </c>
      <c r="L951" s="1">
        <v>0</v>
      </c>
      <c r="M951" s="1">
        <v>1000000</v>
      </c>
      <c r="N951" s="1">
        <v>2763383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5992677</v>
      </c>
      <c r="W951" s="1">
        <v>4000000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2171230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4885488</v>
      </c>
      <c r="AM951" s="1">
        <v>0</v>
      </c>
      <c r="AN951" s="1">
        <v>0</v>
      </c>
      <c r="AO951" s="1">
        <v>49708721</v>
      </c>
      <c r="AP951" s="1">
        <v>14000924</v>
      </c>
      <c r="AQ951" s="1">
        <v>35707797</v>
      </c>
      <c r="AR951" s="1">
        <v>9941744</v>
      </c>
      <c r="AS951" s="1">
        <v>1491262</v>
      </c>
      <c r="AT951" s="3">
        <f t="shared" si="94"/>
        <v>61141727</v>
      </c>
    </row>
    <row r="952" spans="1:46" x14ac:dyDescent="0.2">
      <c r="A952" s="1" t="str">
        <f>"01234"</f>
        <v>01234</v>
      </c>
      <c r="B952" s="1" t="str">
        <f>"محسن"</f>
        <v>محسن</v>
      </c>
      <c r="C952" s="1" t="str">
        <f>"نيکنام"</f>
        <v>نيکنام</v>
      </c>
      <c r="D952" s="1" t="str">
        <f>"قراردادي کارگري"</f>
        <v>قراردادي کارگري</v>
      </c>
      <c r="E952" s="1" t="str">
        <f>"پروژه تعميرات نيروگاه بوشهر"</f>
        <v>پروژه تعميرات نيروگاه بوشهر</v>
      </c>
      <c r="F952" s="1">
        <v>0</v>
      </c>
      <c r="G952" s="1">
        <v>14669186</v>
      </c>
      <c r="H952" s="1">
        <v>0</v>
      </c>
      <c r="I952" s="1">
        <v>6548869</v>
      </c>
      <c r="J952" s="1">
        <v>0</v>
      </c>
      <c r="K952" s="1">
        <v>0</v>
      </c>
      <c r="L952" s="1">
        <v>11521166</v>
      </c>
      <c r="M952" s="1">
        <v>2000000</v>
      </c>
      <c r="N952" s="1">
        <v>5633436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2640000</v>
      </c>
      <c r="U952" s="1">
        <v>0</v>
      </c>
      <c r="V952" s="1">
        <v>10925864</v>
      </c>
      <c r="W952" s="1">
        <v>4000000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3670854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72172067</v>
      </c>
      <c r="AP952" s="1">
        <v>11969983</v>
      </c>
      <c r="AQ952" s="1">
        <v>60202084</v>
      </c>
      <c r="AR952" s="1">
        <v>13700243</v>
      </c>
      <c r="AS952" s="1">
        <v>2055036</v>
      </c>
      <c r="AT952" s="3">
        <f t="shared" si="94"/>
        <v>87927346</v>
      </c>
    </row>
    <row r="953" spans="1:46" x14ac:dyDescent="0.2">
      <c r="A953" s="1" t="str">
        <f>"01235"</f>
        <v>01235</v>
      </c>
      <c r="B953" s="1" t="str">
        <f>"محمد"</f>
        <v>محمد</v>
      </c>
      <c r="C953" s="1" t="str">
        <f>"حسن زاده"</f>
        <v>حسن زاده</v>
      </c>
      <c r="D953" s="1" t="str">
        <f t="shared" ref="D953:D958" si="102"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22083892</v>
      </c>
      <c r="G953" s="1">
        <v>0</v>
      </c>
      <c r="H953" s="1">
        <v>0</v>
      </c>
      <c r="I953" s="1">
        <v>17696377</v>
      </c>
      <c r="J953" s="1">
        <v>0</v>
      </c>
      <c r="K953" s="1">
        <v>5500000</v>
      </c>
      <c r="L953" s="1">
        <v>0</v>
      </c>
      <c r="M953" s="1">
        <v>1000000</v>
      </c>
      <c r="N953" s="1">
        <v>3655708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9935514</v>
      </c>
      <c r="W953" s="1">
        <v>4000000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2872342</v>
      </c>
      <c r="AF953" s="1">
        <v>3670854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5983863</v>
      </c>
      <c r="AM953" s="1">
        <v>0</v>
      </c>
      <c r="AN953" s="1">
        <v>0</v>
      </c>
      <c r="AO953" s="1">
        <v>76398550</v>
      </c>
      <c r="AP953" s="1">
        <v>31331306</v>
      </c>
      <c r="AQ953" s="1">
        <v>45067244</v>
      </c>
      <c r="AR953" s="1">
        <v>14545539</v>
      </c>
      <c r="AS953" s="1">
        <v>2181831</v>
      </c>
      <c r="AT953" s="3">
        <f t="shared" si="94"/>
        <v>93125920</v>
      </c>
    </row>
    <row r="954" spans="1:46" x14ac:dyDescent="0.2">
      <c r="A954" s="1" t="str">
        <f>"01236"</f>
        <v>01236</v>
      </c>
      <c r="B954" s="1" t="str">
        <f>"لاله"</f>
        <v>لاله</v>
      </c>
      <c r="C954" s="1" t="str">
        <f>"محمدي"</f>
        <v>محمدي</v>
      </c>
      <c r="D954" s="1" t="str">
        <f t="shared" si="102"/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17831369</v>
      </c>
      <c r="G954" s="1">
        <v>298360</v>
      </c>
      <c r="H954" s="1">
        <v>0</v>
      </c>
      <c r="I954" s="1">
        <v>11870485</v>
      </c>
      <c r="J954" s="1">
        <v>0</v>
      </c>
      <c r="K954" s="1">
        <v>4125000</v>
      </c>
      <c r="L954" s="1">
        <v>0</v>
      </c>
      <c r="M954" s="1">
        <v>1000000</v>
      </c>
      <c r="N954" s="1">
        <v>2577336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3843811</v>
      </c>
      <c r="W954" s="1">
        <v>4000000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2025049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4133864</v>
      </c>
      <c r="AM954" s="1">
        <v>0</v>
      </c>
      <c r="AN954" s="1">
        <v>0</v>
      </c>
      <c r="AO954" s="1">
        <v>51705274</v>
      </c>
      <c r="AP954" s="1">
        <v>15767871</v>
      </c>
      <c r="AQ954" s="1">
        <v>35937403</v>
      </c>
      <c r="AR954" s="1">
        <v>10341055</v>
      </c>
      <c r="AS954" s="1">
        <v>1551158</v>
      </c>
      <c r="AT954" s="3">
        <f t="shared" si="94"/>
        <v>63597487</v>
      </c>
    </row>
    <row r="955" spans="1:46" x14ac:dyDescent="0.2">
      <c r="A955" s="1" t="str">
        <f>"01237"</f>
        <v>01237</v>
      </c>
      <c r="B955" s="1" t="str">
        <f>"اميد"</f>
        <v>اميد</v>
      </c>
      <c r="C955" s="1" t="str">
        <f>"تکين"</f>
        <v>تکين</v>
      </c>
      <c r="D955" s="1" t="str">
        <f t="shared" si="102"/>
        <v>قراردادي بهره بردار</v>
      </c>
      <c r="E955" s="1" t="str">
        <f>"پروژه بهره برداري نيروگاه بوشهر"</f>
        <v>پروژه بهره برداري نيروگاه بوشهر</v>
      </c>
      <c r="F955" s="1">
        <v>16284540</v>
      </c>
      <c r="G955" s="1">
        <v>22031897</v>
      </c>
      <c r="H955" s="1">
        <v>0</v>
      </c>
      <c r="I955" s="1">
        <v>14815656</v>
      </c>
      <c r="J955" s="1">
        <v>0</v>
      </c>
      <c r="K955" s="1">
        <v>4620000</v>
      </c>
      <c r="L955" s="1">
        <v>0</v>
      </c>
      <c r="M955" s="1">
        <v>1000000</v>
      </c>
      <c r="N955" s="1">
        <v>3107263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9301592</v>
      </c>
      <c r="W955" s="1">
        <v>4000000</v>
      </c>
      <c r="X955" s="1">
        <v>2363885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2441422</v>
      </c>
      <c r="AF955" s="1">
        <v>1835427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12959612</v>
      </c>
      <c r="AM955" s="1">
        <v>0</v>
      </c>
      <c r="AN955" s="1">
        <v>0</v>
      </c>
      <c r="AO955" s="1">
        <v>94761294</v>
      </c>
      <c r="AP955" s="1">
        <v>32252489</v>
      </c>
      <c r="AQ955" s="1">
        <v>62508805</v>
      </c>
      <c r="AR955" s="1">
        <v>18585173</v>
      </c>
      <c r="AS955" s="1">
        <v>2787776</v>
      </c>
      <c r="AT955" s="3">
        <f t="shared" si="94"/>
        <v>116134243</v>
      </c>
    </row>
    <row r="956" spans="1:46" x14ac:dyDescent="0.2">
      <c r="A956" s="1" t="str">
        <f>"01238"</f>
        <v>01238</v>
      </c>
      <c r="B956" s="1" t="str">
        <f>"محمد امين"</f>
        <v>محمد امين</v>
      </c>
      <c r="C956" s="1" t="str">
        <f>"صمصامي"</f>
        <v>صمصامي</v>
      </c>
      <c r="D956" s="1" t="str">
        <f t="shared" si="102"/>
        <v>قراردادي بهره بردار</v>
      </c>
      <c r="E956" s="1" t="str">
        <f>"پروژه تعميرات نيروگاه بوشهر"</f>
        <v>پروژه تعميرات نيروگاه بوشهر</v>
      </c>
      <c r="F956" s="1">
        <v>22056180</v>
      </c>
      <c r="G956" s="1">
        <v>0</v>
      </c>
      <c r="H956" s="1">
        <v>0</v>
      </c>
      <c r="I956" s="1">
        <v>16236519</v>
      </c>
      <c r="J956" s="1">
        <v>0</v>
      </c>
      <c r="K956" s="1">
        <v>5500000</v>
      </c>
      <c r="L956" s="1">
        <v>0</v>
      </c>
      <c r="M956" s="1">
        <v>1000000</v>
      </c>
      <c r="N956" s="1">
        <v>3421164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8502524</v>
      </c>
      <c r="W956" s="1">
        <v>4000000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2688058</v>
      </c>
      <c r="AF956" s="1">
        <v>1835427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5612926</v>
      </c>
      <c r="AM956" s="1">
        <v>0</v>
      </c>
      <c r="AN956" s="1">
        <v>0</v>
      </c>
      <c r="AO956" s="1">
        <v>70852798</v>
      </c>
      <c r="AP956" s="1">
        <v>29336593</v>
      </c>
      <c r="AQ956" s="1">
        <v>41516205</v>
      </c>
      <c r="AR956" s="1">
        <v>13803474</v>
      </c>
      <c r="AS956" s="1">
        <v>2070521</v>
      </c>
      <c r="AT956" s="3">
        <f t="shared" si="94"/>
        <v>86726793</v>
      </c>
    </row>
    <row r="957" spans="1:46" x14ac:dyDescent="0.2">
      <c r="A957" s="1" t="str">
        <f>"01239"</f>
        <v>01239</v>
      </c>
      <c r="B957" s="1" t="str">
        <f>"مختار"</f>
        <v>مختار</v>
      </c>
      <c r="C957" s="1" t="str">
        <f>"كانيک زاده"</f>
        <v>كانيک زاده</v>
      </c>
      <c r="D957" s="1" t="str">
        <f t="shared" si="102"/>
        <v>قراردادي بهره بردار</v>
      </c>
      <c r="E957" s="1" t="str">
        <f>"پروژه بهره برداري نيروگاه بوشهر"</f>
        <v>پروژه بهره برداري نيروگاه بوشهر</v>
      </c>
      <c r="F957" s="1">
        <v>21355824</v>
      </c>
      <c r="G957" s="1">
        <v>380511</v>
      </c>
      <c r="H957" s="1">
        <v>0</v>
      </c>
      <c r="I957" s="1">
        <v>15169265</v>
      </c>
      <c r="J957" s="1">
        <v>0</v>
      </c>
      <c r="K957" s="1">
        <v>4125000</v>
      </c>
      <c r="L957" s="1">
        <v>0</v>
      </c>
      <c r="M957" s="1">
        <v>1000000</v>
      </c>
      <c r="N957" s="1">
        <v>3612502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4902173</v>
      </c>
      <c r="W957" s="1">
        <v>4000000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2838395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6045736</v>
      </c>
      <c r="AM957" s="1">
        <v>0</v>
      </c>
      <c r="AN957" s="1">
        <v>0</v>
      </c>
      <c r="AO957" s="1">
        <v>63429406</v>
      </c>
      <c r="AP957" s="1">
        <v>6938993</v>
      </c>
      <c r="AQ957" s="1">
        <v>56490413</v>
      </c>
      <c r="AR957" s="1">
        <v>12685881</v>
      </c>
      <c r="AS957" s="1">
        <v>1902882</v>
      </c>
      <c r="AT957" s="3">
        <f t="shared" si="94"/>
        <v>78018169</v>
      </c>
    </row>
    <row r="958" spans="1:46" x14ac:dyDescent="0.2">
      <c r="A958" s="1" t="str">
        <f>"01240"</f>
        <v>01240</v>
      </c>
      <c r="B958" s="1" t="str">
        <f>"رضا"</f>
        <v>رضا</v>
      </c>
      <c r="C958" s="1" t="str">
        <f>"كريمي"</f>
        <v>كريمي</v>
      </c>
      <c r="D958" s="1" t="str">
        <f t="shared" si="102"/>
        <v>قراردادي بهره بردار</v>
      </c>
      <c r="E958" s="1" t="str">
        <f>"پروژه بهره برداري نيروگاه بوشهر"</f>
        <v>پروژه بهره برداري نيروگاه بوشهر</v>
      </c>
      <c r="F958" s="1">
        <v>13407537</v>
      </c>
      <c r="G958" s="1">
        <v>490148</v>
      </c>
      <c r="H958" s="1">
        <v>0</v>
      </c>
      <c r="I958" s="1">
        <v>9471771</v>
      </c>
      <c r="J958" s="1">
        <v>0</v>
      </c>
      <c r="K958" s="1">
        <v>0</v>
      </c>
      <c r="L958" s="1">
        <v>0</v>
      </c>
      <c r="M958" s="1">
        <v>1000000</v>
      </c>
      <c r="N958" s="1">
        <v>2364836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3157317</v>
      </c>
      <c r="W958" s="1">
        <v>4000000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1858085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4470943</v>
      </c>
      <c r="AM958" s="1">
        <v>0</v>
      </c>
      <c r="AN958" s="1">
        <v>0</v>
      </c>
      <c r="AO958" s="1">
        <v>40220637</v>
      </c>
      <c r="AP958" s="1">
        <v>25139485</v>
      </c>
      <c r="AQ958" s="1">
        <v>15081152</v>
      </c>
      <c r="AR958" s="1">
        <v>8044127</v>
      </c>
      <c r="AS958" s="1">
        <v>1206619</v>
      </c>
      <c r="AT958" s="3">
        <f t="shared" si="94"/>
        <v>49471383</v>
      </c>
    </row>
    <row r="959" spans="1:46" x14ac:dyDescent="0.2">
      <c r="A959" s="1" t="str">
        <f>"01241"</f>
        <v>01241</v>
      </c>
      <c r="B959" s="1" t="str">
        <f>"عباس"</f>
        <v>عباس</v>
      </c>
      <c r="C959" s="1" t="str">
        <f>"احمدي"</f>
        <v>احمدي</v>
      </c>
      <c r="D959" s="1" t="str">
        <f t="shared" ref="D959:D975" si="103">"قراردادي کارگري"</f>
        <v>قراردادي کارگري</v>
      </c>
      <c r="E959" s="1" t="str">
        <f>"پروژه بهره برداري نيروگاه بوشهر"</f>
        <v>پروژه بهره برداري نيروگاه بوشهر</v>
      </c>
      <c r="F959" s="1">
        <v>18098412</v>
      </c>
      <c r="G959" s="1">
        <v>1794704</v>
      </c>
      <c r="H959" s="1">
        <v>0</v>
      </c>
      <c r="I959" s="1">
        <v>11456478</v>
      </c>
      <c r="J959" s="1">
        <v>0</v>
      </c>
      <c r="K959" s="1">
        <v>0</v>
      </c>
      <c r="L959" s="1">
        <v>0</v>
      </c>
      <c r="M959" s="1">
        <v>1000000</v>
      </c>
      <c r="N959" s="1">
        <v>2670801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2640000</v>
      </c>
      <c r="U959" s="1">
        <v>0</v>
      </c>
      <c r="V959" s="1">
        <v>3853564</v>
      </c>
      <c r="W959" s="1">
        <v>4000000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2098486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4211459</v>
      </c>
      <c r="AM959" s="1">
        <v>0</v>
      </c>
      <c r="AN959" s="1">
        <v>0</v>
      </c>
      <c r="AO959" s="1">
        <v>51823904</v>
      </c>
      <c r="AP959" s="1">
        <v>8015696</v>
      </c>
      <c r="AQ959" s="1">
        <v>43808208</v>
      </c>
      <c r="AR959" s="1">
        <v>10364781</v>
      </c>
      <c r="AS959" s="1">
        <v>1554717</v>
      </c>
      <c r="AT959" s="3">
        <f t="shared" si="94"/>
        <v>63743402</v>
      </c>
    </row>
    <row r="960" spans="1:46" x14ac:dyDescent="0.2">
      <c r="A960" s="1" t="str">
        <f>"01242"</f>
        <v>01242</v>
      </c>
      <c r="B960" s="1" t="str">
        <f>"مسعود"</f>
        <v>مسعود</v>
      </c>
      <c r="C960" s="1" t="str">
        <f>"احمدي باغکي"</f>
        <v>احمدي باغکي</v>
      </c>
      <c r="D960" s="1" t="str">
        <f t="shared" si="103"/>
        <v>قراردادي کارگري</v>
      </c>
      <c r="E960" s="1" t="str">
        <f t="shared" ref="E960:E975" si="104">"پروژه تعميرات نيروگاه بوشهر"</f>
        <v>پروژه تعميرات نيروگاه بوشهر</v>
      </c>
      <c r="F960" s="1">
        <v>0</v>
      </c>
      <c r="G960" s="1">
        <v>36192885</v>
      </c>
      <c r="H960" s="1">
        <v>0</v>
      </c>
      <c r="I960" s="1">
        <v>3844680</v>
      </c>
      <c r="J960" s="1">
        <v>0</v>
      </c>
      <c r="K960" s="1">
        <v>0</v>
      </c>
      <c r="L960" s="1">
        <v>11572430</v>
      </c>
      <c r="M960" s="1">
        <v>2000000</v>
      </c>
      <c r="N960" s="1">
        <v>3417493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2640000</v>
      </c>
      <c r="U960" s="1">
        <v>0</v>
      </c>
      <c r="V960" s="1">
        <v>10375992</v>
      </c>
      <c r="W960" s="1">
        <v>4000000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3786360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6434291</v>
      </c>
      <c r="AK960" s="1">
        <v>0</v>
      </c>
      <c r="AL960" s="1">
        <v>0</v>
      </c>
      <c r="AM960" s="1">
        <v>0</v>
      </c>
      <c r="AN960" s="1">
        <v>0</v>
      </c>
      <c r="AO960" s="1">
        <v>90671930</v>
      </c>
      <c r="AP960" s="1">
        <v>12451924</v>
      </c>
      <c r="AQ960" s="1">
        <v>78220006</v>
      </c>
      <c r="AR960" s="1">
        <v>18134386</v>
      </c>
      <c r="AS960" s="1">
        <v>2720158</v>
      </c>
      <c r="AT960" s="3">
        <f t="shared" si="94"/>
        <v>111526474</v>
      </c>
    </row>
    <row r="961" spans="1:46" x14ac:dyDescent="0.2">
      <c r="A961" s="1" t="str">
        <f>"01244"</f>
        <v>01244</v>
      </c>
      <c r="B961" s="1" t="str">
        <f>"مهدي"</f>
        <v>مهدي</v>
      </c>
      <c r="C961" s="1" t="str">
        <f>"باروني"</f>
        <v>باروني</v>
      </c>
      <c r="D961" s="1" t="str">
        <f t="shared" si="103"/>
        <v>قراردادي کارگري</v>
      </c>
      <c r="E961" s="1" t="str">
        <f t="shared" si="104"/>
        <v>پروژه تعميرات نيروگاه بوشهر</v>
      </c>
      <c r="F961" s="1">
        <v>0</v>
      </c>
      <c r="G961" s="1">
        <v>4691701</v>
      </c>
      <c r="H961" s="1">
        <v>0</v>
      </c>
      <c r="I961" s="1">
        <v>4737420</v>
      </c>
      <c r="J961" s="1">
        <v>0</v>
      </c>
      <c r="K961" s="1">
        <v>0</v>
      </c>
      <c r="L961" s="1">
        <v>11572430</v>
      </c>
      <c r="M961" s="1">
        <v>2000000</v>
      </c>
      <c r="N961" s="1">
        <v>4211040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2640000</v>
      </c>
      <c r="U961" s="1">
        <v>0</v>
      </c>
      <c r="V961" s="1">
        <v>6577152</v>
      </c>
      <c r="W961" s="1">
        <v>4000000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48325443</v>
      </c>
      <c r="AP961" s="1">
        <v>7083047</v>
      </c>
      <c r="AQ961" s="1">
        <v>41242396</v>
      </c>
      <c r="AR961" s="1">
        <v>9665089</v>
      </c>
      <c r="AS961" s="1">
        <v>1449763</v>
      </c>
      <c r="AT961" s="3">
        <f t="shared" si="94"/>
        <v>59440295</v>
      </c>
    </row>
    <row r="962" spans="1:46" x14ac:dyDescent="0.2">
      <c r="A962" s="1" t="str">
        <f>"01245"</f>
        <v>01245</v>
      </c>
      <c r="B962" s="1" t="str">
        <f>"محمد"</f>
        <v>محمد</v>
      </c>
      <c r="C962" s="1" t="str">
        <f>"براشکه"</f>
        <v>براشکه</v>
      </c>
      <c r="D962" s="1" t="str">
        <f t="shared" si="103"/>
        <v>قراردادي کارگري</v>
      </c>
      <c r="E962" s="1" t="str">
        <f t="shared" si="104"/>
        <v>پروژه تعميرات نيروگاه بوشهر</v>
      </c>
      <c r="F962" s="1">
        <v>0</v>
      </c>
      <c r="G962" s="1">
        <v>1889596</v>
      </c>
      <c r="H962" s="1">
        <v>0</v>
      </c>
      <c r="I962" s="1">
        <v>4194196</v>
      </c>
      <c r="J962" s="1">
        <v>0</v>
      </c>
      <c r="K962" s="1">
        <v>0</v>
      </c>
      <c r="L962" s="1">
        <v>11572430</v>
      </c>
      <c r="M962" s="1">
        <v>2000000</v>
      </c>
      <c r="N962" s="1">
        <v>3728174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2640000</v>
      </c>
      <c r="U962" s="1">
        <v>0</v>
      </c>
      <c r="V962" s="1">
        <v>3268513</v>
      </c>
      <c r="W962" s="1">
        <v>4000000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40283236</v>
      </c>
      <c r="AP962" s="1">
        <v>5845827</v>
      </c>
      <c r="AQ962" s="1">
        <v>34437409</v>
      </c>
      <c r="AR962" s="1">
        <v>8056647</v>
      </c>
      <c r="AS962" s="1">
        <v>1208497</v>
      </c>
      <c r="AT962" s="3">
        <f t="shared" si="94"/>
        <v>49548380</v>
      </c>
    </row>
    <row r="963" spans="1:46" x14ac:dyDescent="0.2">
      <c r="A963" s="1" t="str">
        <f>"01246"</f>
        <v>01246</v>
      </c>
      <c r="B963" s="1" t="str">
        <f>"دانيال"</f>
        <v>دانيال</v>
      </c>
      <c r="C963" s="1" t="str">
        <f>"برزگر"</f>
        <v>برزگر</v>
      </c>
      <c r="D963" s="1" t="str">
        <f t="shared" si="103"/>
        <v>قراردادي کارگري</v>
      </c>
      <c r="E963" s="1" t="str">
        <f t="shared" si="104"/>
        <v>پروژه تعميرات نيروگاه بوشهر</v>
      </c>
      <c r="F963" s="1">
        <v>0</v>
      </c>
      <c r="G963" s="1">
        <v>17436615</v>
      </c>
      <c r="H963" s="1">
        <v>0</v>
      </c>
      <c r="I963" s="1">
        <v>3954167</v>
      </c>
      <c r="J963" s="1">
        <v>0</v>
      </c>
      <c r="K963" s="1">
        <v>0</v>
      </c>
      <c r="L963" s="1">
        <v>11572430</v>
      </c>
      <c r="M963" s="1">
        <v>2000000</v>
      </c>
      <c r="N963" s="1">
        <v>3514815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2640000</v>
      </c>
      <c r="U963" s="1">
        <v>0</v>
      </c>
      <c r="V963" s="1">
        <v>6048020</v>
      </c>
      <c r="W963" s="1">
        <v>4000000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3844753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61601077</v>
      </c>
      <c r="AP963" s="1">
        <v>7914507</v>
      </c>
      <c r="AQ963" s="1">
        <v>53686570</v>
      </c>
      <c r="AR963" s="1">
        <v>12320215</v>
      </c>
      <c r="AS963" s="1">
        <v>1848032</v>
      </c>
      <c r="AT963" s="3">
        <f t="shared" ref="AT963:AT1026" si="105">AO963+AR963+AS963</f>
        <v>75769324</v>
      </c>
    </row>
    <row r="964" spans="1:46" x14ac:dyDescent="0.2">
      <c r="A964" s="1" t="str">
        <f>"01247"</f>
        <v>01247</v>
      </c>
      <c r="B964" s="1" t="str">
        <f>"ميثم"</f>
        <v>ميثم</v>
      </c>
      <c r="C964" s="1" t="str">
        <f>"بلاغي"</f>
        <v>بلاغي</v>
      </c>
      <c r="D964" s="1" t="str">
        <f t="shared" si="103"/>
        <v>قراردادي کارگري</v>
      </c>
      <c r="E964" s="1" t="str">
        <f t="shared" si="104"/>
        <v>پروژه تعميرات نيروگاه بوشهر</v>
      </c>
      <c r="F964" s="1">
        <v>0</v>
      </c>
      <c r="G964" s="1">
        <v>5404339</v>
      </c>
      <c r="H964" s="1">
        <v>0</v>
      </c>
      <c r="I964" s="1">
        <v>4008910</v>
      </c>
      <c r="J964" s="1">
        <v>0</v>
      </c>
      <c r="K964" s="1">
        <v>0</v>
      </c>
      <c r="L964" s="1">
        <v>11572430</v>
      </c>
      <c r="M964" s="1">
        <v>2000000</v>
      </c>
      <c r="N964" s="1">
        <v>3563476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2640000</v>
      </c>
      <c r="U964" s="1">
        <v>0</v>
      </c>
      <c r="V964" s="1">
        <v>6085003</v>
      </c>
      <c r="W964" s="1">
        <v>4000000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45955675</v>
      </c>
      <c r="AP964" s="1">
        <v>4450375</v>
      </c>
      <c r="AQ964" s="1">
        <v>41505300</v>
      </c>
      <c r="AR964" s="1">
        <v>9191135</v>
      </c>
      <c r="AS964" s="1">
        <v>1378670</v>
      </c>
      <c r="AT964" s="3">
        <f t="shared" si="105"/>
        <v>56525480</v>
      </c>
    </row>
    <row r="965" spans="1:46" x14ac:dyDescent="0.2">
      <c r="A965" s="1" t="str">
        <f>"01250"</f>
        <v>01250</v>
      </c>
      <c r="B965" s="1" t="str">
        <f>"حيدر"</f>
        <v>حيدر</v>
      </c>
      <c r="C965" s="1" t="str">
        <f>"پورمحمد"</f>
        <v>پورمحمد</v>
      </c>
      <c r="D965" s="1" t="str">
        <f t="shared" si="103"/>
        <v>قراردادي کارگري</v>
      </c>
      <c r="E965" s="1" t="str">
        <f t="shared" si="104"/>
        <v>پروژه تعميرات نيروگاه بوشهر</v>
      </c>
      <c r="F965" s="1">
        <v>0</v>
      </c>
      <c r="G965" s="1">
        <v>5802398</v>
      </c>
      <c r="H965" s="1">
        <v>0</v>
      </c>
      <c r="I965" s="1">
        <v>3941533</v>
      </c>
      <c r="J965" s="1">
        <v>0</v>
      </c>
      <c r="K965" s="1">
        <v>0</v>
      </c>
      <c r="L965" s="1">
        <v>11572430</v>
      </c>
      <c r="M965" s="1">
        <v>2000000</v>
      </c>
      <c r="N965" s="1">
        <v>3503585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2640000</v>
      </c>
      <c r="U965" s="1">
        <v>0</v>
      </c>
      <c r="V965" s="1">
        <v>6039486</v>
      </c>
      <c r="W965" s="1">
        <v>4000000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1835427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47904082</v>
      </c>
      <c r="AP965" s="1">
        <v>6898734</v>
      </c>
      <c r="AQ965" s="1">
        <v>41005348</v>
      </c>
      <c r="AR965" s="1">
        <v>9213731</v>
      </c>
      <c r="AS965" s="1">
        <v>1382060</v>
      </c>
      <c r="AT965" s="3">
        <f t="shared" si="105"/>
        <v>58499873</v>
      </c>
    </row>
    <row r="966" spans="1:46" x14ac:dyDescent="0.2">
      <c r="A966" s="1" t="str">
        <f>"01252"</f>
        <v>01252</v>
      </c>
      <c r="B966" s="1" t="str">
        <f>"امراله"</f>
        <v>امراله</v>
      </c>
      <c r="C966" s="1" t="str">
        <f>"ثابت لقب"</f>
        <v>ثابت لقب</v>
      </c>
      <c r="D966" s="1" t="str">
        <f t="shared" si="103"/>
        <v>قراردادي کارگري</v>
      </c>
      <c r="E966" s="1" t="str">
        <f t="shared" si="104"/>
        <v>پروژه تعميرات نيروگاه بوشهر</v>
      </c>
      <c r="F966" s="1">
        <v>0</v>
      </c>
      <c r="G966" s="1">
        <v>4398437</v>
      </c>
      <c r="H966" s="1">
        <v>0</v>
      </c>
      <c r="I966" s="1">
        <v>4846907</v>
      </c>
      <c r="J966" s="1">
        <v>0</v>
      </c>
      <c r="K966" s="1">
        <v>0</v>
      </c>
      <c r="L966" s="1">
        <v>11572430</v>
      </c>
      <c r="M966" s="1">
        <v>2000000</v>
      </c>
      <c r="N966" s="1">
        <v>4308361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2640000</v>
      </c>
      <c r="U966" s="1">
        <v>0</v>
      </c>
      <c r="V966" s="1">
        <v>10151704</v>
      </c>
      <c r="W966" s="1">
        <v>4000000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51996017</v>
      </c>
      <c r="AP966" s="1">
        <v>7530151</v>
      </c>
      <c r="AQ966" s="1">
        <v>44465866</v>
      </c>
      <c r="AR966" s="1">
        <v>10399203</v>
      </c>
      <c r="AS966" s="1">
        <v>1559881</v>
      </c>
      <c r="AT966" s="3">
        <f t="shared" si="105"/>
        <v>63955101</v>
      </c>
    </row>
    <row r="967" spans="1:46" x14ac:dyDescent="0.2">
      <c r="A967" s="1" t="str">
        <f>"01255"</f>
        <v>01255</v>
      </c>
      <c r="B967" s="1" t="str">
        <f>"سيد جعفر"</f>
        <v>سيد جعفر</v>
      </c>
      <c r="C967" s="1" t="str">
        <f>"حسيني"</f>
        <v>حسيني</v>
      </c>
      <c r="D967" s="1" t="str">
        <f t="shared" si="103"/>
        <v>قراردادي کارگري</v>
      </c>
      <c r="E967" s="1" t="str">
        <f t="shared" si="104"/>
        <v>پروژه تعميرات نيروگاه بوشهر</v>
      </c>
      <c r="F967" s="1">
        <v>0</v>
      </c>
      <c r="G967" s="1">
        <v>50120753</v>
      </c>
      <c r="H967" s="1">
        <v>0</v>
      </c>
      <c r="I967" s="1">
        <v>4387903</v>
      </c>
      <c r="J967" s="1">
        <v>0</v>
      </c>
      <c r="K967" s="1">
        <v>0</v>
      </c>
      <c r="L967" s="1">
        <v>11572430</v>
      </c>
      <c r="M967" s="1">
        <v>2000000</v>
      </c>
      <c r="N967" s="1">
        <v>3900359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2640000</v>
      </c>
      <c r="U967" s="1">
        <v>0</v>
      </c>
      <c r="V967" s="1">
        <v>11013375</v>
      </c>
      <c r="W967" s="1">
        <v>4000000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4076080</v>
      </c>
      <c r="AE967" s="1">
        <v>0</v>
      </c>
      <c r="AF967" s="1">
        <v>1835427</v>
      </c>
      <c r="AG967" s="1">
        <v>0</v>
      </c>
      <c r="AH967" s="1">
        <v>0</v>
      </c>
      <c r="AI967" s="1">
        <v>0</v>
      </c>
      <c r="AJ967" s="1">
        <v>5173755</v>
      </c>
      <c r="AK967" s="1">
        <v>0</v>
      </c>
      <c r="AL967" s="1">
        <v>0</v>
      </c>
      <c r="AM967" s="1">
        <v>0</v>
      </c>
      <c r="AN967" s="1">
        <v>0</v>
      </c>
      <c r="AO967" s="1">
        <v>108033255</v>
      </c>
      <c r="AP967" s="1">
        <v>16548589</v>
      </c>
      <c r="AQ967" s="1">
        <v>91484666</v>
      </c>
      <c r="AR967" s="1">
        <v>21239566</v>
      </c>
      <c r="AS967" s="1">
        <v>3185935</v>
      </c>
      <c r="AT967" s="3">
        <f t="shared" si="105"/>
        <v>132458756</v>
      </c>
    </row>
    <row r="968" spans="1:46" x14ac:dyDescent="0.2">
      <c r="A968" s="1" t="str">
        <f>"01256"</f>
        <v>01256</v>
      </c>
      <c r="B968" s="1" t="str">
        <f>"احمد"</f>
        <v>احمد</v>
      </c>
      <c r="C968" s="1" t="str">
        <f>"حسيني ملائي"</f>
        <v>حسيني ملائي</v>
      </c>
      <c r="D968" s="1" t="str">
        <f t="shared" si="103"/>
        <v>قراردادي کارگري</v>
      </c>
      <c r="E968" s="1" t="str">
        <f t="shared" si="104"/>
        <v>پروژه تعميرات نيروگاه بوشهر</v>
      </c>
      <c r="F968" s="1">
        <v>0</v>
      </c>
      <c r="G968" s="1">
        <v>3438061</v>
      </c>
      <c r="H968" s="1">
        <v>0</v>
      </c>
      <c r="I968" s="1">
        <v>4143664</v>
      </c>
      <c r="J968" s="1">
        <v>0</v>
      </c>
      <c r="K968" s="1">
        <v>0</v>
      </c>
      <c r="L968" s="1">
        <v>11572430</v>
      </c>
      <c r="M968" s="1">
        <v>2000000</v>
      </c>
      <c r="N968" s="1">
        <v>3683257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2640000</v>
      </c>
      <c r="U968" s="1">
        <v>0</v>
      </c>
      <c r="V968" s="1">
        <v>6176037</v>
      </c>
      <c r="W968" s="1">
        <v>4000000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1835427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46394981</v>
      </c>
      <c r="AP968" s="1">
        <v>3736750</v>
      </c>
      <c r="AQ968" s="1">
        <v>42658231</v>
      </c>
      <c r="AR968" s="1">
        <v>8911911</v>
      </c>
      <c r="AS968" s="1">
        <v>1336787</v>
      </c>
      <c r="AT968" s="3">
        <f t="shared" si="105"/>
        <v>56643679</v>
      </c>
    </row>
    <row r="969" spans="1:46" x14ac:dyDescent="0.2">
      <c r="A969" s="1" t="str">
        <f>"01259"</f>
        <v>01259</v>
      </c>
      <c r="B969" s="1" t="str">
        <f>"علي"</f>
        <v>علي</v>
      </c>
      <c r="C969" s="1" t="str">
        <f>"شمسائي"</f>
        <v>شمسائي</v>
      </c>
      <c r="D969" s="1" t="str">
        <f t="shared" si="103"/>
        <v>قراردادي کارگري</v>
      </c>
      <c r="E969" s="1" t="str">
        <f t="shared" si="104"/>
        <v>پروژه تعميرات نيروگاه بوشهر</v>
      </c>
      <c r="F969" s="1">
        <v>0</v>
      </c>
      <c r="G969" s="1">
        <v>49579181</v>
      </c>
      <c r="H969" s="1">
        <v>0</v>
      </c>
      <c r="I969" s="1">
        <v>4051020</v>
      </c>
      <c r="J969" s="1">
        <v>0</v>
      </c>
      <c r="K969" s="1">
        <v>0</v>
      </c>
      <c r="L969" s="1">
        <v>11572430</v>
      </c>
      <c r="M969" s="1">
        <v>2000000</v>
      </c>
      <c r="N969" s="1">
        <v>3600907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2640000</v>
      </c>
      <c r="U969" s="1">
        <v>0</v>
      </c>
      <c r="V969" s="1">
        <v>10618099</v>
      </c>
      <c r="W969" s="1">
        <v>4000000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3896409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6610558</v>
      </c>
      <c r="AK969" s="1">
        <v>0</v>
      </c>
      <c r="AL969" s="1">
        <v>0</v>
      </c>
      <c r="AM969" s="1">
        <v>0</v>
      </c>
      <c r="AN969" s="1">
        <v>0</v>
      </c>
      <c r="AO969" s="1">
        <v>105320305</v>
      </c>
      <c r="AP969" s="1">
        <v>15401209</v>
      </c>
      <c r="AQ969" s="1">
        <v>89919096</v>
      </c>
      <c r="AR969" s="1">
        <v>21064061</v>
      </c>
      <c r="AS969" s="1">
        <v>3159609</v>
      </c>
      <c r="AT969" s="3">
        <f t="shared" si="105"/>
        <v>129543975</v>
      </c>
    </row>
    <row r="970" spans="1:46" x14ac:dyDescent="0.2">
      <c r="A970" s="1" t="str">
        <f>"01260"</f>
        <v>01260</v>
      </c>
      <c r="B970" s="1" t="str">
        <f>"سيد علي"</f>
        <v>سيد علي</v>
      </c>
      <c r="C970" s="1" t="str">
        <f>"عسکري"</f>
        <v>عسکري</v>
      </c>
      <c r="D970" s="1" t="str">
        <f t="shared" si="103"/>
        <v>قراردادي کارگري</v>
      </c>
      <c r="E970" s="1" t="str">
        <f t="shared" si="104"/>
        <v>پروژه تعميرات نيروگاه بوشهر</v>
      </c>
      <c r="F970" s="1">
        <v>0</v>
      </c>
      <c r="G970" s="1">
        <v>0</v>
      </c>
      <c r="H970" s="1">
        <v>0</v>
      </c>
      <c r="I970" s="1">
        <v>4029965</v>
      </c>
      <c r="J970" s="1">
        <v>0</v>
      </c>
      <c r="K970" s="1">
        <v>0</v>
      </c>
      <c r="L970" s="1">
        <v>11572430</v>
      </c>
      <c r="M970" s="1">
        <v>2000000</v>
      </c>
      <c r="N970" s="1">
        <v>3582192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2640000</v>
      </c>
      <c r="U970" s="1">
        <v>0</v>
      </c>
      <c r="V970" s="1">
        <v>9309347</v>
      </c>
      <c r="W970" s="1">
        <v>4000000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43850543</v>
      </c>
      <c r="AP970" s="1">
        <v>20784724</v>
      </c>
      <c r="AQ970" s="1">
        <v>23065819</v>
      </c>
      <c r="AR970" s="1">
        <v>8770109</v>
      </c>
      <c r="AS970" s="1">
        <v>1315516</v>
      </c>
      <c r="AT970" s="3">
        <f t="shared" si="105"/>
        <v>53936168</v>
      </c>
    </row>
    <row r="971" spans="1:46" x14ac:dyDescent="0.2">
      <c r="A971" s="1" t="str">
        <f>"01262"</f>
        <v>01262</v>
      </c>
      <c r="B971" s="1" t="str">
        <f>"حميد"</f>
        <v>حميد</v>
      </c>
      <c r="C971" s="1" t="str">
        <f>"فرريزي"</f>
        <v>فرريزي</v>
      </c>
      <c r="D971" s="1" t="str">
        <f t="shared" si="103"/>
        <v>قراردادي کارگري</v>
      </c>
      <c r="E971" s="1" t="str">
        <f t="shared" si="104"/>
        <v>پروژه تعميرات نيروگاه بوشهر</v>
      </c>
      <c r="F971" s="1">
        <v>-13376352</v>
      </c>
      <c r="G971" s="1">
        <v>7111697</v>
      </c>
      <c r="H971" s="1">
        <v>0</v>
      </c>
      <c r="I971" s="1">
        <v>6274879</v>
      </c>
      <c r="J971" s="1">
        <v>0</v>
      </c>
      <c r="K971" s="1">
        <v>0</v>
      </c>
      <c r="L971" s="1">
        <v>19371848</v>
      </c>
      <c r="M971" s="1">
        <v>4000000</v>
      </c>
      <c r="N971" s="1">
        <v>5577672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2640000</v>
      </c>
      <c r="U971" s="1">
        <v>0</v>
      </c>
      <c r="V971" s="1">
        <v>10314950</v>
      </c>
      <c r="W971" s="1">
        <v>8200000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4945038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78894219</v>
      </c>
      <c r="AP971" s="1">
        <v>8418221</v>
      </c>
      <c r="AQ971" s="1">
        <v>70475998</v>
      </c>
      <c r="AR971" s="1">
        <v>14789836</v>
      </c>
      <c r="AS971" s="1">
        <v>2218475</v>
      </c>
      <c r="AT971" s="3">
        <f t="shared" si="105"/>
        <v>95902530</v>
      </c>
    </row>
    <row r="972" spans="1:46" x14ac:dyDescent="0.2">
      <c r="A972" s="1" t="str">
        <f>"01263"</f>
        <v>01263</v>
      </c>
      <c r="B972" s="1" t="str">
        <f>"حسين"</f>
        <v>حسين</v>
      </c>
      <c r="C972" s="1" t="str">
        <f>"فقيه"</f>
        <v>فقيه</v>
      </c>
      <c r="D972" s="1" t="str">
        <f t="shared" si="103"/>
        <v>قراردادي کارگري</v>
      </c>
      <c r="E972" s="1" t="str">
        <f t="shared" si="104"/>
        <v>پروژه تعميرات نيروگاه بوشهر</v>
      </c>
      <c r="F972" s="1">
        <v>0</v>
      </c>
      <c r="G972" s="1">
        <v>52933111</v>
      </c>
      <c r="H972" s="1">
        <v>0</v>
      </c>
      <c r="I972" s="1">
        <v>4126819</v>
      </c>
      <c r="J972" s="1">
        <v>0</v>
      </c>
      <c r="K972" s="1">
        <v>0</v>
      </c>
      <c r="L972" s="1">
        <v>11572430</v>
      </c>
      <c r="M972" s="1">
        <v>2000000</v>
      </c>
      <c r="N972" s="1">
        <v>3668284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2640000</v>
      </c>
      <c r="U972" s="1">
        <v>0</v>
      </c>
      <c r="V972" s="1">
        <v>10707036</v>
      </c>
      <c r="W972" s="1">
        <v>4000000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3936835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6675309</v>
      </c>
      <c r="AK972" s="1">
        <v>0</v>
      </c>
      <c r="AL972" s="1">
        <v>0</v>
      </c>
      <c r="AM972" s="1">
        <v>0</v>
      </c>
      <c r="AN972" s="1">
        <v>0</v>
      </c>
      <c r="AO972" s="1">
        <v>109137856</v>
      </c>
      <c r="AP972" s="1">
        <v>15461871</v>
      </c>
      <c r="AQ972" s="1">
        <v>93675985</v>
      </c>
      <c r="AR972" s="1">
        <v>21827571</v>
      </c>
      <c r="AS972" s="1">
        <v>3274136</v>
      </c>
      <c r="AT972" s="3">
        <f t="shared" si="105"/>
        <v>134239563</v>
      </c>
    </row>
    <row r="973" spans="1:46" x14ac:dyDescent="0.2">
      <c r="A973" s="1" t="str">
        <f>"01264"</f>
        <v>01264</v>
      </c>
      <c r="B973" s="1" t="str">
        <f>"محمد علي"</f>
        <v>محمد علي</v>
      </c>
      <c r="C973" s="1" t="str">
        <f>"قناعت زاده"</f>
        <v>قناعت زاده</v>
      </c>
      <c r="D973" s="1" t="str">
        <f t="shared" si="103"/>
        <v>قراردادي کارگري</v>
      </c>
      <c r="E973" s="1" t="str">
        <f t="shared" si="104"/>
        <v>پروژه تعميرات نيروگاه بوشهر</v>
      </c>
      <c r="F973" s="1">
        <v>0</v>
      </c>
      <c r="G973" s="1">
        <v>39977328</v>
      </c>
      <c r="H973" s="1">
        <v>0</v>
      </c>
      <c r="I973" s="1">
        <v>4299472</v>
      </c>
      <c r="J973" s="1">
        <v>0</v>
      </c>
      <c r="K973" s="1">
        <v>0</v>
      </c>
      <c r="L973" s="1">
        <v>11572430</v>
      </c>
      <c r="M973" s="1">
        <v>2000000</v>
      </c>
      <c r="N973" s="1">
        <v>3821752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2640000</v>
      </c>
      <c r="U973" s="1">
        <v>0</v>
      </c>
      <c r="V973" s="1">
        <v>10909616</v>
      </c>
      <c r="W973" s="1">
        <v>4000000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4028916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6822797</v>
      </c>
      <c r="AK973" s="1">
        <v>0</v>
      </c>
      <c r="AL973" s="1">
        <v>0</v>
      </c>
      <c r="AM973" s="1">
        <v>0</v>
      </c>
      <c r="AN973" s="1">
        <v>0</v>
      </c>
      <c r="AO973" s="1">
        <v>97238097</v>
      </c>
      <c r="AP973" s="1">
        <v>15418210</v>
      </c>
      <c r="AQ973" s="1">
        <v>81819887</v>
      </c>
      <c r="AR973" s="1">
        <v>19447619</v>
      </c>
      <c r="AS973" s="1">
        <v>2917143</v>
      </c>
      <c r="AT973" s="3">
        <f t="shared" si="105"/>
        <v>119602859</v>
      </c>
    </row>
    <row r="974" spans="1:46" x14ac:dyDescent="0.2">
      <c r="A974" s="1" t="str">
        <f>"01266"</f>
        <v>01266</v>
      </c>
      <c r="B974" s="1" t="str">
        <f>"مجيد"</f>
        <v>مجيد</v>
      </c>
      <c r="C974" s="1" t="str">
        <f>"ماندني زاده"</f>
        <v>ماندني زاده</v>
      </c>
      <c r="D974" s="1" t="str">
        <f t="shared" si="103"/>
        <v>قراردادي کارگري</v>
      </c>
      <c r="E974" s="1" t="str">
        <f t="shared" si="104"/>
        <v>پروژه تعميرات نيروگاه بوشهر</v>
      </c>
      <c r="F974" s="1">
        <v>0</v>
      </c>
      <c r="G974" s="1">
        <v>1164880</v>
      </c>
      <c r="H974" s="1">
        <v>0</v>
      </c>
      <c r="I974" s="1">
        <v>4269995</v>
      </c>
      <c r="J974" s="1">
        <v>0</v>
      </c>
      <c r="K974" s="1">
        <v>0</v>
      </c>
      <c r="L974" s="1">
        <v>11572430</v>
      </c>
      <c r="M974" s="1">
        <v>2000000</v>
      </c>
      <c r="N974" s="1">
        <v>3795551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2640000</v>
      </c>
      <c r="U974" s="1">
        <v>0</v>
      </c>
      <c r="V974" s="1">
        <v>6261380</v>
      </c>
      <c r="W974" s="1">
        <v>4000000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42820893</v>
      </c>
      <c r="AP974" s="1">
        <v>15828077</v>
      </c>
      <c r="AQ974" s="1">
        <v>26992816</v>
      </c>
      <c r="AR974" s="1">
        <v>8564179</v>
      </c>
      <c r="AS974" s="1">
        <v>1284627</v>
      </c>
      <c r="AT974" s="3">
        <f t="shared" si="105"/>
        <v>52669699</v>
      </c>
    </row>
    <row r="975" spans="1:46" x14ac:dyDescent="0.2">
      <c r="A975" s="1" t="str">
        <f>"01267"</f>
        <v>01267</v>
      </c>
      <c r="B975" s="1" t="str">
        <f>"کريم"</f>
        <v>کريم</v>
      </c>
      <c r="C975" s="1" t="str">
        <f>"محمدي"</f>
        <v>محمدي</v>
      </c>
      <c r="D975" s="1" t="str">
        <f t="shared" si="103"/>
        <v>قراردادي کارگري</v>
      </c>
      <c r="E975" s="1" t="str">
        <f t="shared" si="104"/>
        <v>پروژه تعميرات نيروگاه بوشهر</v>
      </c>
      <c r="F975" s="1">
        <v>0</v>
      </c>
      <c r="G975" s="1">
        <v>33002945</v>
      </c>
      <c r="H975" s="1">
        <v>0</v>
      </c>
      <c r="I975" s="1">
        <v>3920478</v>
      </c>
      <c r="J975" s="1">
        <v>0</v>
      </c>
      <c r="K975" s="1">
        <v>0</v>
      </c>
      <c r="L975" s="1">
        <v>11572430</v>
      </c>
      <c r="M975" s="1">
        <v>2000000</v>
      </c>
      <c r="N975" s="1">
        <v>3484869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2640000</v>
      </c>
      <c r="U975" s="1">
        <v>0</v>
      </c>
      <c r="V975" s="1">
        <v>10464929</v>
      </c>
      <c r="W975" s="1">
        <v>4000000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3826786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81446567</v>
      </c>
      <c r="AP975" s="1">
        <v>11509791</v>
      </c>
      <c r="AQ975" s="1">
        <v>69936776</v>
      </c>
      <c r="AR975" s="1">
        <v>16289313</v>
      </c>
      <c r="AS975" s="1">
        <v>2443397</v>
      </c>
      <c r="AT975" s="3">
        <f t="shared" si="105"/>
        <v>100179277</v>
      </c>
    </row>
    <row r="976" spans="1:46" x14ac:dyDescent="0.2">
      <c r="A976" s="1" t="str">
        <f>"01268"</f>
        <v>01268</v>
      </c>
      <c r="B976" s="1" t="str">
        <f>"رضا"</f>
        <v>رضا</v>
      </c>
      <c r="C976" s="1" t="str">
        <f>"سهيلي راد"</f>
        <v>سهيلي راد</v>
      </c>
      <c r="D976" s="1" t="str">
        <f>"قراردادي بهره بردار"</f>
        <v>قراردادي بهره بردار</v>
      </c>
      <c r="E976" s="1" t="str">
        <f>"پروژه بهره برداري نيروگاه بوشهر"</f>
        <v>پروژه بهره برداري نيروگاه بوشهر</v>
      </c>
      <c r="F976" s="1">
        <v>18554399</v>
      </c>
      <c r="G976" s="1">
        <v>9607161</v>
      </c>
      <c r="H976" s="1">
        <v>0</v>
      </c>
      <c r="I976" s="1">
        <v>12089663</v>
      </c>
      <c r="J976" s="1">
        <v>0</v>
      </c>
      <c r="K976" s="1">
        <v>5500000</v>
      </c>
      <c r="L976" s="1">
        <v>0</v>
      </c>
      <c r="M976" s="1">
        <v>1000000</v>
      </c>
      <c r="N976" s="1">
        <v>2856848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4125672</v>
      </c>
      <c r="W976" s="1">
        <v>4000000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2244667</v>
      </c>
      <c r="AF976" s="1">
        <v>1835427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5511148</v>
      </c>
      <c r="AM976" s="1">
        <v>0</v>
      </c>
      <c r="AN976" s="1">
        <v>0</v>
      </c>
      <c r="AO976" s="1">
        <v>67324985</v>
      </c>
      <c r="AP976" s="1">
        <v>9445541</v>
      </c>
      <c r="AQ976" s="1">
        <v>57879444</v>
      </c>
      <c r="AR976" s="1">
        <v>13097912</v>
      </c>
      <c r="AS976" s="1">
        <v>1964687</v>
      </c>
      <c r="AT976" s="3">
        <f t="shared" si="105"/>
        <v>82387584</v>
      </c>
    </row>
    <row r="977" spans="1:46" x14ac:dyDescent="0.2">
      <c r="A977" s="1" t="str">
        <f>"01269"</f>
        <v>01269</v>
      </c>
      <c r="B977" s="1" t="str">
        <f>"حسن"</f>
        <v>حسن</v>
      </c>
      <c r="C977" s="1" t="str">
        <f>"انصاري"</f>
        <v>انصاري</v>
      </c>
      <c r="D977" s="1" t="str">
        <f>"قراردادي کارگري"</f>
        <v>قراردادي کارگري</v>
      </c>
      <c r="E977" s="1" t="str">
        <f>"پروژه تعميرات نيروگاه بوشهر"</f>
        <v>پروژه تعميرات نيروگاه بوشهر</v>
      </c>
      <c r="F977" s="1">
        <v>0</v>
      </c>
      <c r="G977" s="1">
        <v>5700050</v>
      </c>
      <c r="H977" s="1">
        <v>0</v>
      </c>
      <c r="I977" s="1">
        <v>4421592</v>
      </c>
      <c r="J977" s="1">
        <v>0</v>
      </c>
      <c r="K977" s="1">
        <v>0</v>
      </c>
      <c r="L977" s="1">
        <v>11572430</v>
      </c>
      <c r="M977" s="1">
        <v>2000000</v>
      </c>
      <c r="N977" s="1">
        <v>3930304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2640000</v>
      </c>
      <c r="U977" s="1">
        <v>0</v>
      </c>
      <c r="V977" s="1">
        <v>6363793</v>
      </c>
      <c r="W977" s="1">
        <v>4000000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4094047</v>
      </c>
      <c r="AE977" s="1">
        <v>0</v>
      </c>
      <c r="AF977" s="1">
        <v>1835427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53926963</v>
      </c>
      <c r="AP977" s="1">
        <v>7880463</v>
      </c>
      <c r="AQ977" s="1">
        <v>46046500</v>
      </c>
      <c r="AR977" s="1">
        <v>10418307</v>
      </c>
      <c r="AS977" s="1">
        <v>1562746</v>
      </c>
      <c r="AT977" s="3">
        <f t="shared" si="105"/>
        <v>65908016</v>
      </c>
    </row>
    <row r="978" spans="1:46" x14ac:dyDescent="0.2">
      <c r="A978" s="1" t="str">
        <f>"01270"</f>
        <v>01270</v>
      </c>
      <c r="B978" s="1" t="str">
        <f>"عليرضا"</f>
        <v>عليرضا</v>
      </c>
      <c r="C978" s="1" t="str">
        <f>"رجب زاده"</f>
        <v>رجب زاده</v>
      </c>
      <c r="D978" s="1" t="str">
        <f>"قراردادي کارگري"</f>
        <v>قراردادي کارگري</v>
      </c>
      <c r="E978" s="1" t="str">
        <f>"پروژه تعميرات نيروگاه بوشهر"</f>
        <v>پروژه تعميرات نيروگاه بوشهر</v>
      </c>
      <c r="F978" s="1">
        <v>0</v>
      </c>
      <c r="G978" s="1">
        <v>2447946</v>
      </c>
      <c r="H978" s="1">
        <v>0</v>
      </c>
      <c r="I978" s="1">
        <v>3920478</v>
      </c>
      <c r="J978" s="1">
        <v>0</v>
      </c>
      <c r="K978" s="1">
        <v>0</v>
      </c>
      <c r="L978" s="1">
        <v>11572430</v>
      </c>
      <c r="M978" s="1">
        <v>2000000</v>
      </c>
      <c r="N978" s="1">
        <v>3484869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2640000</v>
      </c>
      <c r="U978" s="1">
        <v>0</v>
      </c>
      <c r="V978" s="1">
        <v>6025262</v>
      </c>
      <c r="W978" s="1">
        <v>4000000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1835427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44460542</v>
      </c>
      <c r="AP978" s="1">
        <v>6337436</v>
      </c>
      <c r="AQ978" s="1">
        <v>38123106</v>
      </c>
      <c r="AR978" s="1">
        <v>8525023</v>
      </c>
      <c r="AS978" s="1">
        <v>1278753</v>
      </c>
      <c r="AT978" s="3">
        <f t="shared" si="105"/>
        <v>54264318</v>
      </c>
    </row>
    <row r="979" spans="1:46" x14ac:dyDescent="0.2">
      <c r="A979" s="1" t="str">
        <f>"01271"</f>
        <v>01271</v>
      </c>
      <c r="B979" s="1" t="str">
        <f>"عباس"</f>
        <v>عباس</v>
      </c>
      <c r="C979" s="1" t="str">
        <f>"محياوي"</f>
        <v>محياوي</v>
      </c>
      <c r="D979" s="1" t="str">
        <f>"قراردادي کارگري"</f>
        <v>قراردادي کارگري</v>
      </c>
      <c r="E979" s="1" t="str">
        <f>"پروژه تعميرات نيروگاه بوشهر"</f>
        <v>پروژه تعميرات نيروگاه بوشهر</v>
      </c>
      <c r="F979" s="1">
        <v>18966079</v>
      </c>
      <c r="G979" s="1">
        <v>4282663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1000000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2640000</v>
      </c>
      <c r="U979" s="1">
        <v>0</v>
      </c>
      <c r="V979" s="1">
        <v>0</v>
      </c>
      <c r="W979" s="1">
        <v>4000000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30888742</v>
      </c>
      <c r="AP979" s="1">
        <v>4324212</v>
      </c>
      <c r="AQ979" s="1">
        <v>26564530</v>
      </c>
      <c r="AR979" s="1">
        <v>6177748</v>
      </c>
      <c r="AS979" s="1">
        <v>926662</v>
      </c>
      <c r="AT979" s="3">
        <f t="shared" si="105"/>
        <v>37993152</v>
      </c>
    </row>
    <row r="980" spans="1:46" x14ac:dyDescent="0.2">
      <c r="A980" s="1" t="str">
        <f>"01272"</f>
        <v>01272</v>
      </c>
      <c r="B980" s="1" t="str">
        <f>"عبداله"</f>
        <v>عبداله</v>
      </c>
      <c r="C980" s="1" t="str">
        <f>"هنرمند"</f>
        <v>هنرمند</v>
      </c>
      <c r="D980" s="1" t="str">
        <f>"قراردادي کارگري"</f>
        <v>قراردادي کارگري</v>
      </c>
      <c r="E980" s="1" t="str">
        <f>"پروژه تعميرات نيروگاه بوشهر"</f>
        <v>پروژه تعميرات نيروگاه بوشهر</v>
      </c>
      <c r="F980" s="1">
        <v>0</v>
      </c>
      <c r="G980" s="1">
        <v>242280</v>
      </c>
      <c r="H980" s="1">
        <v>0</v>
      </c>
      <c r="I980" s="1">
        <v>4581612</v>
      </c>
      <c r="J980" s="1">
        <v>0</v>
      </c>
      <c r="K980" s="1">
        <v>0</v>
      </c>
      <c r="L980" s="1">
        <v>11572430</v>
      </c>
      <c r="M980" s="1">
        <v>2000000</v>
      </c>
      <c r="N980" s="1">
        <v>4072543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2640000</v>
      </c>
      <c r="U980" s="1">
        <v>0</v>
      </c>
      <c r="V980" s="1">
        <v>6471895</v>
      </c>
      <c r="W980" s="1">
        <v>4000000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1835427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45052206</v>
      </c>
      <c r="AP980" s="1">
        <v>4246878</v>
      </c>
      <c r="AQ980" s="1">
        <v>40805328</v>
      </c>
      <c r="AR980" s="1">
        <v>8643356</v>
      </c>
      <c r="AS980" s="1">
        <v>1296503</v>
      </c>
      <c r="AT980" s="3">
        <f t="shared" si="105"/>
        <v>54992065</v>
      </c>
    </row>
    <row r="981" spans="1:46" x14ac:dyDescent="0.2">
      <c r="A981" s="1" t="str">
        <f>"01273"</f>
        <v>01273</v>
      </c>
      <c r="B981" s="1" t="str">
        <f>"ايمان"</f>
        <v>ايمان</v>
      </c>
      <c r="C981" s="1" t="str">
        <f>"آشوري"</f>
        <v>آشوري</v>
      </c>
      <c r="D981" s="1" t="str">
        <f>"قراردادي کارگري"</f>
        <v>قراردادي کارگري</v>
      </c>
      <c r="E981" s="1" t="str">
        <f>"پروژه تعميرات نيروگاه بوشهر"</f>
        <v>پروژه تعميرات نيروگاه بوشهر</v>
      </c>
      <c r="F981" s="1">
        <v>0</v>
      </c>
      <c r="G981" s="1">
        <v>7788146</v>
      </c>
      <c r="H981" s="1">
        <v>0</v>
      </c>
      <c r="I981" s="1">
        <v>5461718</v>
      </c>
      <c r="J981" s="1">
        <v>0</v>
      </c>
      <c r="K981" s="1">
        <v>0</v>
      </c>
      <c r="L981" s="1">
        <v>11572430</v>
      </c>
      <c r="M981" s="1">
        <v>2000000</v>
      </c>
      <c r="N981" s="1">
        <v>4854861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2640000</v>
      </c>
      <c r="U981" s="1">
        <v>0</v>
      </c>
      <c r="V981" s="1">
        <v>7066456</v>
      </c>
      <c r="W981" s="1">
        <v>4000000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3670854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58157330</v>
      </c>
      <c r="AP981" s="1">
        <v>5538381</v>
      </c>
      <c r="AQ981" s="1">
        <v>52618949</v>
      </c>
      <c r="AR981" s="1">
        <v>10897295</v>
      </c>
      <c r="AS981" s="1">
        <v>1634594</v>
      </c>
      <c r="AT981" s="3">
        <f t="shared" si="105"/>
        <v>70689219</v>
      </c>
    </row>
    <row r="982" spans="1:46" x14ac:dyDescent="0.2">
      <c r="A982" s="1" t="str">
        <f>"01274"</f>
        <v>01274</v>
      </c>
      <c r="B982" s="1" t="str">
        <f>"حيدر"</f>
        <v>حيدر</v>
      </c>
      <c r="C982" s="1" t="str">
        <f>"قاسمي قلعه سيدي"</f>
        <v>قاسمي قلعه سيدي</v>
      </c>
      <c r="D982" s="1" t="str">
        <f>"قراردادي بهره بردار"</f>
        <v>قراردادي بهره بردار</v>
      </c>
      <c r="E982" s="1" t="str">
        <f>"پروژه بهره برداري نيروگاه بوشهر"</f>
        <v>پروژه بهره برداري نيروگاه بوشهر</v>
      </c>
      <c r="F982" s="1">
        <v>22150817</v>
      </c>
      <c r="G982" s="1">
        <v>5457787</v>
      </c>
      <c r="H982" s="1">
        <v>0</v>
      </c>
      <c r="I982" s="1">
        <v>20599718</v>
      </c>
      <c r="J982" s="1">
        <v>0</v>
      </c>
      <c r="K982" s="1">
        <v>4620000</v>
      </c>
      <c r="L982" s="1">
        <v>0</v>
      </c>
      <c r="M982" s="1">
        <v>1000000</v>
      </c>
      <c r="N982" s="1">
        <v>3983906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6056412</v>
      </c>
      <c r="W982" s="1">
        <v>8200000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3490139</v>
      </c>
      <c r="AF982" s="1">
        <v>4945038</v>
      </c>
      <c r="AG982" s="1">
        <v>1270587</v>
      </c>
      <c r="AH982" s="1">
        <v>0</v>
      </c>
      <c r="AI982" s="1">
        <v>0</v>
      </c>
      <c r="AJ982" s="1">
        <v>0</v>
      </c>
      <c r="AK982" s="1">
        <v>0</v>
      </c>
      <c r="AL982" s="1">
        <v>9068966</v>
      </c>
      <c r="AM982" s="1">
        <v>0</v>
      </c>
      <c r="AN982" s="1">
        <v>0</v>
      </c>
      <c r="AO982" s="1">
        <v>90843370</v>
      </c>
      <c r="AP982" s="1">
        <v>36762135</v>
      </c>
      <c r="AQ982" s="1">
        <v>54081235</v>
      </c>
      <c r="AR982" s="1">
        <v>17179665</v>
      </c>
      <c r="AS982" s="1">
        <v>2576950</v>
      </c>
      <c r="AT982" s="3">
        <f t="shared" si="105"/>
        <v>110599985</v>
      </c>
    </row>
    <row r="983" spans="1:46" x14ac:dyDescent="0.2">
      <c r="A983" s="1" t="str">
        <f>"01275"</f>
        <v>01275</v>
      </c>
      <c r="B983" s="1" t="str">
        <f>"ماجد"</f>
        <v>ماجد</v>
      </c>
      <c r="C983" s="1" t="str">
        <f>"مجدميان سعدوني"</f>
        <v>مجدميان سعدوني</v>
      </c>
      <c r="D983" s="1" t="str">
        <f t="shared" ref="D983:D989" si="106">"قراردادي کارگري"</f>
        <v>قراردادي کارگري</v>
      </c>
      <c r="E983" s="1" t="str">
        <f t="shared" ref="E983:E1014" si="107">"پروژه تعميرات نيروگاه بوشهر"</f>
        <v>پروژه تعميرات نيروگاه بوشهر</v>
      </c>
      <c r="F983" s="1">
        <v>0</v>
      </c>
      <c r="G983" s="1">
        <v>7343423</v>
      </c>
      <c r="H983" s="1">
        <v>0</v>
      </c>
      <c r="I983" s="1">
        <v>4312105</v>
      </c>
      <c r="J983" s="1">
        <v>0</v>
      </c>
      <c r="K983" s="1">
        <v>0</v>
      </c>
      <c r="L983" s="1">
        <v>11572430</v>
      </c>
      <c r="M983" s="1">
        <v>2000000</v>
      </c>
      <c r="N983" s="1">
        <v>3832982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2640000</v>
      </c>
      <c r="U983" s="1">
        <v>0</v>
      </c>
      <c r="V983" s="1">
        <v>10262352</v>
      </c>
      <c r="W983" s="1">
        <v>4000000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53150134</v>
      </c>
      <c r="AP983" s="1">
        <v>6727072</v>
      </c>
      <c r="AQ983" s="1">
        <v>46423062</v>
      </c>
      <c r="AR983" s="1">
        <v>10630027</v>
      </c>
      <c r="AS983" s="1">
        <v>1594504</v>
      </c>
      <c r="AT983" s="3">
        <f t="shared" si="105"/>
        <v>65374665</v>
      </c>
    </row>
    <row r="984" spans="1:46" x14ac:dyDescent="0.2">
      <c r="A984" s="1" t="str">
        <f>"01276"</f>
        <v>01276</v>
      </c>
      <c r="B984" s="1" t="str">
        <f>"کاظم"</f>
        <v>کاظم</v>
      </c>
      <c r="C984" s="1" t="str">
        <f>"زارعي نيا"</f>
        <v>زارعي نيا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0</v>
      </c>
      <c r="G984" s="1">
        <v>6763516</v>
      </c>
      <c r="H984" s="1">
        <v>0</v>
      </c>
      <c r="I984" s="1">
        <v>3954167</v>
      </c>
      <c r="J984" s="1">
        <v>0</v>
      </c>
      <c r="K984" s="1">
        <v>0</v>
      </c>
      <c r="L984" s="1">
        <v>11572430</v>
      </c>
      <c r="M984" s="1">
        <v>2000000</v>
      </c>
      <c r="N984" s="1">
        <v>3514815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2640000</v>
      </c>
      <c r="U984" s="1">
        <v>0</v>
      </c>
      <c r="V984" s="1">
        <v>9867824</v>
      </c>
      <c r="W984" s="1">
        <v>4000000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3844753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54747782</v>
      </c>
      <c r="AP984" s="1">
        <v>7349449</v>
      </c>
      <c r="AQ984" s="1">
        <v>47398333</v>
      </c>
      <c r="AR984" s="1">
        <v>10949556</v>
      </c>
      <c r="AS984" s="1">
        <v>1642433</v>
      </c>
      <c r="AT984" s="3">
        <f t="shared" si="105"/>
        <v>67339771</v>
      </c>
    </row>
    <row r="985" spans="1:46" x14ac:dyDescent="0.2">
      <c r="A985" s="1" t="str">
        <f>"01277"</f>
        <v>01277</v>
      </c>
      <c r="B985" s="1" t="str">
        <f>"عبدالمجيد"</f>
        <v>عبدالمجيد</v>
      </c>
      <c r="C985" s="1" t="str">
        <f>"صادقي پور"</f>
        <v>صادقي پور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0</v>
      </c>
      <c r="G985" s="1">
        <v>8478780</v>
      </c>
      <c r="H985" s="1">
        <v>0</v>
      </c>
      <c r="I985" s="1">
        <v>5887034</v>
      </c>
      <c r="J985" s="1">
        <v>0</v>
      </c>
      <c r="K985" s="1">
        <v>0</v>
      </c>
      <c r="L985" s="1">
        <v>11572430</v>
      </c>
      <c r="M985" s="1">
        <v>2000000</v>
      </c>
      <c r="N985" s="1">
        <v>5232919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2640000</v>
      </c>
      <c r="U985" s="1">
        <v>0</v>
      </c>
      <c r="V985" s="1">
        <v>11998273</v>
      </c>
      <c r="W985" s="1">
        <v>4000000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1835427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63456586</v>
      </c>
      <c r="AP985" s="1">
        <v>16056451</v>
      </c>
      <c r="AQ985" s="1">
        <v>47400135</v>
      </c>
      <c r="AR985" s="1">
        <v>12324232</v>
      </c>
      <c r="AS985" s="1">
        <v>1848635</v>
      </c>
      <c r="AT985" s="3">
        <f t="shared" si="105"/>
        <v>77629453</v>
      </c>
    </row>
    <row r="986" spans="1:46" x14ac:dyDescent="0.2">
      <c r="A986" s="1" t="str">
        <f>"01278"</f>
        <v>01278</v>
      </c>
      <c r="B986" s="1" t="str">
        <f>"روح الله"</f>
        <v>روح الله</v>
      </c>
      <c r="C986" s="1" t="str">
        <f>"ونکي"</f>
        <v>ونکي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0</v>
      </c>
      <c r="G986" s="1">
        <v>8715301</v>
      </c>
      <c r="H986" s="1">
        <v>0</v>
      </c>
      <c r="I986" s="1">
        <v>5802814</v>
      </c>
      <c r="J986" s="1">
        <v>0</v>
      </c>
      <c r="K986" s="1">
        <v>0</v>
      </c>
      <c r="L986" s="1">
        <v>11572430</v>
      </c>
      <c r="M986" s="1">
        <v>2000000</v>
      </c>
      <c r="N986" s="1">
        <v>5158056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2640000</v>
      </c>
      <c r="U986" s="1">
        <v>0</v>
      </c>
      <c r="V986" s="1">
        <v>11905443</v>
      </c>
      <c r="W986" s="1">
        <v>4000000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1835427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63300826</v>
      </c>
      <c r="AP986" s="1">
        <v>8501203</v>
      </c>
      <c r="AQ986" s="1">
        <v>54799623</v>
      </c>
      <c r="AR986" s="1">
        <v>12293080</v>
      </c>
      <c r="AS986" s="1">
        <v>1843962</v>
      </c>
      <c r="AT986" s="3">
        <f t="shared" si="105"/>
        <v>77437868</v>
      </c>
    </row>
    <row r="987" spans="1:46" x14ac:dyDescent="0.2">
      <c r="A987" s="1" t="str">
        <f>"01279"</f>
        <v>01279</v>
      </c>
      <c r="B987" s="1" t="str">
        <f>"بهرام"</f>
        <v>بهرام</v>
      </c>
      <c r="C987" s="1" t="str">
        <f>"قائدي"</f>
        <v>قائدي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0</v>
      </c>
      <c r="G987" s="1">
        <v>11390176</v>
      </c>
      <c r="H987" s="1">
        <v>0</v>
      </c>
      <c r="I987" s="1">
        <v>4855330</v>
      </c>
      <c r="J987" s="1">
        <v>0</v>
      </c>
      <c r="K987" s="1">
        <v>0</v>
      </c>
      <c r="L987" s="1">
        <v>11521166</v>
      </c>
      <c r="M987" s="1">
        <v>2000000</v>
      </c>
      <c r="N987" s="1">
        <v>4315848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2640000</v>
      </c>
      <c r="U987" s="1">
        <v>0</v>
      </c>
      <c r="V987" s="1">
        <v>3498455</v>
      </c>
      <c r="W987" s="1">
        <v>4000000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52313190</v>
      </c>
      <c r="AP987" s="1">
        <v>6403889</v>
      </c>
      <c r="AQ987" s="1">
        <v>45909301</v>
      </c>
      <c r="AR987" s="1">
        <v>10462638</v>
      </c>
      <c r="AS987" s="1">
        <v>1569396</v>
      </c>
      <c r="AT987" s="3">
        <f t="shared" si="105"/>
        <v>64345224</v>
      </c>
    </row>
    <row r="988" spans="1:46" x14ac:dyDescent="0.2">
      <c r="A988" s="1" t="str">
        <f>"01280"</f>
        <v>01280</v>
      </c>
      <c r="B988" s="1" t="str">
        <f>"روح اله"</f>
        <v>روح اله</v>
      </c>
      <c r="C988" s="1" t="str">
        <f>"حقيقي"</f>
        <v>حقيقي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0</v>
      </c>
      <c r="G988" s="1">
        <v>7937555</v>
      </c>
      <c r="H988" s="1">
        <v>0</v>
      </c>
      <c r="I988" s="1">
        <v>3972976</v>
      </c>
      <c r="J988" s="1">
        <v>0</v>
      </c>
      <c r="K988" s="1">
        <v>0</v>
      </c>
      <c r="L988" s="1">
        <v>11521166</v>
      </c>
      <c r="M988" s="1">
        <v>2000000</v>
      </c>
      <c r="N988" s="1">
        <v>3473640</v>
      </c>
      <c r="O988" s="1">
        <v>0</v>
      </c>
      <c r="P988" s="1">
        <v>0</v>
      </c>
      <c r="Q988" s="1">
        <v>0</v>
      </c>
      <c r="R988" s="1">
        <v>22403</v>
      </c>
      <c r="S988" s="1">
        <v>0</v>
      </c>
      <c r="T988" s="1">
        <v>2640000</v>
      </c>
      <c r="U988" s="1">
        <v>0</v>
      </c>
      <c r="V988" s="1">
        <v>7603405</v>
      </c>
      <c r="W988" s="1">
        <v>4000000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49684220</v>
      </c>
      <c r="AP988" s="1">
        <v>7077312</v>
      </c>
      <c r="AQ988" s="1">
        <v>42606908</v>
      </c>
      <c r="AR988" s="1">
        <v>9932363</v>
      </c>
      <c r="AS988" s="1">
        <v>1489855</v>
      </c>
      <c r="AT988" s="3">
        <f t="shared" si="105"/>
        <v>61106438</v>
      </c>
    </row>
    <row r="989" spans="1:46" x14ac:dyDescent="0.2">
      <c r="A989" s="1" t="str">
        <f>"01281"</f>
        <v>01281</v>
      </c>
      <c r="B989" s="1" t="str">
        <f>"فرشيد"</f>
        <v>فرشيد</v>
      </c>
      <c r="C989" s="1" t="str">
        <f>"نگين تاجي"</f>
        <v>نگين تاجي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0</v>
      </c>
      <c r="G989" s="1">
        <v>5935868</v>
      </c>
      <c r="H989" s="1">
        <v>0</v>
      </c>
      <c r="I989" s="1">
        <v>3844680</v>
      </c>
      <c r="J989" s="1">
        <v>0</v>
      </c>
      <c r="K989" s="1">
        <v>0</v>
      </c>
      <c r="L989" s="1">
        <v>11521166</v>
      </c>
      <c r="M989" s="1">
        <v>2000000</v>
      </c>
      <c r="N989" s="1">
        <v>3417493</v>
      </c>
      <c r="O989" s="1">
        <v>0</v>
      </c>
      <c r="P989" s="1">
        <v>0</v>
      </c>
      <c r="Q989" s="1">
        <v>0</v>
      </c>
      <c r="R989" s="1">
        <v>575715</v>
      </c>
      <c r="S989" s="1">
        <v>0</v>
      </c>
      <c r="T989" s="1">
        <v>2640000</v>
      </c>
      <c r="U989" s="1">
        <v>0</v>
      </c>
      <c r="V989" s="1">
        <v>5964316</v>
      </c>
      <c r="W989" s="1">
        <v>4000000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46307037</v>
      </c>
      <c r="AP989" s="1">
        <v>8153263</v>
      </c>
      <c r="AQ989" s="1">
        <v>38153774</v>
      </c>
      <c r="AR989" s="1">
        <v>9146264</v>
      </c>
      <c r="AS989" s="1">
        <v>1371940</v>
      </c>
      <c r="AT989" s="3">
        <f t="shared" si="105"/>
        <v>56825241</v>
      </c>
    </row>
    <row r="990" spans="1:46" x14ac:dyDescent="0.2">
      <c r="A990" s="1" t="str">
        <f>"01282"</f>
        <v>01282</v>
      </c>
      <c r="B990" s="1" t="str">
        <f>"محمدرضا"</f>
        <v>محمدرضا</v>
      </c>
      <c r="C990" s="1" t="str">
        <f>"ارجمند"</f>
        <v>ارجمند</v>
      </c>
      <c r="D990" s="1" t="str">
        <f t="shared" ref="D990:D1021" si="108">"قراردادي بهره بردار"</f>
        <v>قراردادي بهره بردار</v>
      </c>
      <c r="E990" s="1" t="str">
        <f t="shared" si="107"/>
        <v>پروژه تعميرات نيروگاه بوشهر</v>
      </c>
      <c r="F990" s="1">
        <v>14226299</v>
      </c>
      <c r="G990" s="1">
        <v>3944975</v>
      </c>
      <c r="H990" s="1">
        <v>0</v>
      </c>
      <c r="I990" s="1">
        <v>10463588</v>
      </c>
      <c r="J990" s="1">
        <v>0</v>
      </c>
      <c r="K990" s="1">
        <v>4620000</v>
      </c>
      <c r="L990" s="1">
        <v>0</v>
      </c>
      <c r="M990" s="1">
        <v>1000000</v>
      </c>
      <c r="N990" s="1">
        <v>2356019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3909505</v>
      </c>
      <c r="W990" s="1">
        <v>4000000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1851157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10197991</v>
      </c>
      <c r="AM990" s="1">
        <v>0</v>
      </c>
      <c r="AN990" s="1">
        <v>0</v>
      </c>
      <c r="AO990" s="1">
        <v>56569534</v>
      </c>
      <c r="AP990" s="1">
        <v>23057582</v>
      </c>
      <c r="AQ990" s="1">
        <v>33511952</v>
      </c>
      <c r="AR990" s="1">
        <v>11313907</v>
      </c>
      <c r="AS990" s="1">
        <v>1697086</v>
      </c>
      <c r="AT990" s="3">
        <f t="shared" si="105"/>
        <v>69580527</v>
      </c>
    </row>
    <row r="991" spans="1:46" x14ac:dyDescent="0.2">
      <c r="A991" s="1" t="str">
        <f>"01283"</f>
        <v>01283</v>
      </c>
      <c r="B991" s="1" t="str">
        <f>"داوود"</f>
        <v>داوود</v>
      </c>
      <c r="C991" s="1" t="str">
        <f>"اسدي زاده قره جلو"</f>
        <v>اسدي زاده قره جلو</v>
      </c>
      <c r="D991" s="1" t="str">
        <f t="shared" si="108"/>
        <v>قراردادي بهره بردار</v>
      </c>
      <c r="E991" s="1" t="str">
        <f t="shared" si="107"/>
        <v>پروژه تعميرات نيروگاه بوشهر</v>
      </c>
      <c r="F991" s="1">
        <v>13299209</v>
      </c>
      <c r="G991" s="1">
        <v>39724479</v>
      </c>
      <c r="H991" s="1">
        <v>0</v>
      </c>
      <c r="I991" s="1">
        <v>8991704</v>
      </c>
      <c r="J991" s="1">
        <v>0</v>
      </c>
      <c r="K991" s="1">
        <v>4620000</v>
      </c>
      <c r="L991" s="1">
        <v>0</v>
      </c>
      <c r="M991" s="1">
        <v>1000000</v>
      </c>
      <c r="N991" s="1">
        <v>2163798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3411834</v>
      </c>
      <c r="W991" s="1">
        <v>4000000</v>
      </c>
      <c r="X991" s="1">
        <v>1930530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1700127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7963503</v>
      </c>
      <c r="AM991" s="1">
        <v>0</v>
      </c>
      <c r="AN991" s="1">
        <v>0</v>
      </c>
      <c r="AO991" s="1">
        <v>88805184</v>
      </c>
      <c r="AP991" s="1">
        <v>18564848</v>
      </c>
      <c r="AQ991" s="1">
        <v>70240336</v>
      </c>
      <c r="AR991" s="1">
        <v>17693940</v>
      </c>
      <c r="AS991" s="1">
        <v>2654091</v>
      </c>
      <c r="AT991" s="3">
        <f t="shared" si="105"/>
        <v>109153215</v>
      </c>
    </row>
    <row r="992" spans="1:46" x14ac:dyDescent="0.2">
      <c r="A992" s="1" t="str">
        <f>"01284"</f>
        <v>01284</v>
      </c>
      <c r="B992" s="1" t="str">
        <f>"جاسم"</f>
        <v>جاسم</v>
      </c>
      <c r="C992" s="1" t="str">
        <f>"اسکندري"</f>
        <v>اسکندري</v>
      </c>
      <c r="D992" s="1" t="str">
        <f t="shared" si="108"/>
        <v>قراردادي بهره بردار</v>
      </c>
      <c r="E992" s="1" t="str">
        <f t="shared" si="107"/>
        <v>پروژه تعميرات نيروگاه بوشهر</v>
      </c>
      <c r="F992" s="1">
        <v>17964891</v>
      </c>
      <c r="G992" s="1">
        <v>5208630</v>
      </c>
      <c r="H992" s="1">
        <v>0</v>
      </c>
      <c r="I992" s="1">
        <v>11997250</v>
      </c>
      <c r="J992" s="1">
        <v>0</v>
      </c>
      <c r="K992" s="1">
        <v>4125000</v>
      </c>
      <c r="L992" s="1">
        <v>0</v>
      </c>
      <c r="M992" s="1">
        <v>1000000</v>
      </c>
      <c r="N992" s="1">
        <v>2650521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4193962</v>
      </c>
      <c r="W992" s="1">
        <v>4000000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2082552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7244403</v>
      </c>
      <c r="AM992" s="1">
        <v>0</v>
      </c>
      <c r="AN992" s="1">
        <v>0</v>
      </c>
      <c r="AO992" s="1">
        <v>60467209</v>
      </c>
      <c r="AP992" s="1">
        <v>21131817</v>
      </c>
      <c r="AQ992" s="1">
        <v>39335392</v>
      </c>
      <c r="AR992" s="1">
        <v>12093442</v>
      </c>
      <c r="AS992" s="1">
        <v>1814016</v>
      </c>
      <c r="AT992" s="3">
        <f t="shared" si="105"/>
        <v>74374667</v>
      </c>
    </row>
    <row r="993" spans="1:46" x14ac:dyDescent="0.2">
      <c r="A993" s="1" t="str">
        <f>"01285"</f>
        <v>01285</v>
      </c>
      <c r="B993" s="1" t="str">
        <f>"مجتبي"</f>
        <v>مجتبي</v>
      </c>
      <c r="C993" s="1" t="str">
        <f>"اعتمادي"</f>
        <v>اعتمادي</v>
      </c>
      <c r="D993" s="1" t="str">
        <f t="shared" si="108"/>
        <v>قراردادي بهره بردار</v>
      </c>
      <c r="E993" s="1" t="str">
        <f t="shared" si="107"/>
        <v>پروژه تعميرات نيروگاه بوشهر</v>
      </c>
      <c r="F993" s="1">
        <v>14362339</v>
      </c>
      <c r="G993" s="1">
        <v>589041</v>
      </c>
      <c r="H993" s="1">
        <v>0</v>
      </c>
      <c r="I993" s="1">
        <v>10685138</v>
      </c>
      <c r="J993" s="1">
        <v>0</v>
      </c>
      <c r="K993" s="1">
        <v>4620000</v>
      </c>
      <c r="L993" s="1">
        <v>0</v>
      </c>
      <c r="M993" s="1">
        <v>1000000</v>
      </c>
      <c r="N993" s="1">
        <v>2403633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3794342</v>
      </c>
      <c r="W993" s="1">
        <v>4000000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1888569</v>
      </c>
      <c r="AF993" s="1">
        <v>3670854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8603749</v>
      </c>
      <c r="AM993" s="1">
        <v>0</v>
      </c>
      <c r="AN993" s="1">
        <v>0</v>
      </c>
      <c r="AO993" s="1">
        <v>55617665</v>
      </c>
      <c r="AP993" s="1">
        <v>25629695</v>
      </c>
      <c r="AQ993" s="1">
        <v>29987970</v>
      </c>
      <c r="AR993" s="1">
        <v>10389362</v>
      </c>
      <c r="AS993" s="1">
        <v>1558404</v>
      </c>
      <c r="AT993" s="3">
        <f t="shared" si="105"/>
        <v>67565431</v>
      </c>
    </row>
    <row r="994" spans="1:46" x14ac:dyDescent="0.2">
      <c r="A994" s="1" t="str">
        <f>"01288"</f>
        <v>01288</v>
      </c>
      <c r="B994" s="1" t="str">
        <f>"مهدي"</f>
        <v>مهدي</v>
      </c>
      <c r="C994" s="1" t="str">
        <f>"انصاري جابري"</f>
        <v>انصاري جابري</v>
      </c>
      <c r="D994" s="1" t="str">
        <f t="shared" si="108"/>
        <v>قراردادي بهره بردار</v>
      </c>
      <c r="E994" s="1" t="str">
        <f t="shared" si="107"/>
        <v>پروژه تعميرات نيروگاه بوشهر</v>
      </c>
      <c r="F994" s="1">
        <v>18521649</v>
      </c>
      <c r="G994" s="1">
        <v>4179871</v>
      </c>
      <c r="H994" s="1">
        <v>0</v>
      </c>
      <c r="I994" s="1">
        <v>12900842</v>
      </c>
      <c r="J994" s="1">
        <v>0</v>
      </c>
      <c r="K994" s="1">
        <v>5500000</v>
      </c>
      <c r="L994" s="1">
        <v>0</v>
      </c>
      <c r="M994" s="1">
        <v>1000000</v>
      </c>
      <c r="N994" s="1">
        <v>2845386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4487480</v>
      </c>
      <c r="W994" s="1">
        <v>4000000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2235660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8371271</v>
      </c>
      <c r="AM994" s="1">
        <v>0</v>
      </c>
      <c r="AN994" s="1">
        <v>0</v>
      </c>
      <c r="AO994" s="1">
        <v>64042159</v>
      </c>
      <c r="AP994" s="1">
        <v>10826071</v>
      </c>
      <c r="AQ994" s="1">
        <v>53216088</v>
      </c>
      <c r="AR994" s="1">
        <v>12808432</v>
      </c>
      <c r="AS994" s="1">
        <v>1921265</v>
      </c>
      <c r="AT994" s="3">
        <f t="shared" si="105"/>
        <v>78771856</v>
      </c>
    </row>
    <row r="995" spans="1:46" x14ac:dyDescent="0.2">
      <c r="A995" s="1" t="str">
        <f>"01289"</f>
        <v>01289</v>
      </c>
      <c r="B995" s="1" t="str">
        <f>"احسان"</f>
        <v>احسان</v>
      </c>
      <c r="C995" s="1" t="str">
        <f>"اوستاد"</f>
        <v>اوستاد</v>
      </c>
      <c r="D995" s="1" t="str">
        <f t="shared" si="108"/>
        <v>قراردادي بهره بردار</v>
      </c>
      <c r="E995" s="1" t="str">
        <f t="shared" si="107"/>
        <v>پروژه تعميرات نيروگاه بوشهر</v>
      </c>
      <c r="F995" s="1">
        <v>18874346</v>
      </c>
      <c r="G995" s="1">
        <v>3920999</v>
      </c>
      <c r="H995" s="1">
        <v>0</v>
      </c>
      <c r="I995" s="1">
        <v>13261980</v>
      </c>
      <c r="J995" s="1">
        <v>0</v>
      </c>
      <c r="K995" s="1">
        <v>5500000</v>
      </c>
      <c r="L995" s="1">
        <v>0</v>
      </c>
      <c r="M995" s="1">
        <v>1000000</v>
      </c>
      <c r="N995" s="1">
        <v>2968830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4592245</v>
      </c>
      <c r="W995" s="1">
        <v>4000000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2332652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8484638</v>
      </c>
      <c r="AM995" s="1">
        <v>0</v>
      </c>
      <c r="AN995" s="1">
        <v>0</v>
      </c>
      <c r="AO995" s="1">
        <v>64935690</v>
      </c>
      <c r="AP995" s="1">
        <v>23860168</v>
      </c>
      <c r="AQ995" s="1">
        <v>41075522</v>
      </c>
      <c r="AR995" s="1">
        <v>12987138</v>
      </c>
      <c r="AS995" s="1">
        <v>1948071</v>
      </c>
      <c r="AT995" s="3">
        <f t="shared" si="105"/>
        <v>79870899</v>
      </c>
    </row>
    <row r="996" spans="1:46" x14ac:dyDescent="0.2">
      <c r="A996" s="1" t="str">
        <f>"01290"</f>
        <v>01290</v>
      </c>
      <c r="B996" s="1" t="str">
        <f>"مرتضي"</f>
        <v>مرتضي</v>
      </c>
      <c r="C996" s="1" t="str">
        <f>"اوشال"</f>
        <v>اوشال</v>
      </c>
      <c r="D996" s="1" t="str">
        <f t="shared" si="108"/>
        <v>قراردادي بهره بردار</v>
      </c>
      <c r="E996" s="1" t="str">
        <f t="shared" si="107"/>
        <v>پروژه تعميرات نيروگاه بوشهر</v>
      </c>
      <c r="F996" s="1">
        <v>13193400</v>
      </c>
      <c r="G996" s="1">
        <v>39390285</v>
      </c>
      <c r="H996" s="1">
        <v>0</v>
      </c>
      <c r="I996" s="1">
        <v>8911681</v>
      </c>
      <c r="J996" s="1">
        <v>0</v>
      </c>
      <c r="K996" s="1">
        <v>3465000</v>
      </c>
      <c r="L996" s="1">
        <v>0</v>
      </c>
      <c r="M996" s="1">
        <v>1000000</v>
      </c>
      <c r="N996" s="1">
        <v>2126765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3383131</v>
      </c>
      <c r="W996" s="1">
        <v>4000000</v>
      </c>
      <c r="X996" s="1">
        <v>1915171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1671029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7928435</v>
      </c>
      <c r="AM996" s="1">
        <v>0</v>
      </c>
      <c r="AN996" s="1">
        <v>0</v>
      </c>
      <c r="AO996" s="1">
        <v>86984897</v>
      </c>
      <c r="AP996" s="1">
        <v>20884872</v>
      </c>
      <c r="AQ996" s="1">
        <v>66100025</v>
      </c>
      <c r="AR996" s="1">
        <v>17338683</v>
      </c>
      <c r="AS996" s="1">
        <v>2600802</v>
      </c>
      <c r="AT996" s="3">
        <f t="shared" si="105"/>
        <v>106924382</v>
      </c>
    </row>
    <row r="997" spans="1:46" x14ac:dyDescent="0.2">
      <c r="A997" s="1" t="str">
        <f>"01291"</f>
        <v>01291</v>
      </c>
      <c r="B997" s="1" t="str">
        <f>"منصور"</f>
        <v>منصور</v>
      </c>
      <c r="C997" s="1" t="str">
        <f>"ايزدپناه"</f>
        <v>ايزدپناه</v>
      </c>
      <c r="D997" s="1" t="str">
        <f t="shared" si="108"/>
        <v>قراردادي بهره بردار</v>
      </c>
      <c r="E997" s="1" t="str">
        <f t="shared" si="107"/>
        <v>پروژه تعميرات نيروگاه بوشهر</v>
      </c>
      <c r="F997" s="1">
        <v>14483264</v>
      </c>
      <c r="G997" s="1">
        <v>4296956</v>
      </c>
      <c r="H997" s="1">
        <v>0</v>
      </c>
      <c r="I997" s="1">
        <v>10961111</v>
      </c>
      <c r="J997" s="1">
        <v>0</v>
      </c>
      <c r="K997" s="1">
        <v>4620000</v>
      </c>
      <c r="L997" s="1">
        <v>0</v>
      </c>
      <c r="M997" s="1">
        <v>1000000</v>
      </c>
      <c r="N997" s="1">
        <v>2445956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3954156</v>
      </c>
      <c r="W997" s="1">
        <v>4000000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1921822</v>
      </c>
      <c r="AF997" s="1">
        <v>1835427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9729408</v>
      </c>
      <c r="AM997" s="1">
        <v>0</v>
      </c>
      <c r="AN997" s="1">
        <v>0</v>
      </c>
      <c r="AO997" s="1">
        <v>59248100</v>
      </c>
      <c r="AP997" s="1">
        <v>6141808</v>
      </c>
      <c r="AQ997" s="1">
        <v>53106292</v>
      </c>
      <c r="AR997" s="1">
        <v>11482535</v>
      </c>
      <c r="AS997" s="1">
        <v>1722380</v>
      </c>
      <c r="AT997" s="3">
        <f t="shared" si="105"/>
        <v>72453015</v>
      </c>
    </row>
    <row r="998" spans="1:46" x14ac:dyDescent="0.2">
      <c r="A998" s="1" t="str">
        <f>"01292"</f>
        <v>01292</v>
      </c>
      <c r="B998" s="1" t="str">
        <f>"عباس"</f>
        <v>عباس</v>
      </c>
      <c r="C998" s="1" t="str">
        <f>"ايمان منش"</f>
        <v>ايمان منش</v>
      </c>
      <c r="D998" s="1" t="str">
        <f t="shared" si="108"/>
        <v>قراردادي بهره بردار</v>
      </c>
      <c r="E998" s="1" t="str">
        <f t="shared" si="107"/>
        <v>پروژه تعميرات نيروگاه بوشهر</v>
      </c>
      <c r="F998" s="1">
        <v>13313918</v>
      </c>
      <c r="G998" s="1">
        <v>0</v>
      </c>
      <c r="H998" s="1">
        <v>0</v>
      </c>
      <c r="I998" s="1">
        <v>7217057</v>
      </c>
      <c r="J998" s="1">
        <v>0</v>
      </c>
      <c r="K998" s="1">
        <v>3353226</v>
      </c>
      <c r="L998" s="1">
        <v>0</v>
      </c>
      <c r="M998" s="1">
        <v>967742</v>
      </c>
      <c r="N998" s="1">
        <v>2407159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3039628</v>
      </c>
      <c r="W998" s="1">
        <v>3870968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1891339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5566807</v>
      </c>
      <c r="AM998" s="1">
        <v>0</v>
      </c>
      <c r="AN998" s="1">
        <v>0</v>
      </c>
      <c r="AO998" s="1">
        <v>41627844</v>
      </c>
      <c r="AP998" s="1">
        <v>30491640</v>
      </c>
      <c r="AQ998" s="1">
        <v>11136204</v>
      </c>
      <c r="AR998" s="1">
        <v>8325569</v>
      </c>
      <c r="AS998" s="1">
        <v>1248835</v>
      </c>
      <c r="AT998" s="3">
        <f t="shared" si="105"/>
        <v>51202248</v>
      </c>
    </row>
    <row r="999" spans="1:46" x14ac:dyDescent="0.2">
      <c r="A999" s="1" t="str">
        <f>"01294"</f>
        <v>01294</v>
      </c>
      <c r="B999" s="1" t="str">
        <f>"حسين"</f>
        <v>حسين</v>
      </c>
      <c r="C999" s="1" t="str">
        <f>"باغباني"</f>
        <v>باغباني</v>
      </c>
      <c r="D999" s="1" t="str">
        <f t="shared" si="108"/>
        <v>قراردادي بهره بردار</v>
      </c>
      <c r="E999" s="1" t="str">
        <f t="shared" si="107"/>
        <v>پروژه تعميرات نيروگاه بوشهر</v>
      </c>
      <c r="F999" s="1">
        <v>12432581</v>
      </c>
      <c r="G999" s="1">
        <v>8822896</v>
      </c>
      <c r="H999" s="1">
        <v>0</v>
      </c>
      <c r="I999" s="1">
        <v>6645127</v>
      </c>
      <c r="J999" s="1">
        <v>0</v>
      </c>
      <c r="K999" s="1">
        <v>3465000</v>
      </c>
      <c r="L999" s="1">
        <v>0</v>
      </c>
      <c r="M999" s="1">
        <v>1000000</v>
      </c>
      <c r="N999" s="1">
        <v>2155863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3247612</v>
      </c>
      <c r="W999" s="1">
        <v>4000000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1693892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9548651</v>
      </c>
      <c r="AM999" s="1">
        <v>0</v>
      </c>
      <c r="AN999" s="1">
        <v>0</v>
      </c>
      <c r="AO999" s="1">
        <v>53011622</v>
      </c>
      <c r="AP999" s="1">
        <v>16673918</v>
      </c>
      <c r="AQ999" s="1">
        <v>36337704</v>
      </c>
      <c r="AR999" s="1">
        <v>10602324</v>
      </c>
      <c r="AS999" s="1">
        <v>1590349</v>
      </c>
      <c r="AT999" s="3">
        <f t="shared" si="105"/>
        <v>65204295</v>
      </c>
    </row>
    <row r="1000" spans="1:46" x14ac:dyDescent="0.2">
      <c r="A1000" s="1" t="str">
        <f>"01295"</f>
        <v>01295</v>
      </c>
      <c r="B1000" s="1" t="str">
        <f>"مهدي"</f>
        <v>مهدي</v>
      </c>
      <c r="C1000" s="1" t="str">
        <f>"برمک"</f>
        <v>برمک</v>
      </c>
      <c r="D1000" s="1" t="str">
        <f t="shared" si="108"/>
        <v>قراردادي بهره بردار</v>
      </c>
      <c r="E1000" s="1" t="str">
        <f t="shared" si="107"/>
        <v>پروژه تعميرات نيروگاه بوشهر</v>
      </c>
      <c r="F1000" s="1">
        <v>13359671</v>
      </c>
      <c r="G1000" s="1">
        <v>3317709</v>
      </c>
      <c r="H1000" s="1">
        <v>0</v>
      </c>
      <c r="I1000" s="1">
        <v>9373406</v>
      </c>
      <c r="J1000" s="1">
        <v>0</v>
      </c>
      <c r="K1000" s="1">
        <v>4620000</v>
      </c>
      <c r="L1000" s="1">
        <v>0</v>
      </c>
      <c r="M1000" s="1">
        <v>1000000</v>
      </c>
      <c r="N1000" s="1">
        <v>2184960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3561870</v>
      </c>
      <c r="W1000" s="1">
        <v>4000000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1716754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8983906</v>
      </c>
      <c r="AM1000" s="1">
        <v>0</v>
      </c>
      <c r="AN1000" s="1">
        <v>0</v>
      </c>
      <c r="AO1000" s="1">
        <v>52118276</v>
      </c>
      <c r="AP1000" s="1">
        <v>7901263</v>
      </c>
      <c r="AQ1000" s="1">
        <v>44217013</v>
      </c>
      <c r="AR1000" s="1">
        <v>10423655</v>
      </c>
      <c r="AS1000" s="1">
        <v>1563548</v>
      </c>
      <c r="AT1000" s="3">
        <f t="shared" si="105"/>
        <v>64105479</v>
      </c>
    </row>
    <row r="1001" spans="1:46" x14ac:dyDescent="0.2">
      <c r="A1001" s="1" t="str">
        <f>"01297"</f>
        <v>01297</v>
      </c>
      <c r="B1001" s="1" t="str">
        <f>"مهدي"</f>
        <v>مهدي</v>
      </c>
      <c r="C1001" s="1" t="str">
        <f>"بيژني"</f>
        <v>بيژني</v>
      </c>
      <c r="D1001" s="1" t="str">
        <f t="shared" si="108"/>
        <v>قراردادي بهره بردار</v>
      </c>
      <c r="E1001" s="1" t="str">
        <f t="shared" si="107"/>
        <v>پروژه تعميرات نيروگاه بوشهر</v>
      </c>
      <c r="F1001" s="1">
        <v>13430211</v>
      </c>
      <c r="G1001" s="1">
        <v>30592088</v>
      </c>
      <c r="H1001" s="1">
        <v>0</v>
      </c>
      <c r="I1001" s="1">
        <v>8801965</v>
      </c>
      <c r="J1001" s="1">
        <v>0</v>
      </c>
      <c r="K1001" s="1">
        <v>4620000</v>
      </c>
      <c r="L1001" s="1">
        <v>0</v>
      </c>
      <c r="M1001" s="1">
        <v>1000000</v>
      </c>
      <c r="N1001" s="1">
        <v>2209649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3368559</v>
      </c>
      <c r="W1001" s="1">
        <v>4000000</v>
      </c>
      <c r="X1001" s="1">
        <v>1949547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1736153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7507616</v>
      </c>
      <c r="AM1001" s="1">
        <v>0</v>
      </c>
      <c r="AN1001" s="1">
        <v>0</v>
      </c>
      <c r="AO1001" s="1">
        <v>79215788</v>
      </c>
      <c r="AP1001" s="1">
        <v>9662173</v>
      </c>
      <c r="AQ1001" s="1">
        <v>69553615</v>
      </c>
      <c r="AR1001" s="1">
        <v>15843158</v>
      </c>
      <c r="AS1001" s="1">
        <v>2376474</v>
      </c>
      <c r="AT1001" s="3">
        <f t="shared" si="105"/>
        <v>97435420</v>
      </c>
    </row>
    <row r="1002" spans="1:46" x14ac:dyDescent="0.2">
      <c r="A1002" s="1" t="str">
        <f>"01298"</f>
        <v>01298</v>
      </c>
      <c r="B1002" s="1" t="str">
        <f>"کريم"</f>
        <v>کريم</v>
      </c>
      <c r="C1002" s="1" t="str">
        <f>"پرتابيان"</f>
        <v>پرتابيان</v>
      </c>
      <c r="D1002" s="1" t="str">
        <f t="shared" si="108"/>
        <v>قراردادي بهره بردار</v>
      </c>
      <c r="E1002" s="1" t="str">
        <f t="shared" si="107"/>
        <v>پروژه تعميرات نيروگاه بوشهر</v>
      </c>
      <c r="F1002" s="1">
        <v>12868414</v>
      </c>
      <c r="G1002" s="1">
        <v>0</v>
      </c>
      <c r="H1002" s="1">
        <v>0</v>
      </c>
      <c r="I1002" s="1">
        <v>7512980</v>
      </c>
      <c r="J1002" s="1">
        <v>0</v>
      </c>
      <c r="K1002" s="1">
        <v>4620000</v>
      </c>
      <c r="L1002" s="1">
        <v>0</v>
      </c>
      <c r="M1002" s="1">
        <v>1000000</v>
      </c>
      <c r="N1002" s="1">
        <v>2013020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3004045</v>
      </c>
      <c r="W1002" s="1">
        <v>4000000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1581658</v>
      </c>
      <c r="AF1002" s="1">
        <v>1835427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6064379</v>
      </c>
      <c r="AM1002" s="1">
        <v>0</v>
      </c>
      <c r="AN1002" s="1">
        <v>0</v>
      </c>
      <c r="AO1002" s="1">
        <v>44499923</v>
      </c>
      <c r="AP1002" s="1">
        <v>18729188</v>
      </c>
      <c r="AQ1002" s="1">
        <v>25770735</v>
      </c>
      <c r="AR1002" s="1">
        <v>8532899</v>
      </c>
      <c r="AS1002" s="1">
        <v>1279935</v>
      </c>
      <c r="AT1002" s="3">
        <f t="shared" si="105"/>
        <v>54312757</v>
      </c>
    </row>
    <row r="1003" spans="1:46" x14ac:dyDescent="0.2">
      <c r="A1003" s="1" t="str">
        <f>"01299"</f>
        <v>01299</v>
      </c>
      <c r="B1003" s="1" t="str">
        <f>"عارف"</f>
        <v>عارف</v>
      </c>
      <c r="C1003" s="1" t="str">
        <f>"پورسوسن"</f>
        <v>پورسوسن</v>
      </c>
      <c r="D1003" s="1" t="str">
        <f t="shared" si="108"/>
        <v>قراردادي بهره بردار</v>
      </c>
      <c r="E1003" s="1" t="str">
        <f t="shared" si="107"/>
        <v>پروژه تعميرات نيروگاه بوشهر</v>
      </c>
      <c r="F1003" s="1">
        <v>12467851</v>
      </c>
      <c r="G1003" s="1">
        <v>6937465</v>
      </c>
      <c r="H1003" s="1">
        <v>0</v>
      </c>
      <c r="I1003" s="1">
        <v>6670231</v>
      </c>
      <c r="J1003" s="1">
        <v>0</v>
      </c>
      <c r="K1003" s="1">
        <v>4620000</v>
      </c>
      <c r="L1003" s="1">
        <v>0</v>
      </c>
      <c r="M1003" s="1">
        <v>1000000</v>
      </c>
      <c r="N1003" s="1">
        <v>2168207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2883102</v>
      </c>
      <c r="W1003" s="1">
        <v>4000000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1703592</v>
      </c>
      <c r="AF1003" s="1">
        <v>0</v>
      </c>
      <c r="AG1003" s="1">
        <v>0</v>
      </c>
      <c r="AH1003" s="1">
        <v>0</v>
      </c>
      <c r="AI1003" s="1">
        <v>5000000</v>
      </c>
      <c r="AJ1003" s="1">
        <v>0</v>
      </c>
      <c r="AK1003" s="1">
        <v>0</v>
      </c>
      <c r="AL1003" s="1">
        <v>5821144</v>
      </c>
      <c r="AM1003" s="1">
        <v>0</v>
      </c>
      <c r="AN1003" s="1">
        <v>0</v>
      </c>
      <c r="AO1003" s="1">
        <v>53271592</v>
      </c>
      <c r="AP1003" s="1">
        <v>11674240</v>
      </c>
      <c r="AQ1003" s="1">
        <v>41597352</v>
      </c>
      <c r="AR1003" s="1">
        <v>9654318</v>
      </c>
      <c r="AS1003" s="1">
        <v>1448148</v>
      </c>
      <c r="AT1003" s="3">
        <f t="shared" si="105"/>
        <v>64374058</v>
      </c>
    </row>
    <row r="1004" spans="1:46" x14ac:dyDescent="0.2">
      <c r="A1004" s="1" t="str">
        <f>"01300"</f>
        <v>01300</v>
      </c>
      <c r="B1004" s="1" t="str">
        <f>"محمدجواد"</f>
        <v>محمدجواد</v>
      </c>
      <c r="C1004" s="1" t="str">
        <f>"پولادي"</f>
        <v>پولادي</v>
      </c>
      <c r="D1004" s="1" t="str">
        <f t="shared" si="108"/>
        <v>قراردادي بهره بردار</v>
      </c>
      <c r="E1004" s="1" t="str">
        <f t="shared" si="107"/>
        <v>پروژه تعميرات نيروگاه بوشهر</v>
      </c>
      <c r="F1004" s="1">
        <v>19778763</v>
      </c>
      <c r="G1004" s="1">
        <v>4449133</v>
      </c>
      <c r="H1004" s="1">
        <v>0</v>
      </c>
      <c r="I1004" s="1">
        <v>13954315</v>
      </c>
      <c r="J1004" s="1">
        <v>0</v>
      </c>
      <c r="K1004" s="1">
        <v>5500000</v>
      </c>
      <c r="L1004" s="1">
        <v>0</v>
      </c>
      <c r="M1004" s="1">
        <v>1000000</v>
      </c>
      <c r="N1004" s="1">
        <v>3060531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4776559</v>
      </c>
      <c r="W1004" s="1">
        <v>4000000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2404703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8567271</v>
      </c>
      <c r="AM1004" s="1">
        <v>0</v>
      </c>
      <c r="AN1004" s="1">
        <v>0</v>
      </c>
      <c r="AO1004" s="1">
        <v>67491275</v>
      </c>
      <c r="AP1004" s="1">
        <v>9588278</v>
      </c>
      <c r="AQ1004" s="1">
        <v>57902997</v>
      </c>
      <c r="AR1004" s="1">
        <v>13498255</v>
      </c>
      <c r="AS1004" s="1">
        <v>2024738</v>
      </c>
      <c r="AT1004" s="3">
        <f t="shared" si="105"/>
        <v>83014268</v>
      </c>
    </row>
    <row r="1005" spans="1:46" x14ac:dyDescent="0.2">
      <c r="A1005" s="1" t="str">
        <f>"01301"</f>
        <v>01301</v>
      </c>
      <c r="B1005" s="1" t="str">
        <f>"حامد"</f>
        <v>حامد</v>
      </c>
      <c r="C1005" s="1" t="str">
        <f>"تاروردي چماچايي"</f>
        <v>تاروردي چماچايي</v>
      </c>
      <c r="D1005" s="1" t="str">
        <f t="shared" si="108"/>
        <v>قراردادي بهره بردار</v>
      </c>
      <c r="E1005" s="1" t="str">
        <f t="shared" si="107"/>
        <v>پروژه تعميرات نيروگاه بوشهر</v>
      </c>
      <c r="F1005" s="1">
        <v>20970376</v>
      </c>
      <c r="G1005" s="1">
        <v>3134834</v>
      </c>
      <c r="H1005" s="1">
        <v>0</v>
      </c>
      <c r="I1005" s="1">
        <v>15039067</v>
      </c>
      <c r="J1005" s="1">
        <v>0</v>
      </c>
      <c r="K1005" s="1">
        <v>4125000</v>
      </c>
      <c r="L1005" s="1">
        <v>0</v>
      </c>
      <c r="M1005" s="1">
        <v>1000000</v>
      </c>
      <c r="N1005" s="1">
        <v>3477596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5048304</v>
      </c>
      <c r="W1005" s="1">
        <v>4000000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2732397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8263598</v>
      </c>
      <c r="AM1005" s="1">
        <v>0</v>
      </c>
      <c r="AN1005" s="1">
        <v>0</v>
      </c>
      <c r="AO1005" s="1">
        <v>67791172</v>
      </c>
      <c r="AP1005" s="1">
        <v>12902529</v>
      </c>
      <c r="AQ1005" s="1">
        <v>54888643</v>
      </c>
      <c r="AR1005" s="1">
        <v>13558234</v>
      </c>
      <c r="AS1005" s="1">
        <v>2033735</v>
      </c>
      <c r="AT1005" s="3">
        <f t="shared" si="105"/>
        <v>83383141</v>
      </c>
    </row>
    <row r="1006" spans="1:46" x14ac:dyDescent="0.2">
      <c r="A1006" s="1" t="str">
        <f>"01303"</f>
        <v>01303</v>
      </c>
      <c r="B1006" s="1" t="str">
        <f>"رضا"</f>
        <v>رضا</v>
      </c>
      <c r="C1006" s="1" t="str">
        <f>"تيموري"</f>
        <v>تيموري</v>
      </c>
      <c r="D1006" s="1" t="str">
        <f t="shared" si="108"/>
        <v>قراردادي بهره بردار</v>
      </c>
      <c r="E1006" s="1" t="str">
        <f t="shared" si="107"/>
        <v>پروژه تعميرات نيروگاه بوشهر</v>
      </c>
      <c r="F1006" s="1">
        <v>18755940</v>
      </c>
      <c r="G1006" s="1">
        <v>69971282</v>
      </c>
      <c r="H1006" s="1">
        <v>0</v>
      </c>
      <c r="I1006" s="1">
        <v>11757329</v>
      </c>
      <c r="J1006" s="1">
        <v>0</v>
      </c>
      <c r="K1006" s="1">
        <v>5500000</v>
      </c>
      <c r="L1006" s="1">
        <v>0</v>
      </c>
      <c r="M1006" s="1">
        <v>1000000</v>
      </c>
      <c r="N1006" s="1">
        <v>2927388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4333886</v>
      </c>
      <c r="W1006" s="1">
        <v>4000000</v>
      </c>
      <c r="X1006" s="1">
        <v>2722637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2300090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7598108</v>
      </c>
      <c r="AM1006" s="1">
        <v>0</v>
      </c>
      <c r="AN1006" s="1">
        <v>0</v>
      </c>
      <c r="AO1006" s="1">
        <v>130866660</v>
      </c>
      <c r="AP1006" s="1">
        <v>42168155</v>
      </c>
      <c r="AQ1006" s="1">
        <v>88698505</v>
      </c>
      <c r="AR1006" s="1">
        <v>21861530</v>
      </c>
      <c r="AS1006" s="1">
        <v>3279230</v>
      </c>
      <c r="AT1006" s="3">
        <f t="shared" si="105"/>
        <v>156007420</v>
      </c>
    </row>
    <row r="1007" spans="1:46" x14ac:dyDescent="0.2">
      <c r="A1007" s="1" t="str">
        <f>"01304"</f>
        <v>01304</v>
      </c>
      <c r="B1007" s="1" t="str">
        <f>"محسن"</f>
        <v>محسن</v>
      </c>
      <c r="C1007" s="1" t="str">
        <f>"جعفري"</f>
        <v>جعفري</v>
      </c>
      <c r="D1007" s="1" t="str">
        <f t="shared" si="108"/>
        <v>قراردادي بهره بردار</v>
      </c>
      <c r="E1007" s="1" t="str">
        <f t="shared" si="107"/>
        <v>پروژه تعميرات نيروگاه بوشهر</v>
      </c>
      <c r="F1007" s="1">
        <v>18264683</v>
      </c>
      <c r="G1007" s="1">
        <v>5012563</v>
      </c>
      <c r="H1007" s="1">
        <v>0</v>
      </c>
      <c r="I1007" s="1">
        <v>12147463</v>
      </c>
      <c r="J1007" s="1">
        <v>0</v>
      </c>
      <c r="K1007" s="1">
        <v>4125000</v>
      </c>
      <c r="L1007" s="1">
        <v>0</v>
      </c>
      <c r="M1007" s="1">
        <v>1000000</v>
      </c>
      <c r="N1007" s="1">
        <v>2755448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4305162</v>
      </c>
      <c r="W1007" s="1">
        <v>4000000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2164995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7719033</v>
      </c>
      <c r="AM1007" s="1">
        <v>0</v>
      </c>
      <c r="AN1007" s="1">
        <v>0</v>
      </c>
      <c r="AO1007" s="1">
        <v>61494347</v>
      </c>
      <c r="AP1007" s="1">
        <v>6623578</v>
      </c>
      <c r="AQ1007" s="1">
        <v>54870769</v>
      </c>
      <c r="AR1007" s="1">
        <v>12298869</v>
      </c>
      <c r="AS1007" s="1">
        <v>1844830</v>
      </c>
      <c r="AT1007" s="3">
        <f t="shared" si="105"/>
        <v>75638046</v>
      </c>
    </row>
    <row r="1008" spans="1:46" x14ac:dyDescent="0.2">
      <c r="A1008" s="1" t="str">
        <f>"01305"</f>
        <v>01305</v>
      </c>
      <c r="B1008" s="1" t="str">
        <f>"حسن"</f>
        <v>حسن</v>
      </c>
      <c r="C1008" s="1" t="str">
        <f>"جلوه گر خوش"</f>
        <v>جلوه گر خوش</v>
      </c>
      <c r="D1008" s="1" t="str">
        <f t="shared" si="108"/>
        <v>قراردادي بهره بردار</v>
      </c>
      <c r="E1008" s="1" t="str">
        <f t="shared" si="107"/>
        <v>پروژه تعميرات نيروگاه بوشهر</v>
      </c>
      <c r="F1008" s="1">
        <v>13067436</v>
      </c>
      <c r="G1008" s="1">
        <v>3509241</v>
      </c>
      <c r="H1008" s="1">
        <v>0</v>
      </c>
      <c r="I1008" s="1">
        <v>8273007</v>
      </c>
      <c r="J1008" s="1">
        <v>0</v>
      </c>
      <c r="K1008" s="1">
        <v>4620000</v>
      </c>
      <c r="L1008" s="1">
        <v>0</v>
      </c>
      <c r="M1008" s="1">
        <v>1000000</v>
      </c>
      <c r="N1008" s="1">
        <v>2082678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3229282</v>
      </c>
      <c r="W1008" s="1">
        <v>4000000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1636390</v>
      </c>
      <c r="AF1008" s="1">
        <v>1835427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7233319</v>
      </c>
      <c r="AM1008" s="1">
        <v>0</v>
      </c>
      <c r="AN1008" s="1">
        <v>0</v>
      </c>
      <c r="AO1008" s="1">
        <v>50486780</v>
      </c>
      <c r="AP1008" s="1">
        <v>14660851</v>
      </c>
      <c r="AQ1008" s="1">
        <v>35825929</v>
      </c>
      <c r="AR1008" s="1">
        <v>9730271</v>
      </c>
      <c r="AS1008" s="1">
        <v>1459541</v>
      </c>
      <c r="AT1008" s="3">
        <f t="shared" si="105"/>
        <v>61676592</v>
      </c>
    </row>
    <row r="1009" spans="1:46" x14ac:dyDescent="0.2">
      <c r="A1009" s="1" t="str">
        <f>"01306"</f>
        <v>01306</v>
      </c>
      <c r="B1009" s="1" t="str">
        <f>"علي اكبر"</f>
        <v>علي اكبر</v>
      </c>
      <c r="C1009" s="1" t="str">
        <f>"جوان فر"</f>
        <v>جوان فر</v>
      </c>
      <c r="D1009" s="1" t="str">
        <f t="shared" si="108"/>
        <v>قراردادي بهره بردار</v>
      </c>
      <c r="E1009" s="1" t="str">
        <f t="shared" si="107"/>
        <v>پروژه تعميرات نيروگاه بوشهر</v>
      </c>
      <c r="F1009" s="1">
        <v>14009642</v>
      </c>
      <c r="G1009" s="1">
        <v>5079831</v>
      </c>
      <c r="H1009" s="1">
        <v>0</v>
      </c>
      <c r="I1009" s="1">
        <v>10220257</v>
      </c>
      <c r="J1009" s="1">
        <v>0</v>
      </c>
      <c r="K1009" s="1">
        <v>4620000</v>
      </c>
      <c r="L1009" s="1">
        <v>0</v>
      </c>
      <c r="M1009" s="1">
        <v>1000000</v>
      </c>
      <c r="N1009" s="1">
        <v>2412450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3849650</v>
      </c>
      <c r="W1009" s="1">
        <v>4000000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1895496</v>
      </c>
      <c r="AF1009" s="1">
        <v>1835427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9958661</v>
      </c>
      <c r="AM1009" s="1">
        <v>0</v>
      </c>
      <c r="AN1009" s="1">
        <v>0</v>
      </c>
      <c r="AO1009" s="1">
        <v>58881414</v>
      </c>
      <c r="AP1009" s="1">
        <v>6082039</v>
      </c>
      <c r="AQ1009" s="1">
        <v>52799375</v>
      </c>
      <c r="AR1009" s="1">
        <v>11409197</v>
      </c>
      <c r="AS1009" s="1">
        <v>1711380</v>
      </c>
      <c r="AT1009" s="3">
        <f t="shared" si="105"/>
        <v>72001991</v>
      </c>
    </row>
    <row r="1010" spans="1:46" x14ac:dyDescent="0.2">
      <c r="A1010" s="1" t="str">
        <f>"01307"</f>
        <v>01307</v>
      </c>
      <c r="B1010" s="1" t="str">
        <f>"سيد صادق"</f>
        <v>سيد صادق</v>
      </c>
      <c r="C1010" s="1" t="str">
        <f>"حسيني"</f>
        <v>حسيني</v>
      </c>
      <c r="D1010" s="1" t="str">
        <f t="shared" si="108"/>
        <v>قراردادي بهره بردار</v>
      </c>
      <c r="E1010" s="1" t="str">
        <f t="shared" si="107"/>
        <v>پروژه تعميرات نيروگاه بوشهر</v>
      </c>
      <c r="F1010" s="1">
        <v>18549360</v>
      </c>
      <c r="G1010" s="1">
        <v>5118189</v>
      </c>
      <c r="H1010" s="1">
        <v>0</v>
      </c>
      <c r="I1010" s="1">
        <v>12424982</v>
      </c>
      <c r="J1010" s="1">
        <v>0</v>
      </c>
      <c r="K1010" s="1">
        <v>4125000</v>
      </c>
      <c r="L1010" s="1">
        <v>0</v>
      </c>
      <c r="M1010" s="1">
        <v>1000000</v>
      </c>
      <c r="N1010" s="1">
        <v>2855085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4395882</v>
      </c>
      <c r="W1010" s="1">
        <v>4000000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2243281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7886111</v>
      </c>
      <c r="AM1010" s="1">
        <v>0</v>
      </c>
      <c r="AN1010" s="1">
        <v>0</v>
      </c>
      <c r="AO1010" s="1">
        <v>62597890</v>
      </c>
      <c r="AP1010" s="1">
        <v>19537585</v>
      </c>
      <c r="AQ1010" s="1">
        <v>43060305</v>
      </c>
      <c r="AR1010" s="1">
        <v>12519578</v>
      </c>
      <c r="AS1010" s="1">
        <v>1877937</v>
      </c>
      <c r="AT1010" s="3">
        <f t="shared" si="105"/>
        <v>76995405</v>
      </c>
    </row>
    <row r="1011" spans="1:46" x14ac:dyDescent="0.2">
      <c r="A1011" s="1" t="str">
        <f>"01308"</f>
        <v>01308</v>
      </c>
      <c r="B1011" s="1" t="str">
        <f>"رضا"</f>
        <v>رضا</v>
      </c>
      <c r="C1011" s="1" t="str">
        <f>"خدري"</f>
        <v>خدري</v>
      </c>
      <c r="D1011" s="1" t="str">
        <f t="shared" si="108"/>
        <v>قراردادي بهره بردار</v>
      </c>
      <c r="E1011" s="1" t="str">
        <f t="shared" si="107"/>
        <v>پروژه تعميرات نيروگاه بوشهر</v>
      </c>
      <c r="F1011" s="1">
        <v>12513198</v>
      </c>
      <c r="G1011" s="1">
        <v>2695646</v>
      </c>
      <c r="H1011" s="1">
        <v>0</v>
      </c>
      <c r="I1011" s="1">
        <v>6702509</v>
      </c>
      <c r="J1011" s="1">
        <v>0</v>
      </c>
      <c r="K1011" s="1">
        <v>3465000</v>
      </c>
      <c r="L1011" s="1">
        <v>0</v>
      </c>
      <c r="M1011" s="1">
        <v>1000000</v>
      </c>
      <c r="N1011" s="1">
        <v>2184078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2894027</v>
      </c>
      <c r="W1011" s="1">
        <v>4000000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1716062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5824418</v>
      </c>
      <c r="AM1011" s="1">
        <v>0</v>
      </c>
      <c r="AN1011" s="1">
        <v>0</v>
      </c>
      <c r="AO1011" s="1">
        <v>42994938</v>
      </c>
      <c r="AP1011" s="1">
        <v>5314575</v>
      </c>
      <c r="AQ1011" s="1">
        <v>37680363</v>
      </c>
      <c r="AR1011" s="1">
        <v>8598988</v>
      </c>
      <c r="AS1011" s="1">
        <v>1289848</v>
      </c>
      <c r="AT1011" s="3">
        <f t="shared" si="105"/>
        <v>52883774</v>
      </c>
    </row>
    <row r="1012" spans="1:46" x14ac:dyDescent="0.2">
      <c r="A1012" s="1" t="str">
        <f>"01309"</f>
        <v>01309</v>
      </c>
      <c r="B1012" s="1" t="str">
        <f>"سجاد"</f>
        <v>سجاد</v>
      </c>
      <c r="C1012" s="1" t="str">
        <f>"ذكاوت جو"</f>
        <v>ذكاوت جو</v>
      </c>
      <c r="D1012" s="1" t="str">
        <f t="shared" si="108"/>
        <v>قراردادي بهره بردار</v>
      </c>
      <c r="E1012" s="1" t="str">
        <f t="shared" si="107"/>
        <v>پروژه تعميرات نيروگاه بوشهر</v>
      </c>
      <c r="F1012" s="1">
        <v>13331959</v>
      </c>
      <c r="G1012" s="1">
        <v>5906681</v>
      </c>
      <c r="H1012" s="1">
        <v>0</v>
      </c>
      <c r="I1012" s="1">
        <v>8648344</v>
      </c>
      <c r="J1012" s="1">
        <v>0</v>
      </c>
      <c r="K1012" s="1">
        <v>3465000</v>
      </c>
      <c r="L1012" s="1">
        <v>0</v>
      </c>
      <c r="M1012" s="1">
        <v>1000000</v>
      </c>
      <c r="N1012" s="1">
        <v>2175261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3308542</v>
      </c>
      <c r="W1012" s="1">
        <v>4000000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1709133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7220723</v>
      </c>
      <c r="AM1012" s="1">
        <v>0</v>
      </c>
      <c r="AN1012" s="1">
        <v>0</v>
      </c>
      <c r="AO1012" s="1">
        <v>50765643</v>
      </c>
      <c r="AP1012" s="1">
        <v>7386386</v>
      </c>
      <c r="AQ1012" s="1">
        <v>43379257</v>
      </c>
      <c r="AR1012" s="1">
        <v>10153129</v>
      </c>
      <c r="AS1012" s="1">
        <v>1522969</v>
      </c>
      <c r="AT1012" s="3">
        <f t="shared" si="105"/>
        <v>62441741</v>
      </c>
    </row>
    <row r="1013" spans="1:46" x14ac:dyDescent="0.2">
      <c r="A1013" s="1" t="str">
        <f>"01310"</f>
        <v>01310</v>
      </c>
      <c r="B1013" s="1" t="str">
        <f>"فرهاد"</f>
        <v>فرهاد</v>
      </c>
      <c r="C1013" s="1" t="str">
        <f>"رازقي نيا"</f>
        <v>رازقي نيا</v>
      </c>
      <c r="D1013" s="1" t="str">
        <f t="shared" si="108"/>
        <v>قراردادي بهره بردار</v>
      </c>
      <c r="E1013" s="1" t="str">
        <f t="shared" si="107"/>
        <v>پروژه تعميرات نيروگاه بوشهر</v>
      </c>
      <c r="F1013" s="1">
        <v>12828106</v>
      </c>
      <c r="G1013" s="1">
        <v>5529183</v>
      </c>
      <c r="H1013" s="1">
        <v>0</v>
      </c>
      <c r="I1013" s="1">
        <v>8958389</v>
      </c>
      <c r="J1013" s="1">
        <v>0</v>
      </c>
      <c r="K1013" s="1">
        <v>3465000</v>
      </c>
      <c r="L1013" s="1">
        <v>0</v>
      </c>
      <c r="M1013" s="1">
        <v>1000000</v>
      </c>
      <c r="N1013" s="1">
        <v>1998912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3392053</v>
      </c>
      <c r="W1013" s="1">
        <v>4000000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1570574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8564550</v>
      </c>
      <c r="AM1013" s="1">
        <v>0</v>
      </c>
      <c r="AN1013" s="1">
        <v>0</v>
      </c>
      <c r="AO1013" s="1">
        <v>51306767</v>
      </c>
      <c r="AP1013" s="1">
        <v>8483849</v>
      </c>
      <c r="AQ1013" s="1">
        <v>42822918</v>
      </c>
      <c r="AR1013" s="1">
        <v>10261353</v>
      </c>
      <c r="AS1013" s="1">
        <v>1539203</v>
      </c>
      <c r="AT1013" s="3">
        <f t="shared" si="105"/>
        <v>63107323</v>
      </c>
    </row>
    <row r="1014" spans="1:46" x14ac:dyDescent="0.2">
      <c r="A1014" s="1" t="str">
        <f>"01311"</f>
        <v>01311</v>
      </c>
      <c r="B1014" s="1" t="str">
        <f>"محمدرضا"</f>
        <v>محمدرضا</v>
      </c>
      <c r="C1014" s="1" t="str">
        <f>"ربيعي"</f>
        <v>ربيعي</v>
      </c>
      <c r="D1014" s="1" t="str">
        <f t="shared" si="108"/>
        <v>قراردادي بهره بردار</v>
      </c>
      <c r="E1014" s="1" t="str">
        <f t="shared" si="107"/>
        <v>پروژه تعميرات نيروگاه بوشهر</v>
      </c>
      <c r="F1014" s="1">
        <v>12790317</v>
      </c>
      <c r="G1014" s="1">
        <v>25284072</v>
      </c>
      <c r="H1014" s="1">
        <v>0</v>
      </c>
      <c r="I1014" s="1">
        <v>7994848</v>
      </c>
      <c r="J1014" s="1">
        <v>0</v>
      </c>
      <c r="K1014" s="1">
        <v>3465000</v>
      </c>
      <c r="L1014" s="1">
        <v>0</v>
      </c>
      <c r="M1014" s="1">
        <v>1000000</v>
      </c>
      <c r="N1014" s="1">
        <v>1985686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3162501</v>
      </c>
      <c r="W1014" s="1">
        <v>4000000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1560181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7293983</v>
      </c>
      <c r="AM1014" s="1">
        <v>0</v>
      </c>
      <c r="AN1014" s="1">
        <v>0</v>
      </c>
      <c r="AO1014" s="1">
        <v>68536588</v>
      </c>
      <c r="AP1014" s="1">
        <v>28730862</v>
      </c>
      <c r="AQ1014" s="1">
        <v>39805726</v>
      </c>
      <c r="AR1014" s="1">
        <v>13707318</v>
      </c>
      <c r="AS1014" s="1">
        <v>2056098</v>
      </c>
      <c r="AT1014" s="3">
        <f t="shared" si="105"/>
        <v>84300004</v>
      </c>
    </row>
    <row r="1015" spans="1:46" x14ac:dyDescent="0.2">
      <c r="A1015" s="1" t="str">
        <f>"01312"</f>
        <v>01312</v>
      </c>
      <c r="B1015" s="1" t="str">
        <f>"عباس"</f>
        <v>عباس</v>
      </c>
      <c r="C1015" s="1" t="str">
        <f>"رضايي"</f>
        <v>رضايي</v>
      </c>
      <c r="D1015" s="1" t="str">
        <f t="shared" si="108"/>
        <v>قراردادي بهره بردار</v>
      </c>
      <c r="E1015" s="1" t="str">
        <f t="shared" ref="E1015:E1041" si="109">"پروژه تعميرات نيروگاه بوشهر"</f>
        <v>پروژه تعميرات نيروگاه بوشهر</v>
      </c>
      <c r="F1015" s="1">
        <v>12729854</v>
      </c>
      <c r="G1015" s="1">
        <v>6877013</v>
      </c>
      <c r="H1015" s="1">
        <v>0</v>
      </c>
      <c r="I1015" s="1">
        <v>6856723</v>
      </c>
      <c r="J1015" s="1">
        <v>0</v>
      </c>
      <c r="K1015" s="1">
        <v>3465000</v>
      </c>
      <c r="L1015" s="1">
        <v>0</v>
      </c>
      <c r="M1015" s="1">
        <v>1000000</v>
      </c>
      <c r="N1015" s="1">
        <v>2259908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2953245</v>
      </c>
      <c r="W1015" s="1">
        <v>4000000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1775642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5910326</v>
      </c>
      <c r="AM1015" s="1">
        <v>0</v>
      </c>
      <c r="AN1015" s="1">
        <v>0</v>
      </c>
      <c r="AO1015" s="1">
        <v>47827711</v>
      </c>
      <c r="AP1015" s="1">
        <v>24278067</v>
      </c>
      <c r="AQ1015" s="1">
        <v>23549644</v>
      </c>
      <c r="AR1015" s="1">
        <v>9565542</v>
      </c>
      <c r="AS1015" s="1">
        <v>1434831</v>
      </c>
      <c r="AT1015" s="3">
        <f t="shared" si="105"/>
        <v>58828084</v>
      </c>
    </row>
    <row r="1016" spans="1:46" x14ac:dyDescent="0.2">
      <c r="A1016" s="1" t="str">
        <f>"01313"</f>
        <v>01313</v>
      </c>
      <c r="B1016" s="1" t="str">
        <f>"سعيد"</f>
        <v>سعيد</v>
      </c>
      <c r="C1016" s="1" t="str">
        <f>"زارعي"</f>
        <v>زارعي</v>
      </c>
      <c r="D1016" s="1" t="str">
        <f t="shared" si="108"/>
        <v>قراردادي بهره بردار</v>
      </c>
      <c r="E1016" s="1" t="str">
        <f t="shared" si="109"/>
        <v>پروژه تعميرات نيروگاه بوشهر</v>
      </c>
      <c r="F1016" s="1">
        <v>13266458</v>
      </c>
      <c r="G1016" s="1">
        <v>28390344</v>
      </c>
      <c r="H1016" s="1">
        <v>0</v>
      </c>
      <c r="I1016" s="1">
        <v>8648646</v>
      </c>
      <c r="J1016" s="1">
        <v>0</v>
      </c>
      <c r="K1016" s="1">
        <v>4620000</v>
      </c>
      <c r="L1016" s="1">
        <v>0</v>
      </c>
      <c r="M1016" s="1">
        <v>1000000</v>
      </c>
      <c r="N1016" s="1">
        <v>2152335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3325056</v>
      </c>
      <c r="W1016" s="1">
        <v>4000000</v>
      </c>
      <c r="X1016" s="1">
        <v>1925776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1691120</v>
      </c>
      <c r="AF1016" s="1">
        <v>1835427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7491996</v>
      </c>
      <c r="AM1016" s="1">
        <v>0</v>
      </c>
      <c r="AN1016" s="1">
        <v>0</v>
      </c>
      <c r="AO1016" s="1">
        <v>78347158</v>
      </c>
      <c r="AP1016" s="1">
        <v>10057770</v>
      </c>
      <c r="AQ1016" s="1">
        <v>68289388</v>
      </c>
      <c r="AR1016" s="1">
        <v>15302346</v>
      </c>
      <c r="AS1016" s="1">
        <v>2295352</v>
      </c>
      <c r="AT1016" s="3">
        <f t="shared" si="105"/>
        <v>95944856</v>
      </c>
    </row>
    <row r="1017" spans="1:46" x14ac:dyDescent="0.2">
      <c r="A1017" s="1" t="str">
        <f>"01314"</f>
        <v>01314</v>
      </c>
      <c r="B1017" s="1" t="str">
        <f>"عزيز"</f>
        <v>عزيز</v>
      </c>
      <c r="C1017" s="1" t="str">
        <f>"سالمي نيا"</f>
        <v>سالمي نيا</v>
      </c>
      <c r="D1017" s="1" t="str">
        <f t="shared" si="108"/>
        <v>قراردادي بهره بردار</v>
      </c>
      <c r="E1017" s="1" t="str">
        <f t="shared" si="109"/>
        <v>پروژه تعميرات نيروگاه بوشهر</v>
      </c>
      <c r="F1017" s="1">
        <v>12475409</v>
      </c>
      <c r="G1017" s="1">
        <v>8061381</v>
      </c>
      <c r="H1017" s="1">
        <v>0</v>
      </c>
      <c r="I1017" s="1">
        <v>6675610</v>
      </c>
      <c r="J1017" s="1">
        <v>0</v>
      </c>
      <c r="K1017" s="1">
        <v>3465000</v>
      </c>
      <c r="L1017" s="1">
        <v>0</v>
      </c>
      <c r="M1017" s="1">
        <v>1000000</v>
      </c>
      <c r="N1017" s="1">
        <v>2170853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2884881</v>
      </c>
      <c r="W1017" s="1">
        <v>4000000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1705670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5821270</v>
      </c>
      <c r="AM1017" s="1">
        <v>0</v>
      </c>
      <c r="AN1017" s="1">
        <v>0</v>
      </c>
      <c r="AO1017" s="1">
        <v>48260074</v>
      </c>
      <c r="AP1017" s="1">
        <v>22076722</v>
      </c>
      <c r="AQ1017" s="1">
        <v>26183352</v>
      </c>
      <c r="AR1017" s="1">
        <v>9652015</v>
      </c>
      <c r="AS1017" s="1">
        <v>1447802</v>
      </c>
      <c r="AT1017" s="3">
        <f t="shared" si="105"/>
        <v>59359891</v>
      </c>
    </row>
    <row r="1018" spans="1:46" x14ac:dyDescent="0.2">
      <c r="A1018" s="1" t="str">
        <f>"01315"</f>
        <v>01315</v>
      </c>
      <c r="B1018" s="1" t="str">
        <f>"مهران"</f>
        <v>مهران</v>
      </c>
      <c r="C1018" s="1" t="str">
        <f>"سليمي"</f>
        <v>سليمي</v>
      </c>
      <c r="D1018" s="1" t="str">
        <f t="shared" si="108"/>
        <v>قراردادي بهره بردار</v>
      </c>
      <c r="E1018" s="1" t="str">
        <f t="shared" si="109"/>
        <v>پروژه تعميرات نيروگاه بوشهر</v>
      </c>
      <c r="F1018" s="1">
        <v>18821441</v>
      </c>
      <c r="G1018" s="1">
        <v>15732021</v>
      </c>
      <c r="H1018" s="1">
        <v>0</v>
      </c>
      <c r="I1018" s="1">
        <v>12985069</v>
      </c>
      <c r="J1018" s="1">
        <v>0</v>
      </c>
      <c r="K1018" s="1">
        <v>4125000</v>
      </c>
      <c r="L1018" s="1">
        <v>0</v>
      </c>
      <c r="M1018" s="1">
        <v>1000000</v>
      </c>
      <c r="N1018" s="1">
        <v>2950313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4503944</v>
      </c>
      <c r="W1018" s="1">
        <v>4000000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2318104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7964511</v>
      </c>
      <c r="AM1018" s="1">
        <v>0</v>
      </c>
      <c r="AN1018" s="1">
        <v>0</v>
      </c>
      <c r="AO1018" s="1">
        <v>74400403</v>
      </c>
      <c r="AP1018" s="1">
        <v>20467794</v>
      </c>
      <c r="AQ1018" s="1">
        <v>53932609</v>
      </c>
      <c r="AR1018" s="1">
        <v>14880081</v>
      </c>
      <c r="AS1018" s="1">
        <v>2232012</v>
      </c>
      <c r="AT1018" s="3">
        <f t="shared" si="105"/>
        <v>91512496</v>
      </c>
    </row>
    <row r="1019" spans="1:46" x14ac:dyDescent="0.2">
      <c r="A1019" s="1" t="str">
        <f>"01316"</f>
        <v>01316</v>
      </c>
      <c r="B1019" s="1" t="str">
        <f>"اميد"</f>
        <v>اميد</v>
      </c>
      <c r="C1019" s="1" t="str">
        <f>"شاهسوندحسيني"</f>
        <v>شاهسوندحسيني</v>
      </c>
      <c r="D1019" s="1" t="str">
        <f t="shared" si="108"/>
        <v>قراردادي بهره بردار</v>
      </c>
      <c r="E1019" s="1" t="str">
        <f t="shared" si="109"/>
        <v>پروژه تعميرات نيروگاه بوشهر</v>
      </c>
      <c r="F1019" s="1">
        <v>13188361</v>
      </c>
      <c r="G1019" s="1">
        <v>40539961</v>
      </c>
      <c r="H1019" s="1">
        <v>0</v>
      </c>
      <c r="I1019" s="1">
        <v>8787940</v>
      </c>
      <c r="J1019" s="1">
        <v>0</v>
      </c>
      <c r="K1019" s="1">
        <v>3465000</v>
      </c>
      <c r="L1019" s="1">
        <v>0</v>
      </c>
      <c r="M1019" s="1">
        <v>1000000</v>
      </c>
      <c r="N1019" s="1">
        <v>2125001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3369555</v>
      </c>
      <c r="W1019" s="1">
        <v>4000000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1669645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7924605</v>
      </c>
      <c r="AM1019" s="1">
        <v>0</v>
      </c>
      <c r="AN1019" s="1">
        <v>0</v>
      </c>
      <c r="AO1019" s="1">
        <v>86070068</v>
      </c>
      <c r="AP1019" s="1">
        <v>20668904</v>
      </c>
      <c r="AQ1019" s="1">
        <v>65401164</v>
      </c>
      <c r="AR1019" s="1">
        <v>17214014</v>
      </c>
      <c r="AS1019" s="1">
        <v>2582102</v>
      </c>
      <c r="AT1019" s="3">
        <f t="shared" si="105"/>
        <v>105866184</v>
      </c>
    </row>
    <row r="1020" spans="1:46" x14ac:dyDescent="0.2">
      <c r="A1020" s="1" t="str">
        <f>"01317"</f>
        <v>01317</v>
      </c>
      <c r="B1020" s="1" t="str">
        <f>"امين"</f>
        <v>امين</v>
      </c>
      <c r="C1020" s="1" t="str">
        <f>"شفيعي"</f>
        <v>شفيعي</v>
      </c>
      <c r="D1020" s="1" t="str">
        <f t="shared" si="108"/>
        <v>قراردادي بهره بردار</v>
      </c>
      <c r="E1020" s="1" t="str">
        <f t="shared" si="109"/>
        <v>پروژه تعميرات نيروگاه بوشهر</v>
      </c>
      <c r="F1020" s="1">
        <v>14306915</v>
      </c>
      <c r="G1020" s="1">
        <v>28370276</v>
      </c>
      <c r="H1020" s="1">
        <v>0</v>
      </c>
      <c r="I1020" s="1">
        <v>9800103</v>
      </c>
      <c r="J1020" s="1">
        <v>0</v>
      </c>
      <c r="K1020" s="1">
        <v>4620000</v>
      </c>
      <c r="L1020" s="1">
        <v>0</v>
      </c>
      <c r="M1020" s="1">
        <v>1000000</v>
      </c>
      <c r="N1020" s="1">
        <v>2384234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3583310</v>
      </c>
      <c r="W1020" s="1">
        <v>4000000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1873327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7468517</v>
      </c>
      <c r="AM1020" s="1">
        <v>0</v>
      </c>
      <c r="AN1020" s="1">
        <v>0</v>
      </c>
      <c r="AO1020" s="1">
        <v>77406682</v>
      </c>
      <c r="AP1020" s="1">
        <v>12630089</v>
      </c>
      <c r="AQ1020" s="1">
        <v>64776593</v>
      </c>
      <c r="AR1020" s="1">
        <v>15481336</v>
      </c>
      <c r="AS1020" s="1">
        <v>2322200</v>
      </c>
      <c r="AT1020" s="3">
        <f t="shared" si="105"/>
        <v>95210218</v>
      </c>
    </row>
    <row r="1021" spans="1:46" x14ac:dyDescent="0.2">
      <c r="A1021" s="1" t="str">
        <f>"01318"</f>
        <v>01318</v>
      </c>
      <c r="B1021" s="1" t="str">
        <f>"محمدامين"</f>
        <v>محمدامين</v>
      </c>
      <c r="C1021" s="1" t="str">
        <f>"صالحي"</f>
        <v>صالحي</v>
      </c>
      <c r="D1021" s="1" t="str">
        <f t="shared" si="108"/>
        <v>قراردادي بهره بردار</v>
      </c>
      <c r="E1021" s="1" t="str">
        <f t="shared" si="109"/>
        <v>پروژه تعميرات نيروگاه بوشهر</v>
      </c>
      <c r="F1021" s="1">
        <v>13306767</v>
      </c>
      <c r="G1021" s="1">
        <v>28405928</v>
      </c>
      <c r="H1021" s="1">
        <v>0</v>
      </c>
      <c r="I1021" s="1">
        <v>8624372</v>
      </c>
      <c r="J1021" s="1">
        <v>0</v>
      </c>
      <c r="K1021" s="1">
        <v>3465000</v>
      </c>
      <c r="L1021" s="1">
        <v>0</v>
      </c>
      <c r="M1021" s="1">
        <v>1000000</v>
      </c>
      <c r="N1021" s="1">
        <v>2166443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3326881</v>
      </c>
      <c r="W1021" s="1">
        <v>4000000</v>
      </c>
      <c r="X1021" s="1">
        <v>1931627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1702206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7469021</v>
      </c>
      <c r="AM1021" s="1">
        <v>0</v>
      </c>
      <c r="AN1021" s="1">
        <v>0</v>
      </c>
      <c r="AO1021" s="1">
        <v>75398245</v>
      </c>
      <c r="AP1021" s="1">
        <v>18667968</v>
      </c>
      <c r="AQ1021" s="1">
        <v>56730277</v>
      </c>
      <c r="AR1021" s="1">
        <v>15079649</v>
      </c>
      <c r="AS1021" s="1">
        <v>2261947</v>
      </c>
      <c r="AT1021" s="3">
        <f t="shared" si="105"/>
        <v>92739841</v>
      </c>
    </row>
    <row r="1022" spans="1:46" x14ac:dyDescent="0.2">
      <c r="A1022" s="1" t="str">
        <f>"01319"</f>
        <v>01319</v>
      </c>
      <c r="B1022" s="1" t="str">
        <f>"رضا"</f>
        <v>رضا</v>
      </c>
      <c r="C1022" s="1" t="str">
        <f>"عاليبري"</f>
        <v>عاليبري</v>
      </c>
      <c r="D1022" s="1" t="str">
        <f t="shared" ref="D1022:D1040" si="110">"قراردادي بهره بردار"</f>
        <v>قراردادي بهره بردار</v>
      </c>
      <c r="E1022" s="1" t="str">
        <f t="shared" si="109"/>
        <v>پروژه تعميرات نيروگاه بوشهر</v>
      </c>
      <c r="F1022" s="1">
        <v>13548616</v>
      </c>
      <c r="G1022" s="1">
        <v>14048257</v>
      </c>
      <c r="H1022" s="1">
        <v>0</v>
      </c>
      <c r="I1022" s="1">
        <v>10173095</v>
      </c>
      <c r="J1022" s="1">
        <v>0</v>
      </c>
      <c r="K1022" s="1">
        <v>3465000</v>
      </c>
      <c r="L1022" s="1">
        <v>0</v>
      </c>
      <c r="M1022" s="1">
        <v>1000000</v>
      </c>
      <c r="N1022" s="1">
        <v>2251091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3693579</v>
      </c>
      <c r="W1022" s="1">
        <v>4000000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1768714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9194265</v>
      </c>
      <c r="AM1022" s="1">
        <v>0</v>
      </c>
      <c r="AN1022" s="1">
        <v>0</v>
      </c>
      <c r="AO1022" s="1">
        <v>63142617</v>
      </c>
      <c r="AP1022" s="1">
        <v>18597652</v>
      </c>
      <c r="AQ1022" s="1">
        <v>44544965</v>
      </c>
      <c r="AR1022" s="1">
        <v>12628523</v>
      </c>
      <c r="AS1022" s="1">
        <v>1894279</v>
      </c>
      <c r="AT1022" s="3">
        <f t="shared" si="105"/>
        <v>77665419</v>
      </c>
    </row>
    <row r="1023" spans="1:46" x14ac:dyDescent="0.2">
      <c r="A1023" s="1" t="str">
        <f>"01320"</f>
        <v>01320</v>
      </c>
      <c r="B1023" s="1" t="str">
        <f>"حسين"</f>
        <v>حسين</v>
      </c>
      <c r="C1023" s="1" t="str">
        <f>"عباسي"</f>
        <v>عباسي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18823961</v>
      </c>
      <c r="G1023" s="1">
        <v>5695235</v>
      </c>
      <c r="H1023" s="1">
        <v>0</v>
      </c>
      <c r="I1023" s="1">
        <v>13309377</v>
      </c>
      <c r="J1023" s="1">
        <v>0</v>
      </c>
      <c r="K1023" s="1">
        <v>5500000</v>
      </c>
      <c r="L1023" s="1">
        <v>0</v>
      </c>
      <c r="M1023" s="1">
        <v>1000000</v>
      </c>
      <c r="N1023" s="1">
        <v>2951195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4585773</v>
      </c>
      <c r="W1023" s="1">
        <v>4000000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2318796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8454407</v>
      </c>
      <c r="AM1023" s="1">
        <v>0</v>
      </c>
      <c r="AN1023" s="1">
        <v>0</v>
      </c>
      <c r="AO1023" s="1">
        <v>66638744</v>
      </c>
      <c r="AP1023" s="1">
        <v>9449315</v>
      </c>
      <c r="AQ1023" s="1">
        <v>57189429</v>
      </c>
      <c r="AR1023" s="1">
        <v>13327749</v>
      </c>
      <c r="AS1023" s="1">
        <v>1999162</v>
      </c>
      <c r="AT1023" s="3">
        <f t="shared" si="105"/>
        <v>81965655</v>
      </c>
    </row>
    <row r="1024" spans="1:46" x14ac:dyDescent="0.2">
      <c r="A1024" s="1" t="str">
        <f>"01321"</f>
        <v>01321</v>
      </c>
      <c r="B1024" s="1" t="str">
        <f>"ابراهيم"</f>
        <v>ابراهيم</v>
      </c>
      <c r="C1024" s="1" t="str">
        <f>"عباسيان"</f>
        <v>عباسيان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19536913</v>
      </c>
      <c r="G1024" s="1">
        <v>7173720</v>
      </c>
      <c r="H1024" s="1">
        <v>0</v>
      </c>
      <c r="I1024" s="1">
        <v>13471122</v>
      </c>
      <c r="J1024" s="1">
        <v>0</v>
      </c>
      <c r="K1024" s="1">
        <v>5500000</v>
      </c>
      <c r="L1024" s="1">
        <v>0</v>
      </c>
      <c r="M1024" s="1">
        <v>1000000</v>
      </c>
      <c r="N1024" s="1">
        <v>2975884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4620993</v>
      </c>
      <c r="W1024" s="1">
        <v>4000000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2338195</v>
      </c>
      <c r="AF1024" s="1">
        <v>1835427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7887824</v>
      </c>
      <c r="AM1024" s="1">
        <v>0</v>
      </c>
      <c r="AN1024" s="1">
        <v>0</v>
      </c>
      <c r="AO1024" s="1">
        <v>70340078</v>
      </c>
      <c r="AP1024" s="1">
        <v>27744663</v>
      </c>
      <c r="AQ1024" s="1">
        <v>42595415</v>
      </c>
      <c r="AR1024" s="1">
        <v>13700930</v>
      </c>
      <c r="AS1024" s="1">
        <v>2055140</v>
      </c>
      <c r="AT1024" s="3">
        <f t="shared" si="105"/>
        <v>86096148</v>
      </c>
    </row>
    <row r="1025" spans="1:46" x14ac:dyDescent="0.2">
      <c r="A1025" s="1" t="str">
        <f>"01322"</f>
        <v>01322</v>
      </c>
      <c r="B1025" s="1" t="str">
        <f>"ميثم"</f>
        <v>ميثم</v>
      </c>
      <c r="C1025" s="1" t="str">
        <f>"علمداري"</f>
        <v>علمداري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13379825</v>
      </c>
      <c r="G1025" s="1">
        <v>53618301</v>
      </c>
      <c r="H1025" s="1">
        <v>0</v>
      </c>
      <c r="I1025" s="1">
        <v>8905380</v>
      </c>
      <c r="J1025" s="1">
        <v>0</v>
      </c>
      <c r="K1025" s="1">
        <v>3465000</v>
      </c>
      <c r="L1025" s="1">
        <v>0</v>
      </c>
      <c r="M1025" s="1">
        <v>1000000</v>
      </c>
      <c r="N1025" s="1">
        <v>2192014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3419658</v>
      </c>
      <c r="W1025" s="1">
        <v>4000000</v>
      </c>
      <c r="X1025" s="1">
        <v>1942233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1722297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7997060</v>
      </c>
      <c r="AM1025" s="1">
        <v>0</v>
      </c>
      <c r="AN1025" s="1">
        <v>0</v>
      </c>
      <c r="AO1025" s="1">
        <v>101641768</v>
      </c>
      <c r="AP1025" s="1">
        <v>34506860</v>
      </c>
      <c r="AQ1025" s="1">
        <v>67134908</v>
      </c>
      <c r="AR1025" s="1">
        <v>17496808</v>
      </c>
      <c r="AS1025" s="1">
        <v>2624521</v>
      </c>
      <c r="AT1025" s="3">
        <f t="shared" si="105"/>
        <v>121763097</v>
      </c>
    </row>
    <row r="1026" spans="1:46" x14ac:dyDescent="0.2">
      <c r="A1026" s="1" t="str">
        <f>"01324"</f>
        <v>01324</v>
      </c>
      <c r="B1026" s="1" t="str">
        <f>"نعمت الله"</f>
        <v>نعمت الله</v>
      </c>
      <c r="C1026" s="1" t="str">
        <f>"فقيه"</f>
        <v>فقيه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13626713</v>
      </c>
      <c r="G1026" s="1">
        <v>28689235</v>
      </c>
      <c r="H1026" s="1">
        <v>0</v>
      </c>
      <c r="I1026" s="1">
        <v>8941705</v>
      </c>
      <c r="J1026" s="1">
        <v>0</v>
      </c>
      <c r="K1026" s="1">
        <v>4620000</v>
      </c>
      <c r="L1026" s="1">
        <v>0</v>
      </c>
      <c r="M1026" s="1">
        <v>1000000</v>
      </c>
      <c r="N1026" s="1">
        <v>2278425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3422285</v>
      </c>
      <c r="W1026" s="1">
        <v>4000000</v>
      </c>
      <c r="X1026" s="1">
        <v>1978071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1790191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7585815</v>
      </c>
      <c r="AM1026" s="1">
        <v>0</v>
      </c>
      <c r="AN1026" s="1">
        <v>0</v>
      </c>
      <c r="AO1026" s="1">
        <v>77932440</v>
      </c>
      <c r="AP1026" s="1">
        <v>9502988</v>
      </c>
      <c r="AQ1026" s="1">
        <v>68429452</v>
      </c>
      <c r="AR1026" s="1">
        <v>15586488</v>
      </c>
      <c r="AS1026" s="1">
        <v>2337973</v>
      </c>
      <c r="AT1026" s="3">
        <f t="shared" si="105"/>
        <v>95856901</v>
      </c>
    </row>
    <row r="1027" spans="1:46" x14ac:dyDescent="0.2">
      <c r="A1027" s="1" t="str">
        <f>"01325"</f>
        <v>01325</v>
      </c>
      <c r="B1027" s="1" t="str">
        <f>"حسين"</f>
        <v>حسين</v>
      </c>
      <c r="C1027" s="1" t="str">
        <f>"قديريان"</f>
        <v>قديريان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18834038</v>
      </c>
      <c r="G1027" s="1">
        <v>5653233</v>
      </c>
      <c r="H1027" s="1">
        <v>0</v>
      </c>
      <c r="I1027" s="1">
        <v>13058600</v>
      </c>
      <c r="J1027" s="1">
        <v>0</v>
      </c>
      <c r="K1027" s="1">
        <v>5500000</v>
      </c>
      <c r="L1027" s="1">
        <v>0</v>
      </c>
      <c r="M1027" s="1">
        <v>1000000</v>
      </c>
      <c r="N1027" s="1">
        <v>2954722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4551954</v>
      </c>
      <c r="W1027" s="1">
        <v>4000000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2321567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8350614</v>
      </c>
      <c r="AM1027" s="1">
        <v>0</v>
      </c>
      <c r="AN1027" s="1">
        <v>0</v>
      </c>
      <c r="AO1027" s="1">
        <v>66224728</v>
      </c>
      <c r="AP1027" s="1">
        <v>11118211</v>
      </c>
      <c r="AQ1027" s="1">
        <v>55106517</v>
      </c>
      <c r="AR1027" s="1">
        <v>13244946</v>
      </c>
      <c r="AS1027" s="1">
        <v>1986742</v>
      </c>
      <c r="AT1027" s="3">
        <f t="shared" ref="AT1027:AT1090" si="111">AO1027+AR1027+AS1027</f>
        <v>81456416</v>
      </c>
    </row>
    <row r="1028" spans="1:46" x14ac:dyDescent="0.2">
      <c r="A1028" s="1" t="str">
        <f>"01326"</f>
        <v>01326</v>
      </c>
      <c r="B1028" s="1" t="str">
        <f>"مسعود"</f>
        <v>مسعود</v>
      </c>
      <c r="C1028" s="1" t="str">
        <f>"قرباني"</f>
        <v>قرباني</v>
      </c>
      <c r="D1028" s="1" t="str">
        <f t="shared" si="110"/>
        <v>قراردادي بهره بردار</v>
      </c>
      <c r="E1028" s="1" t="str">
        <f t="shared" si="109"/>
        <v>پروژه تعميرات نيروگاه بوشهر</v>
      </c>
      <c r="F1028" s="1">
        <v>13677099</v>
      </c>
      <c r="G1028" s="1">
        <v>29331040</v>
      </c>
      <c r="H1028" s="1">
        <v>0</v>
      </c>
      <c r="I1028" s="1">
        <v>8995320</v>
      </c>
      <c r="J1028" s="1">
        <v>0</v>
      </c>
      <c r="K1028" s="1">
        <v>3465000</v>
      </c>
      <c r="L1028" s="1">
        <v>0</v>
      </c>
      <c r="M1028" s="1">
        <v>1000000</v>
      </c>
      <c r="N1028" s="1">
        <v>2296059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3435229</v>
      </c>
      <c r="W1028" s="1">
        <v>4000000</v>
      </c>
      <c r="X1028" s="1">
        <v>1985385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1804047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7579768</v>
      </c>
      <c r="AM1028" s="1">
        <v>0</v>
      </c>
      <c r="AN1028" s="1">
        <v>0</v>
      </c>
      <c r="AO1028" s="1">
        <v>77568947</v>
      </c>
      <c r="AP1028" s="1">
        <v>9343739</v>
      </c>
      <c r="AQ1028" s="1">
        <v>68225208</v>
      </c>
      <c r="AR1028" s="1">
        <v>15513789</v>
      </c>
      <c r="AS1028" s="1">
        <v>2327068</v>
      </c>
      <c r="AT1028" s="3">
        <f t="shared" si="111"/>
        <v>95409804</v>
      </c>
    </row>
    <row r="1029" spans="1:46" x14ac:dyDescent="0.2">
      <c r="A1029" s="1" t="str">
        <f>"01327"</f>
        <v>01327</v>
      </c>
      <c r="B1029" s="1" t="str">
        <f>"سجاد"</f>
        <v>سجاد</v>
      </c>
      <c r="C1029" s="1" t="str">
        <f>"قنبري"</f>
        <v>قنبري</v>
      </c>
      <c r="D1029" s="1" t="str">
        <f t="shared" si="110"/>
        <v>قراردادي بهره بردار</v>
      </c>
      <c r="E1029" s="1" t="str">
        <f t="shared" si="109"/>
        <v>پروژه تعميرات نيروگاه بوشهر</v>
      </c>
      <c r="F1029" s="1">
        <v>18902058</v>
      </c>
      <c r="G1029" s="1">
        <v>2870984</v>
      </c>
      <c r="H1029" s="1">
        <v>0</v>
      </c>
      <c r="I1029" s="1">
        <v>13516689</v>
      </c>
      <c r="J1029" s="1">
        <v>0</v>
      </c>
      <c r="K1029" s="1">
        <v>5500000</v>
      </c>
      <c r="L1029" s="1">
        <v>0</v>
      </c>
      <c r="M1029" s="1">
        <v>1000000</v>
      </c>
      <c r="N1029" s="1">
        <v>2978529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4623403</v>
      </c>
      <c r="W1029" s="1">
        <v>4000000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2340273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8496479</v>
      </c>
      <c r="AM1029" s="1">
        <v>0</v>
      </c>
      <c r="AN1029" s="1">
        <v>0</v>
      </c>
      <c r="AO1029" s="1">
        <v>64228415</v>
      </c>
      <c r="AP1029" s="1">
        <v>10482032</v>
      </c>
      <c r="AQ1029" s="1">
        <v>53746383</v>
      </c>
      <c r="AR1029" s="1">
        <v>12845683</v>
      </c>
      <c r="AS1029" s="1">
        <v>1926852</v>
      </c>
      <c r="AT1029" s="3">
        <f t="shared" si="111"/>
        <v>79000950</v>
      </c>
    </row>
    <row r="1030" spans="1:46" x14ac:dyDescent="0.2">
      <c r="A1030" s="1" t="str">
        <f>"01328"</f>
        <v>01328</v>
      </c>
      <c r="B1030" s="1" t="str">
        <f>"رامين"</f>
        <v>رامين</v>
      </c>
      <c r="C1030" s="1" t="str">
        <f>"كاوسي"</f>
        <v>كاوسي</v>
      </c>
      <c r="D1030" s="1" t="str">
        <f t="shared" si="110"/>
        <v>قراردادي بهره بردار</v>
      </c>
      <c r="E1030" s="1" t="str">
        <f t="shared" si="109"/>
        <v>پروژه تعميرات نيروگاه بوشهر</v>
      </c>
      <c r="F1030" s="1">
        <v>13923987</v>
      </c>
      <c r="G1030" s="1">
        <v>1763991</v>
      </c>
      <c r="H1030" s="1">
        <v>0</v>
      </c>
      <c r="I1030" s="1">
        <v>9972771</v>
      </c>
      <c r="J1030" s="1">
        <v>0</v>
      </c>
      <c r="K1030" s="1">
        <v>3465000</v>
      </c>
      <c r="L1030" s="1">
        <v>0</v>
      </c>
      <c r="M1030" s="1">
        <v>1000000</v>
      </c>
      <c r="N1030" s="1">
        <v>2250209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3787617</v>
      </c>
      <c r="W1030" s="1">
        <v>4000000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1768021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9961180</v>
      </c>
      <c r="AM1030" s="1">
        <v>0</v>
      </c>
      <c r="AN1030" s="1">
        <v>0</v>
      </c>
      <c r="AO1030" s="1">
        <v>51892776</v>
      </c>
      <c r="AP1030" s="1">
        <v>19948845</v>
      </c>
      <c r="AQ1030" s="1">
        <v>31943931</v>
      </c>
      <c r="AR1030" s="1">
        <v>10378555</v>
      </c>
      <c r="AS1030" s="1">
        <v>1556783</v>
      </c>
      <c r="AT1030" s="3">
        <f t="shared" si="111"/>
        <v>63828114</v>
      </c>
    </row>
    <row r="1031" spans="1:46" x14ac:dyDescent="0.2">
      <c r="A1031" s="1" t="str">
        <f>"01329"</f>
        <v>01329</v>
      </c>
      <c r="B1031" s="1" t="str">
        <f>"مجتبي"</f>
        <v>مجتبي</v>
      </c>
      <c r="C1031" s="1" t="str">
        <f>"كيايي"</f>
        <v>كيايي</v>
      </c>
      <c r="D1031" s="1" t="str">
        <f t="shared" si="110"/>
        <v>قراردادي بهره بردار</v>
      </c>
      <c r="E1031" s="1" t="str">
        <f t="shared" si="109"/>
        <v>پروژه تعميرات نيروگاه بوشهر</v>
      </c>
      <c r="F1031" s="1">
        <v>13178284</v>
      </c>
      <c r="G1031" s="1">
        <v>50533911</v>
      </c>
      <c r="H1031" s="1">
        <v>0</v>
      </c>
      <c r="I1031" s="1">
        <v>9021938</v>
      </c>
      <c r="J1031" s="1">
        <v>0</v>
      </c>
      <c r="K1031" s="1">
        <v>4620000</v>
      </c>
      <c r="L1031" s="1">
        <v>0</v>
      </c>
      <c r="M1031" s="1">
        <v>1000000</v>
      </c>
      <c r="N1031" s="1">
        <v>2121475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3390804</v>
      </c>
      <c r="W1031" s="1">
        <v>4000000</v>
      </c>
      <c r="X1031" s="1">
        <v>1912977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1666873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7919466</v>
      </c>
      <c r="AM1031" s="1">
        <v>0</v>
      </c>
      <c r="AN1031" s="1">
        <v>0</v>
      </c>
      <c r="AO1031" s="1">
        <v>99365728</v>
      </c>
      <c r="AP1031" s="1">
        <v>24805729</v>
      </c>
      <c r="AQ1031" s="1">
        <v>74559999</v>
      </c>
      <c r="AR1031" s="1">
        <v>17602898</v>
      </c>
      <c r="AS1031" s="1">
        <v>2640435</v>
      </c>
      <c r="AT1031" s="3">
        <f t="shared" si="111"/>
        <v>119609061</v>
      </c>
    </row>
    <row r="1032" spans="1:46" x14ac:dyDescent="0.2">
      <c r="A1032" s="1" t="str">
        <f>"01330"</f>
        <v>01330</v>
      </c>
      <c r="B1032" s="1" t="str">
        <f>"حسن"</f>
        <v>حسن</v>
      </c>
      <c r="C1032" s="1" t="str">
        <f>"محقق نژاد"</f>
        <v>محقق نژاد</v>
      </c>
      <c r="D1032" s="1" t="str">
        <f t="shared" si="110"/>
        <v>قراردادي بهره بردار</v>
      </c>
      <c r="E1032" s="1" t="str">
        <f t="shared" si="109"/>
        <v>پروژه تعميرات نيروگاه بوشهر</v>
      </c>
      <c r="F1032" s="1">
        <v>18816403</v>
      </c>
      <c r="G1032" s="1">
        <v>3172769</v>
      </c>
      <c r="H1032" s="1">
        <v>0</v>
      </c>
      <c r="I1032" s="1">
        <v>12831638</v>
      </c>
      <c r="J1032" s="1">
        <v>0</v>
      </c>
      <c r="K1032" s="1">
        <v>4125000</v>
      </c>
      <c r="L1032" s="1">
        <v>0</v>
      </c>
      <c r="M1032" s="1">
        <v>1000000</v>
      </c>
      <c r="N1032" s="1">
        <v>2948550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4541684</v>
      </c>
      <c r="W1032" s="1">
        <v>4000000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2316718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8503533</v>
      </c>
      <c r="AM1032" s="1">
        <v>0</v>
      </c>
      <c r="AN1032" s="1">
        <v>0</v>
      </c>
      <c r="AO1032" s="1">
        <v>62256295</v>
      </c>
      <c r="AP1032" s="1">
        <v>7741376</v>
      </c>
      <c r="AQ1032" s="1">
        <v>54514919</v>
      </c>
      <c r="AR1032" s="1">
        <v>12451259</v>
      </c>
      <c r="AS1032" s="1">
        <v>1867689</v>
      </c>
      <c r="AT1032" s="3">
        <f t="shared" si="111"/>
        <v>76575243</v>
      </c>
    </row>
    <row r="1033" spans="1:46" x14ac:dyDescent="0.2">
      <c r="A1033" s="1" t="str">
        <f>"01331"</f>
        <v>01331</v>
      </c>
      <c r="B1033" s="1" t="str">
        <f>"آرمين"</f>
        <v>آرمين</v>
      </c>
      <c r="C1033" s="1" t="str">
        <f>"محمودي"</f>
        <v>محمودي</v>
      </c>
      <c r="D1033" s="1" t="str">
        <f t="shared" si="110"/>
        <v>قراردادي بهره بردار</v>
      </c>
      <c r="E1033" s="1" t="str">
        <f t="shared" si="109"/>
        <v>پروژه تعميرات نيروگاه بوشهر</v>
      </c>
      <c r="F1033" s="1">
        <v>19025502</v>
      </c>
      <c r="G1033" s="1">
        <v>5428450</v>
      </c>
      <c r="H1033" s="1">
        <v>0</v>
      </c>
      <c r="I1033" s="1">
        <v>13669612</v>
      </c>
      <c r="J1033" s="1">
        <v>0</v>
      </c>
      <c r="K1033" s="1">
        <v>4125000</v>
      </c>
      <c r="L1033" s="1">
        <v>0</v>
      </c>
      <c r="M1033" s="1">
        <v>1000000</v>
      </c>
      <c r="N1033" s="1">
        <v>3021734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4662358</v>
      </c>
      <c r="W1033" s="1">
        <v>4000000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2374220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8532504</v>
      </c>
      <c r="AM1033" s="1">
        <v>0</v>
      </c>
      <c r="AN1033" s="1">
        <v>0</v>
      </c>
      <c r="AO1033" s="1">
        <v>65839380</v>
      </c>
      <c r="AP1033" s="1">
        <v>27262970</v>
      </c>
      <c r="AQ1033" s="1">
        <v>38576410</v>
      </c>
      <c r="AR1033" s="1">
        <v>13167876</v>
      </c>
      <c r="AS1033" s="1">
        <v>1975181</v>
      </c>
      <c r="AT1033" s="3">
        <f t="shared" si="111"/>
        <v>80982437</v>
      </c>
    </row>
    <row r="1034" spans="1:46" x14ac:dyDescent="0.2">
      <c r="A1034" s="1" t="str">
        <f>"01332"</f>
        <v>01332</v>
      </c>
      <c r="B1034" s="1" t="str">
        <f>"فرامرز"</f>
        <v>فرامرز</v>
      </c>
      <c r="C1034" s="1" t="str">
        <f>"مقتدربهاري"</f>
        <v>مقتدربهاري</v>
      </c>
      <c r="D1034" s="1" t="str">
        <f t="shared" si="110"/>
        <v>قراردادي بهره بردار</v>
      </c>
      <c r="E1034" s="1" t="str">
        <f t="shared" si="109"/>
        <v>پروژه تعميرات نيروگاه بوشهر</v>
      </c>
      <c r="F1034" s="1">
        <v>18912135</v>
      </c>
      <c r="G1034" s="1">
        <v>8183957</v>
      </c>
      <c r="H1034" s="1">
        <v>0</v>
      </c>
      <c r="I1034" s="1">
        <v>12044965</v>
      </c>
      <c r="J1034" s="1">
        <v>0</v>
      </c>
      <c r="K1034" s="1">
        <v>5500000</v>
      </c>
      <c r="L1034" s="1">
        <v>0</v>
      </c>
      <c r="M1034" s="1">
        <v>1000000</v>
      </c>
      <c r="N1034" s="1">
        <v>2982056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4393120</v>
      </c>
      <c r="W1034" s="1">
        <v>4000000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2343044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7648998</v>
      </c>
      <c r="AM1034" s="1">
        <v>0</v>
      </c>
      <c r="AN1034" s="1">
        <v>0</v>
      </c>
      <c r="AO1034" s="1">
        <v>67008275</v>
      </c>
      <c r="AP1034" s="1">
        <v>8650022</v>
      </c>
      <c r="AQ1034" s="1">
        <v>58358253</v>
      </c>
      <c r="AR1034" s="1">
        <v>13401655</v>
      </c>
      <c r="AS1034" s="1">
        <v>2010248</v>
      </c>
      <c r="AT1034" s="3">
        <f t="shared" si="111"/>
        <v>82420178</v>
      </c>
    </row>
    <row r="1035" spans="1:46" x14ac:dyDescent="0.2">
      <c r="A1035" s="1" t="str">
        <f>"01333"</f>
        <v>01333</v>
      </c>
      <c r="B1035" s="1" t="str">
        <f>"حسين"</f>
        <v>حسين</v>
      </c>
      <c r="C1035" s="1" t="str">
        <f>"منصوري"</f>
        <v>منصوري</v>
      </c>
      <c r="D1035" s="1" t="str">
        <f t="shared" si="110"/>
        <v>قراردادي بهره بردار</v>
      </c>
      <c r="E1035" s="1" t="str">
        <f t="shared" si="109"/>
        <v>پروژه تعميرات نيروگاه بوشهر</v>
      </c>
      <c r="F1035" s="1">
        <v>13092629</v>
      </c>
      <c r="G1035" s="1">
        <v>3235280</v>
      </c>
      <c r="H1035" s="1">
        <v>0</v>
      </c>
      <c r="I1035" s="1">
        <v>9197392</v>
      </c>
      <c r="J1035" s="1">
        <v>0</v>
      </c>
      <c r="K1035" s="1">
        <v>3465000</v>
      </c>
      <c r="L1035" s="1">
        <v>0</v>
      </c>
      <c r="M1035" s="1">
        <v>1000000</v>
      </c>
      <c r="N1035" s="1">
        <v>2091496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3473373</v>
      </c>
      <c r="W1035" s="1">
        <v>4000000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1643317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8708903</v>
      </c>
      <c r="AM1035" s="1">
        <v>0</v>
      </c>
      <c r="AN1035" s="1">
        <v>0</v>
      </c>
      <c r="AO1035" s="1">
        <v>49907390</v>
      </c>
      <c r="AP1035" s="1">
        <v>6441305</v>
      </c>
      <c r="AQ1035" s="1">
        <v>43466085</v>
      </c>
      <c r="AR1035" s="1">
        <v>9981478</v>
      </c>
      <c r="AS1035" s="1">
        <v>1497222</v>
      </c>
      <c r="AT1035" s="3">
        <f t="shared" si="111"/>
        <v>61386090</v>
      </c>
    </row>
    <row r="1036" spans="1:46" x14ac:dyDescent="0.2">
      <c r="A1036" s="1" t="str">
        <f>"01334"</f>
        <v>01334</v>
      </c>
      <c r="B1036" s="1" t="str">
        <f>"حسين"</f>
        <v>حسين</v>
      </c>
      <c r="C1036" s="1" t="str">
        <f>"منفرد"</f>
        <v>منفرد</v>
      </c>
      <c r="D1036" s="1" t="str">
        <f t="shared" si="110"/>
        <v>قراردادي بهره بردار</v>
      </c>
      <c r="E1036" s="1" t="str">
        <f t="shared" si="109"/>
        <v>پروژه تعميرات نيروگاه بوشهر</v>
      </c>
      <c r="F1036" s="1">
        <v>13180803</v>
      </c>
      <c r="G1036" s="1">
        <v>60906007</v>
      </c>
      <c r="H1036" s="1">
        <v>0</v>
      </c>
      <c r="I1036" s="1">
        <v>8640340</v>
      </c>
      <c r="J1036" s="1">
        <v>0</v>
      </c>
      <c r="K1036" s="1">
        <v>3465000</v>
      </c>
      <c r="L1036" s="1">
        <v>0</v>
      </c>
      <c r="M1036" s="1">
        <v>1000000</v>
      </c>
      <c r="N1036" s="1">
        <v>2122356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3353244</v>
      </c>
      <c r="W1036" s="1">
        <v>4000000</v>
      </c>
      <c r="X1036" s="1">
        <v>1913342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1667565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7921380</v>
      </c>
      <c r="AM1036" s="1">
        <v>0</v>
      </c>
      <c r="AN1036" s="1">
        <v>0</v>
      </c>
      <c r="AO1036" s="1">
        <v>108170037</v>
      </c>
      <c r="AP1036" s="1">
        <v>32749103</v>
      </c>
      <c r="AQ1036" s="1">
        <v>75420934</v>
      </c>
      <c r="AR1036" s="1">
        <v>17209303</v>
      </c>
      <c r="AS1036" s="1">
        <v>2581395</v>
      </c>
      <c r="AT1036" s="3">
        <f t="shared" si="111"/>
        <v>127960735</v>
      </c>
    </row>
    <row r="1037" spans="1:46" x14ac:dyDescent="0.2">
      <c r="A1037" s="1" t="str">
        <f>"01336"</f>
        <v>01336</v>
      </c>
      <c r="B1037" s="1" t="str">
        <f>"علي"</f>
        <v>علي</v>
      </c>
      <c r="C1037" s="1" t="str">
        <f>"نعمتي"</f>
        <v>نعمتي</v>
      </c>
      <c r="D1037" s="1" t="str">
        <f t="shared" si="110"/>
        <v>قراردادي بهره بردار</v>
      </c>
      <c r="E1037" s="1" t="str">
        <f t="shared" si="109"/>
        <v>پروژه تعميرات نيروگاه بوشهر</v>
      </c>
      <c r="F1037" s="1">
        <v>9715593</v>
      </c>
      <c r="G1037" s="1">
        <v>29022134</v>
      </c>
      <c r="H1037" s="1">
        <v>0</v>
      </c>
      <c r="I1037" s="1">
        <v>6703268</v>
      </c>
      <c r="J1037" s="1">
        <v>0</v>
      </c>
      <c r="K1037" s="1">
        <v>2129032</v>
      </c>
      <c r="L1037" s="1">
        <v>0</v>
      </c>
      <c r="M1037" s="1">
        <v>516129</v>
      </c>
      <c r="N1037" s="1">
        <v>1523197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2325041</v>
      </c>
      <c r="W1037" s="1">
        <v>2064516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1196798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4111547</v>
      </c>
      <c r="AM1037" s="1">
        <v>0</v>
      </c>
      <c r="AN1037" s="1">
        <v>0</v>
      </c>
      <c r="AO1037" s="1">
        <v>59307255</v>
      </c>
      <c r="AP1037" s="1">
        <v>31890306</v>
      </c>
      <c r="AQ1037" s="1">
        <v>27416949</v>
      </c>
      <c r="AR1037" s="1">
        <v>11861451</v>
      </c>
      <c r="AS1037" s="1">
        <v>1779218</v>
      </c>
      <c r="AT1037" s="3">
        <f t="shared" si="111"/>
        <v>72947924</v>
      </c>
    </row>
    <row r="1038" spans="1:46" x14ac:dyDescent="0.2">
      <c r="A1038" s="1" t="str">
        <f>"01337"</f>
        <v>01337</v>
      </c>
      <c r="B1038" s="1" t="str">
        <f>"محمد"</f>
        <v>محمد</v>
      </c>
      <c r="C1038" s="1" t="str">
        <f>"نوروزي"</f>
        <v>نوروزي</v>
      </c>
      <c r="D1038" s="1" t="str">
        <f t="shared" si="110"/>
        <v>قراردادي بهره بردار</v>
      </c>
      <c r="E1038" s="1" t="str">
        <f t="shared" si="109"/>
        <v>پروژه تعميرات نيروگاه بوشهر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3">
        <f t="shared" si="111"/>
        <v>0</v>
      </c>
    </row>
    <row r="1039" spans="1:46" x14ac:dyDescent="0.2">
      <c r="A1039" s="1" t="str">
        <f>"01338"</f>
        <v>01338</v>
      </c>
      <c r="B1039" s="1" t="str">
        <f>"عباس"</f>
        <v>عباس</v>
      </c>
      <c r="C1039" s="1" t="str">
        <f>"نياکان"</f>
        <v>نياکان</v>
      </c>
      <c r="D1039" s="1" t="str">
        <f t="shared" si="110"/>
        <v>قراردادي بهره بردار</v>
      </c>
      <c r="E1039" s="1" t="str">
        <f t="shared" si="109"/>
        <v>پروژه تعميرات نيروگاه بوشهر</v>
      </c>
      <c r="F1039" s="1">
        <v>20131460</v>
      </c>
      <c r="G1039" s="1">
        <v>0</v>
      </c>
      <c r="H1039" s="1">
        <v>0</v>
      </c>
      <c r="I1039" s="1">
        <v>14291452</v>
      </c>
      <c r="J1039" s="1">
        <v>0</v>
      </c>
      <c r="K1039" s="1">
        <v>4125000</v>
      </c>
      <c r="L1039" s="1">
        <v>0</v>
      </c>
      <c r="M1039" s="1">
        <v>1000000</v>
      </c>
      <c r="N1039" s="1">
        <v>3183975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4824843</v>
      </c>
      <c r="W1039" s="1">
        <v>4000000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2501695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8139852</v>
      </c>
      <c r="AM1039" s="1">
        <v>0</v>
      </c>
      <c r="AN1039" s="1">
        <v>0</v>
      </c>
      <c r="AO1039" s="1">
        <v>62198277</v>
      </c>
      <c r="AP1039" s="1">
        <v>11548281</v>
      </c>
      <c r="AQ1039" s="1">
        <v>50649996</v>
      </c>
      <c r="AR1039" s="1">
        <v>12439655</v>
      </c>
      <c r="AS1039" s="1">
        <v>1865948</v>
      </c>
      <c r="AT1039" s="3">
        <f t="shared" si="111"/>
        <v>76503880</v>
      </c>
    </row>
    <row r="1040" spans="1:46" x14ac:dyDescent="0.2">
      <c r="A1040" s="1" t="str">
        <f>"01339"</f>
        <v>01339</v>
      </c>
      <c r="B1040" s="1" t="str">
        <f>"جواد"</f>
        <v>جواد</v>
      </c>
      <c r="C1040" s="1" t="str">
        <f>"نيک پي"</f>
        <v>نيک پي</v>
      </c>
      <c r="D1040" s="1" t="str">
        <f t="shared" si="110"/>
        <v>قراردادي بهره بردار</v>
      </c>
      <c r="E1040" s="1" t="str">
        <f t="shared" si="109"/>
        <v>پروژه تعميرات نيروگاه بوشهر</v>
      </c>
      <c r="F1040" s="1">
        <v>13639310</v>
      </c>
      <c r="G1040" s="1">
        <v>3966574</v>
      </c>
      <c r="H1040" s="1">
        <v>0</v>
      </c>
      <c r="I1040" s="1">
        <v>9621582</v>
      </c>
      <c r="J1040" s="1">
        <v>0</v>
      </c>
      <c r="K1040" s="1">
        <v>4620000</v>
      </c>
      <c r="L1040" s="1">
        <v>0</v>
      </c>
      <c r="M1040" s="1">
        <v>1000000</v>
      </c>
      <c r="N1040" s="1">
        <v>2282834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3650131</v>
      </c>
      <c r="W1040" s="1">
        <v>4000000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1793655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9163934</v>
      </c>
      <c r="AM1040" s="1">
        <v>0</v>
      </c>
      <c r="AN1040" s="1">
        <v>0</v>
      </c>
      <c r="AO1040" s="1">
        <v>53738020</v>
      </c>
      <c r="AP1040" s="1">
        <v>18999990</v>
      </c>
      <c r="AQ1040" s="1">
        <v>34738030</v>
      </c>
      <c r="AR1040" s="1">
        <v>10747604</v>
      </c>
      <c r="AS1040" s="1">
        <v>1612141</v>
      </c>
      <c r="AT1040" s="3">
        <f t="shared" si="111"/>
        <v>66097765</v>
      </c>
    </row>
    <row r="1041" spans="1:46" x14ac:dyDescent="0.2">
      <c r="A1041" s="1" t="str">
        <f>"01340"</f>
        <v>01340</v>
      </c>
      <c r="B1041" s="1" t="str">
        <f>"فريبرز"</f>
        <v>فريبرز</v>
      </c>
      <c r="C1041" s="1" t="str">
        <f>"اشکني پور جفره"</f>
        <v>اشکني پور جفره</v>
      </c>
      <c r="D1041" s="1" t="str">
        <f>"قراردادي کارگري"</f>
        <v>قراردادي کارگري</v>
      </c>
      <c r="E1041" s="1" t="str">
        <f t="shared" si="109"/>
        <v>پروژه تعميرات نيروگاه بوشهر</v>
      </c>
      <c r="F1041" s="1">
        <v>0</v>
      </c>
      <c r="G1041" s="1">
        <v>4733889</v>
      </c>
      <c r="H1041" s="1">
        <v>0</v>
      </c>
      <c r="I1041" s="1">
        <v>4408958</v>
      </c>
      <c r="J1041" s="1">
        <v>0</v>
      </c>
      <c r="K1041" s="1">
        <v>0</v>
      </c>
      <c r="L1041" s="1">
        <v>11521166</v>
      </c>
      <c r="M1041" s="1">
        <v>2000000</v>
      </c>
      <c r="N1041" s="1">
        <v>3919075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2640000</v>
      </c>
      <c r="U1041" s="1">
        <v>0</v>
      </c>
      <c r="V1041" s="1">
        <v>6345518</v>
      </c>
      <c r="W1041" s="1">
        <v>4000000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46916871</v>
      </c>
      <c r="AP1041" s="1">
        <v>7789450</v>
      </c>
      <c r="AQ1041" s="1">
        <v>39127421</v>
      </c>
      <c r="AR1041" s="1">
        <v>9383374</v>
      </c>
      <c r="AS1041" s="1">
        <v>1407506</v>
      </c>
      <c r="AT1041" s="3">
        <f t="shared" si="111"/>
        <v>57707751</v>
      </c>
    </row>
    <row r="1042" spans="1:46" x14ac:dyDescent="0.2">
      <c r="A1042" s="1" t="str">
        <f>"01341"</f>
        <v>01341</v>
      </c>
      <c r="B1042" s="1" t="str">
        <f>"محسن"</f>
        <v>محسن</v>
      </c>
      <c r="C1042" s="1" t="str">
        <f>"ابراهيمي"</f>
        <v>ابراهيمي</v>
      </c>
      <c r="D1042" s="1" t="str">
        <f t="shared" ref="D1042:D1082" si="112">"قراردادي بهره بردار"</f>
        <v>قراردادي بهره بردار</v>
      </c>
      <c r="E1042" s="1" t="str">
        <f t="shared" ref="E1042:E1048" si="113">"پروژه بهره برداري نيروگاه بوشهر"</f>
        <v>پروژه بهره برداري نيروگاه بوشهر</v>
      </c>
      <c r="F1042" s="1">
        <v>19335372</v>
      </c>
      <c r="G1042" s="1">
        <v>6039709</v>
      </c>
      <c r="H1042" s="1">
        <v>0</v>
      </c>
      <c r="I1042" s="1">
        <v>13482006</v>
      </c>
      <c r="J1042" s="1">
        <v>0</v>
      </c>
      <c r="K1042" s="1">
        <v>5500000</v>
      </c>
      <c r="L1042" s="1">
        <v>0</v>
      </c>
      <c r="M1042" s="1">
        <v>1000000</v>
      </c>
      <c r="N1042" s="1">
        <v>2905345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4322793</v>
      </c>
      <c r="W1042" s="1">
        <v>4000000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2282771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5222440</v>
      </c>
      <c r="AM1042" s="1">
        <v>0</v>
      </c>
      <c r="AN1042" s="1">
        <v>0</v>
      </c>
      <c r="AO1042" s="1">
        <v>64090436</v>
      </c>
      <c r="AP1042" s="1">
        <v>19506746</v>
      </c>
      <c r="AQ1042" s="1">
        <v>44583690</v>
      </c>
      <c r="AR1042" s="1">
        <v>12818087</v>
      </c>
      <c r="AS1042" s="1">
        <v>1922713</v>
      </c>
      <c r="AT1042" s="3">
        <f t="shared" si="111"/>
        <v>78831236</v>
      </c>
    </row>
    <row r="1043" spans="1:46" x14ac:dyDescent="0.2">
      <c r="A1043" s="1" t="str">
        <f>"01342"</f>
        <v>01342</v>
      </c>
      <c r="B1043" s="1" t="str">
        <f>"صادق"</f>
        <v>صادق</v>
      </c>
      <c r="C1043" s="1" t="str">
        <f>"احمدي حبيب آباد"</f>
        <v>احمدي حبيب آباد</v>
      </c>
      <c r="D1043" s="1" t="str">
        <f t="shared" si="112"/>
        <v>قراردادي بهره بردار</v>
      </c>
      <c r="E1043" s="1" t="str">
        <f t="shared" si="113"/>
        <v>پروژه بهره برداري نيروگاه بوشهر</v>
      </c>
      <c r="F1043" s="1">
        <v>10517938</v>
      </c>
      <c r="G1043" s="1">
        <v>16576560</v>
      </c>
      <c r="H1043" s="1">
        <v>0</v>
      </c>
      <c r="I1043" s="1">
        <v>5856849</v>
      </c>
      <c r="J1043" s="1">
        <v>0</v>
      </c>
      <c r="K1043" s="1">
        <v>3465000</v>
      </c>
      <c r="L1043" s="1">
        <v>0</v>
      </c>
      <c r="M1043" s="1">
        <v>1000000</v>
      </c>
      <c r="N1043" s="1">
        <v>1485738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2399525</v>
      </c>
      <c r="W1043" s="1">
        <v>4000000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1167365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4967365</v>
      </c>
      <c r="AM1043" s="1">
        <v>0</v>
      </c>
      <c r="AN1043" s="1">
        <v>0</v>
      </c>
      <c r="AO1043" s="1">
        <v>51436340</v>
      </c>
      <c r="AP1043" s="1">
        <v>11111565</v>
      </c>
      <c r="AQ1043" s="1">
        <v>40324775</v>
      </c>
      <c r="AR1043" s="1">
        <v>10287268</v>
      </c>
      <c r="AS1043" s="1">
        <v>1543090</v>
      </c>
      <c r="AT1043" s="3">
        <f t="shared" si="111"/>
        <v>63266698</v>
      </c>
    </row>
    <row r="1044" spans="1:46" x14ac:dyDescent="0.2">
      <c r="A1044" s="1" t="str">
        <f>"01343"</f>
        <v>01343</v>
      </c>
      <c r="B1044" s="1" t="str">
        <f>"مهدي"</f>
        <v>مهدي</v>
      </c>
      <c r="C1044" s="1" t="str">
        <f>"بنافي"</f>
        <v>بنافي</v>
      </c>
      <c r="D1044" s="1" t="str">
        <f t="shared" si="112"/>
        <v>قراردادي بهره بردار</v>
      </c>
      <c r="E1044" s="1" t="str">
        <f t="shared" si="113"/>
        <v>پروژه بهره برداري نيروگاه بوشهر</v>
      </c>
      <c r="F1044" s="1">
        <v>20600044</v>
      </c>
      <c r="G1044" s="1">
        <v>661983</v>
      </c>
      <c r="H1044" s="1">
        <v>0</v>
      </c>
      <c r="I1044" s="1">
        <v>10742179</v>
      </c>
      <c r="J1044" s="1">
        <v>0</v>
      </c>
      <c r="K1044" s="1">
        <v>4125000</v>
      </c>
      <c r="L1044" s="1">
        <v>0</v>
      </c>
      <c r="M1044" s="1">
        <v>1000000</v>
      </c>
      <c r="N1044" s="1">
        <v>3546372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4264202</v>
      </c>
      <c r="W1044" s="1">
        <v>4000000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2786435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4966986</v>
      </c>
      <c r="AM1044" s="1">
        <v>0</v>
      </c>
      <c r="AN1044" s="1">
        <v>0</v>
      </c>
      <c r="AO1044" s="1">
        <v>56693201</v>
      </c>
      <c r="AP1044" s="1">
        <v>5840992</v>
      </c>
      <c r="AQ1044" s="1">
        <v>50852209</v>
      </c>
      <c r="AR1044" s="1">
        <v>11338640</v>
      </c>
      <c r="AS1044" s="1">
        <v>1700796</v>
      </c>
      <c r="AT1044" s="3">
        <f t="shared" si="111"/>
        <v>69732637</v>
      </c>
    </row>
    <row r="1045" spans="1:46" x14ac:dyDescent="0.2">
      <c r="A1045" s="1" t="str">
        <f>"01344"</f>
        <v>01344</v>
      </c>
      <c r="B1045" s="1" t="str">
        <f>"جمشيد"</f>
        <v>جمشيد</v>
      </c>
      <c r="C1045" s="1" t="str">
        <f>"حيدري"</f>
        <v>حيدري</v>
      </c>
      <c r="D1045" s="1" t="str">
        <f t="shared" si="112"/>
        <v>قراردادي بهره بردار</v>
      </c>
      <c r="E1045" s="1" t="str">
        <f t="shared" si="113"/>
        <v>پروژه بهره برداري نيروگاه بوشهر</v>
      </c>
      <c r="F1045" s="1">
        <v>17377901</v>
      </c>
      <c r="G1045" s="1">
        <v>6055528</v>
      </c>
      <c r="H1045" s="1">
        <v>0</v>
      </c>
      <c r="I1045" s="1">
        <v>11653862</v>
      </c>
      <c r="J1045" s="1">
        <v>0</v>
      </c>
      <c r="K1045" s="1">
        <v>5500000</v>
      </c>
      <c r="L1045" s="1">
        <v>0</v>
      </c>
      <c r="M1045" s="1">
        <v>1000000</v>
      </c>
      <c r="N1045" s="1">
        <v>2418622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3900704</v>
      </c>
      <c r="W1045" s="1">
        <v>4000000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1900345</v>
      </c>
      <c r="AF1045" s="1">
        <v>1835427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5656308</v>
      </c>
      <c r="AM1045" s="1">
        <v>0</v>
      </c>
      <c r="AN1045" s="1">
        <v>0</v>
      </c>
      <c r="AO1045" s="1">
        <v>61298697</v>
      </c>
      <c r="AP1045" s="1">
        <v>18893671</v>
      </c>
      <c r="AQ1045" s="1">
        <v>42405026</v>
      </c>
      <c r="AR1045" s="1">
        <v>11892654</v>
      </c>
      <c r="AS1045" s="1">
        <v>1783898</v>
      </c>
      <c r="AT1045" s="3">
        <f t="shared" si="111"/>
        <v>74975249</v>
      </c>
    </row>
    <row r="1046" spans="1:46" x14ac:dyDescent="0.2">
      <c r="A1046" s="1" t="str">
        <f>"01345"</f>
        <v>01345</v>
      </c>
      <c r="B1046" s="1" t="str">
        <f>"وحيد"</f>
        <v>وحيد</v>
      </c>
      <c r="C1046" s="1" t="str">
        <f>"حياتي جعفر بيگي"</f>
        <v>حياتي جعفر بيگي</v>
      </c>
      <c r="D1046" s="1" t="str">
        <f t="shared" si="112"/>
        <v>قراردادي بهره بردار</v>
      </c>
      <c r="E1046" s="1" t="str">
        <f t="shared" si="113"/>
        <v>پروژه بهره برداري نيروگاه بوشهر</v>
      </c>
      <c r="F1046" s="1">
        <v>17521500</v>
      </c>
      <c r="G1046" s="1">
        <v>11281287</v>
      </c>
      <c r="H1046" s="1">
        <v>0</v>
      </c>
      <c r="I1046" s="1">
        <v>12929334</v>
      </c>
      <c r="J1046" s="1">
        <v>0</v>
      </c>
      <c r="K1046" s="1">
        <v>4125000</v>
      </c>
      <c r="L1046" s="1">
        <v>0</v>
      </c>
      <c r="M1046" s="1">
        <v>1000000</v>
      </c>
      <c r="N1046" s="1">
        <v>2680500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4037170</v>
      </c>
      <c r="W1046" s="1">
        <v>4000000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2106107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5134265</v>
      </c>
      <c r="AM1046" s="1">
        <v>0</v>
      </c>
      <c r="AN1046" s="1">
        <v>0</v>
      </c>
      <c r="AO1046" s="1">
        <v>64815163</v>
      </c>
      <c r="AP1046" s="1">
        <v>25477493</v>
      </c>
      <c r="AQ1046" s="1">
        <v>39337670</v>
      </c>
      <c r="AR1046" s="1">
        <v>12963033</v>
      </c>
      <c r="AS1046" s="1">
        <v>1944455</v>
      </c>
      <c r="AT1046" s="3">
        <f t="shared" si="111"/>
        <v>79722651</v>
      </c>
    </row>
    <row r="1047" spans="1:46" x14ac:dyDescent="0.2">
      <c r="A1047" s="1" t="str">
        <f>"01346"</f>
        <v>01346</v>
      </c>
      <c r="B1047" s="1" t="str">
        <f>"عيسي"</f>
        <v>عيسي</v>
      </c>
      <c r="C1047" s="1" t="str">
        <f>"قاسمي"</f>
        <v>قاسمي</v>
      </c>
      <c r="D1047" s="1" t="str">
        <f t="shared" si="112"/>
        <v>قراردادي بهره بردار</v>
      </c>
      <c r="E1047" s="1" t="str">
        <f t="shared" si="113"/>
        <v>پروژه بهره برداري نيروگاه بوشهر</v>
      </c>
      <c r="F1047" s="1">
        <v>11228372</v>
      </c>
      <c r="G1047" s="1">
        <v>13139102</v>
      </c>
      <c r="H1047" s="1">
        <v>0</v>
      </c>
      <c r="I1047" s="1">
        <v>7548669</v>
      </c>
      <c r="J1047" s="1">
        <v>0</v>
      </c>
      <c r="K1047" s="1">
        <v>4620000</v>
      </c>
      <c r="L1047" s="1">
        <v>0</v>
      </c>
      <c r="M1047" s="1">
        <v>1000000</v>
      </c>
      <c r="N1047" s="1">
        <v>1602128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4845799</v>
      </c>
      <c r="W1047" s="1">
        <v>4000000</v>
      </c>
      <c r="X1047" s="1">
        <v>1629925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1258815</v>
      </c>
      <c r="AF1047" s="1">
        <v>3670854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8648264</v>
      </c>
      <c r="AM1047" s="1">
        <v>0</v>
      </c>
      <c r="AN1047" s="1">
        <v>0</v>
      </c>
      <c r="AO1047" s="1">
        <v>63191928</v>
      </c>
      <c r="AP1047" s="1">
        <v>22446803</v>
      </c>
      <c r="AQ1047" s="1">
        <v>40745125</v>
      </c>
      <c r="AR1047" s="1">
        <v>11904215</v>
      </c>
      <c r="AS1047" s="1">
        <v>1785632</v>
      </c>
      <c r="AT1047" s="3">
        <f t="shared" si="111"/>
        <v>76881775</v>
      </c>
    </row>
    <row r="1048" spans="1:46" x14ac:dyDescent="0.2">
      <c r="A1048" s="1" t="str">
        <f>"01347"</f>
        <v>01347</v>
      </c>
      <c r="B1048" s="1" t="str">
        <f>"مسعود"</f>
        <v>مسعود</v>
      </c>
      <c r="C1048" s="1" t="str">
        <f>"گلرخ"</f>
        <v>گلرخ</v>
      </c>
      <c r="D1048" s="1" t="str">
        <f t="shared" si="112"/>
        <v>قراردادي بهره بردار</v>
      </c>
      <c r="E1048" s="1" t="str">
        <f t="shared" si="113"/>
        <v>پروژه بهره برداري نيروگاه بوشهر</v>
      </c>
      <c r="F1048" s="1">
        <v>13661983</v>
      </c>
      <c r="G1048" s="1">
        <v>14959098</v>
      </c>
      <c r="H1048" s="1">
        <v>0</v>
      </c>
      <c r="I1048" s="1">
        <v>9786848</v>
      </c>
      <c r="J1048" s="1">
        <v>0</v>
      </c>
      <c r="K1048" s="1">
        <v>4620000</v>
      </c>
      <c r="L1048" s="1">
        <v>0</v>
      </c>
      <c r="M1048" s="1">
        <v>1000000</v>
      </c>
      <c r="N1048" s="1">
        <v>2189369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6091718</v>
      </c>
      <c r="W1048" s="1">
        <v>4000000</v>
      </c>
      <c r="X1048" s="1">
        <v>1983191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1720218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10714819</v>
      </c>
      <c r="AM1048" s="1">
        <v>0</v>
      </c>
      <c r="AN1048" s="1">
        <v>0</v>
      </c>
      <c r="AO1048" s="1">
        <v>70727244</v>
      </c>
      <c r="AP1048" s="1">
        <v>37757325</v>
      </c>
      <c r="AQ1048" s="1">
        <v>32969919</v>
      </c>
      <c r="AR1048" s="1">
        <v>14145449</v>
      </c>
      <c r="AS1048" s="1">
        <v>2121817</v>
      </c>
      <c r="AT1048" s="3">
        <f t="shared" si="111"/>
        <v>86994510</v>
      </c>
    </row>
    <row r="1049" spans="1:46" x14ac:dyDescent="0.2">
      <c r="A1049" s="1" t="str">
        <f>"01349"</f>
        <v>01349</v>
      </c>
      <c r="B1049" s="1" t="str">
        <f>"روزبه"</f>
        <v>روزبه</v>
      </c>
      <c r="C1049" s="1" t="str">
        <f>"محمدي"</f>
        <v>محمدي</v>
      </c>
      <c r="D1049" s="1" t="str">
        <f t="shared" si="112"/>
        <v>قراردادي بهره بردار</v>
      </c>
      <c r="E1049" s="1" t="str">
        <f>"پروژه تعميرات نيروگاه بوشهر"</f>
        <v>پروژه تعميرات نيروگاه بوشهر</v>
      </c>
      <c r="F1049" s="1">
        <v>18730748</v>
      </c>
      <c r="G1049" s="1">
        <v>2054754</v>
      </c>
      <c r="H1049" s="1">
        <v>0</v>
      </c>
      <c r="I1049" s="1">
        <v>12591399</v>
      </c>
      <c r="J1049" s="1">
        <v>0</v>
      </c>
      <c r="K1049" s="1">
        <v>4125000</v>
      </c>
      <c r="L1049" s="1">
        <v>0</v>
      </c>
      <c r="M1049" s="1">
        <v>1000000</v>
      </c>
      <c r="N1049" s="1">
        <v>2918570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4411940</v>
      </c>
      <c r="W1049" s="1">
        <v>4000000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2293163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7585512</v>
      </c>
      <c r="AM1049" s="1">
        <v>0</v>
      </c>
      <c r="AN1049" s="1">
        <v>0</v>
      </c>
      <c r="AO1049" s="1">
        <v>59711086</v>
      </c>
      <c r="AP1049" s="1">
        <v>19700596</v>
      </c>
      <c r="AQ1049" s="1">
        <v>40010490</v>
      </c>
      <c r="AR1049" s="1">
        <v>11942217</v>
      </c>
      <c r="AS1049" s="1">
        <v>1791333</v>
      </c>
      <c r="AT1049" s="3">
        <f t="shared" si="111"/>
        <v>73444636</v>
      </c>
    </row>
    <row r="1050" spans="1:46" x14ac:dyDescent="0.2">
      <c r="A1050" s="1" t="str">
        <f>"01350"</f>
        <v>01350</v>
      </c>
      <c r="B1050" s="1" t="str">
        <f>"صياد"</f>
        <v>صياد</v>
      </c>
      <c r="C1050" s="1" t="str">
        <f>"شريفي"</f>
        <v>شريفي</v>
      </c>
      <c r="D1050" s="1" t="str">
        <f t="shared" si="112"/>
        <v>قراردادي بهره بردار</v>
      </c>
      <c r="E1050" s="1" t="str">
        <f t="shared" ref="E1050:E1082" si="114">"پروژه بهره برداري نيروگاه بوشهر"</f>
        <v>پروژه بهره برداري نيروگاه بوشهر</v>
      </c>
      <c r="F1050" s="1">
        <v>19007867</v>
      </c>
      <c r="G1050" s="1">
        <v>2745327</v>
      </c>
      <c r="H1050" s="1">
        <v>0</v>
      </c>
      <c r="I1050" s="1">
        <v>10012340</v>
      </c>
      <c r="J1050" s="1">
        <v>0</v>
      </c>
      <c r="K1050" s="1">
        <v>5500000</v>
      </c>
      <c r="L1050" s="1">
        <v>0</v>
      </c>
      <c r="M1050" s="1">
        <v>1000000</v>
      </c>
      <c r="N1050" s="1">
        <v>2989110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3929818</v>
      </c>
      <c r="W1050" s="1">
        <v>4000000</v>
      </c>
      <c r="X1050" s="1">
        <v>2759207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2348587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4940282</v>
      </c>
      <c r="AM1050" s="1">
        <v>0</v>
      </c>
      <c r="AN1050" s="1">
        <v>0</v>
      </c>
      <c r="AO1050" s="1">
        <v>59232538</v>
      </c>
      <c r="AP1050" s="1">
        <v>27842335</v>
      </c>
      <c r="AQ1050" s="1">
        <v>31390203</v>
      </c>
      <c r="AR1050" s="1">
        <v>11846508</v>
      </c>
      <c r="AS1050" s="1">
        <v>1776976</v>
      </c>
      <c r="AT1050" s="3">
        <f t="shared" si="111"/>
        <v>72856022</v>
      </c>
    </row>
    <row r="1051" spans="1:46" x14ac:dyDescent="0.2">
      <c r="A1051" s="1" t="str">
        <f>"01351"</f>
        <v>01351</v>
      </c>
      <c r="B1051" s="1" t="str">
        <f>"رضا"</f>
        <v>رضا</v>
      </c>
      <c r="C1051" s="1" t="str">
        <f>"ثابت سروستاني"</f>
        <v>ثابت سروستاني</v>
      </c>
      <c r="D1051" s="1" t="str">
        <f t="shared" si="112"/>
        <v>قراردادي بهره بردار</v>
      </c>
      <c r="E1051" s="1" t="str">
        <f t="shared" si="114"/>
        <v>پروژه بهره برداري نيروگاه بوشهر</v>
      </c>
      <c r="F1051" s="1">
        <v>12875972</v>
      </c>
      <c r="G1051" s="1">
        <v>2616017</v>
      </c>
      <c r="H1051" s="1">
        <v>0</v>
      </c>
      <c r="I1051" s="1">
        <v>8646529</v>
      </c>
      <c r="J1051" s="1">
        <v>0</v>
      </c>
      <c r="K1051" s="1">
        <v>3465000</v>
      </c>
      <c r="L1051" s="1">
        <v>0</v>
      </c>
      <c r="M1051" s="1">
        <v>1000000</v>
      </c>
      <c r="N1051" s="1">
        <v>2015665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3744716</v>
      </c>
      <c r="W1051" s="1">
        <v>4000000</v>
      </c>
      <c r="X1051" s="1">
        <v>1869093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1583737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12325260</v>
      </c>
      <c r="AM1051" s="1">
        <v>0</v>
      </c>
      <c r="AN1051" s="1">
        <v>0</v>
      </c>
      <c r="AO1051" s="1">
        <v>54141989</v>
      </c>
      <c r="AP1051" s="1">
        <v>22486146</v>
      </c>
      <c r="AQ1051" s="1">
        <v>31655843</v>
      </c>
      <c r="AR1051" s="1">
        <v>10828398</v>
      </c>
      <c r="AS1051" s="1">
        <v>1624260</v>
      </c>
      <c r="AT1051" s="3">
        <f t="shared" si="111"/>
        <v>66594647</v>
      </c>
    </row>
    <row r="1052" spans="1:46" x14ac:dyDescent="0.2">
      <c r="A1052" s="1" t="str">
        <f>"01352"</f>
        <v>01352</v>
      </c>
      <c r="B1052" s="1" t="str">
        <f>"امير"</f>
        <v>امير</v>
      </c>
      <c r="C1052" s="1" t="str">
        <f>"حسينلو"</f>
        <v>حسينلو</v>
      </c>
      <c r="D1052" s="1" t="str">
        <f t="shared" si="112"/>
        <v>قراردادي بهره بردار</v>
      </c>
      <c r="E1052" s="1" t="str">
        <f t="shared" si="114"/>
        <v>پروژه بهره برداري نيروگاه بوشهر</v>
      </c>
      <c r="F1052" s="1">
        <v>12765124</v>
      </c>
      <c r="G1052" s="1">
        <v>2979195</v>
      </c>
      <c r="H1052" s="1">
        <v>0</v>
      </c>
      <c r="I1052" s="1">
        <v>8877704</v>
      </c>
      <c r="J1052" s="1">
        <v>0</v>
      </c>
      <c r="K1052" s="1">
        <v>3465000</v>
      </c>
      <c r="L1052" s="1">
        <v>0</v>
      </c>
      <c r="M1052" s="1">
        <v>1000000</v>
      </c>
      <c r="N1052" s="1">
        <v>1976869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3838132</v>
      </c>
      <c r="W1052" s="1">
        <v>4000000</v>
      </c>
      <c r="X1052" s="1">
        <v>1853002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1553254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13208364</v>
      </c>
      <c r="AM1052" s="1">
        <v>0</v>
      </c>
      <c r="AN1052" s="1">
        <v>0</v>
      </c>
      <c r="AO1052" s="1">
        <v>55516644</v>
      </c>
      <c r="AP1052" s="1">
        <v>31363374</v>
      </c>
      <c r="AQ1052" s="1">
        <v>24153270</v>
      </c>
      <c r="AR1052" s="1">
        <v>11103329</v>
      </c>
      <c r="AS1052" s="1">
        <v>1665499</v>
      </c>
      <c r="AT1052" s="3">
        <f t="shared" si="111"/>
        <v>68285472</v>
      </c>
    </row>
    <row r="1053" spans="1:46" x14ac:dyDescent="0.2">
      <c r="A1053" s="1" t="str">
        <f>"01353"</f>
        <v>01353</v>
      </c>
      <c r="B1053" s="1" t="str">
        <f>"مجتبي"</f>
        <v>مجتبي</v>
      </c>
      <c r="C1053" s="1" t="str">
        <f>"چکي"</f>
        <v>چکي</v>
      </c>
      <c r="D1053" s="1" t="str">
        <f t="shared" si="112"/>
        <v>قراردادي بهره بردار</v>
      </c>
      <c r="E1053" s="1" t="str">
        <f t="shared" si="114"/>
        <v>پروژه بهره برداري نيروگاه بوشهر</v>
      </c>
      <c r="F1053" s="1">
        <v>18173990</v>
      </c>
      <c r="G1053" s="1">
        <v>0</v>
      </c>
      <c r="H1053" s="1">
        <v>0</v>
      </c>
      <c r="I1053" s="1">
        <v>12043139</v>
      </c>
      <c r="J1053" s="1">
        <v>0</v>
      </c>
      <c r="K1053" s="1">
        <v>5500000</v>
      </c>
      <c r="L1053" s="1">
        <v>0</v>
      </c>
      <c r="M1053" s="1">
        <v>1000000</v>
      </c>
      <c r="N1053" s="1">
        <v>2723705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4199335</v>
      </c>
      <c r="W1053" s="1">
        <v>4000000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2140054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6912465</v>
      </c>
      <c r="AM1053" s="1">
        <v>0</v>
      </c>
      <c r="AN1053" s="1">
        <v>0</v>
      </c>
      <c r="AO1053" s="1">
        <v>56692688</v>
      </c>
      <c r="AP1053" s="1">
        <v>23206837</v>
      </c>
      <c r="AQ1053" s="1">
        <v>33485851</v>
      </c>
      <c r="AR1053" s="1">
        <v>11338538</v>
      </c>
      <c r="AS1053" s="1">
        <v>1700781</v>
      </c>
      <c r="AT1053" s="3">
        <f t="shared" si="111"/>
        <v>69732007</v>
      </c>
    </row>
    <row r="1054" spans="1:46" x14ac:dyDescent="0.2">
      <c r="A1054" s="1" t="str">
        <f>"01354"</f>
        <v>01354</v>
      </c>
      <c r="B1054" s="1" t="str">
        <f>"ايمان"</f>
        <v>ايمان</v>
      </c>
      <c r="C1054" s="1" t="str">
        <f>"زردپور"</f>
        <v>زردپور</v>
      </c>
      <c r="D1054" s="1" t="str">
        <f t="shared" si="112"/>
        <v>قراردادي بهره بردار</v>
      </c>
      <c r="E1054" s="1" t="str">
        <f t="shared" si="114"/>
        <v>پروژه بهره برداري نيروگاه بوشهر</v>
      </c>
      <c r="F1054" s="1">
        <v>17488749</v>
      </c>
      <c r="G1054" s="1">
        <v>299457</v>
      </c>
      <c r="H1054" s="1">
        <v>0</v>
      </c>
      <c r="I1054" s="1">
        <v>11542656</v>
      </c>
      <c r="J1054" s="1">
        <v>0</v>
      </c>
      <c r="K1054" s="1">
        <v>5500000</v>
      </c>
      <c r="L1054" s="1">
        <v>0</v>
      </c>
      <c r="M1054" s="1">
        <v>1000000</v>
      </c>
      <c r="N1054" s="1">
        <v>2669037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3857943</v>
      </c>
      <c r="W1054" s="1">
        <v>4000000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2097100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4781883</v>
      </c>
      <c r="AM1054" s="1">
        <v>0</v>
      </c>
      <c r="AN1054" s="1">
        <v>0</v>
      </c>
      <c r="AO1054" s="1">
        <v>53236825</v>
      </c>
      <c r="AP1054" s="1">
        <v>14856237</v>
      </c>
      <c r="AQ1054" s="1">
        <v>38380588</v>
      </c>
      <c r="AR1054" s="1">
        <v>10647365</v>
      </c>
      <c r="AS1054" s="1">
        <v>1597105</v>
      </c>
      <c r="AT1054" s="3">
        <f t="shared" si="111"/>
        <v>65481295</v>
      </c>
    </row>
    <row r="1055" spans="1:46" x14ac:dyDescent="0.2">
      <c r="A1055" s="1" t="str">
        <f>"01355"</f>
        <v>01355</v>
      </c>
      <c r="B1055" s="1" t="str">
        <f>"حسن"</f>
        <v>حسن</v>
      </c>
      <c r="C1055" s="1" t="str">
        <f>"مشتاقي"</f>
        <v>مشتاقي</v>
      </c>
      <c r="D1055" s="1" t="str">
        <f t="shared" si="112"/>
        <v>قراردادي بهره بردار</v>
      </c>
      <c r="E1055" s="1" t="str">
        <f t="shared" si="114"/>
        <v>پروژه بهره برداري نيروگاه بوشهر</v>
      </c>
      <c r="F1055" s="1">
        <v>12823067</v>
      </c>
      <c r="G1055" s="1">
        <v>0</v>
      </c>
      <c r="H1055" s="1">
        <v>0</v>
      </c>
      <c r="I1055" s="1">
        <v>8089604</v>
      </c>
      <c r="J1055" s="1">
        <v>0</v>
      </c>
      <c r="K1055" s="1">
        <v>3465000</v>
      </c>
      <c r="L1055" s="1">
        <v>0</v>
      </c>
      <c r="M1055" s="1">
        <v>1000000</v>
      </c>
      <c r="N1055" s="1">
        <v>1997149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3179055</v>
      </c>
      <c r="W1055" s="1">
        <v>4000000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1569188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7311542</v>
      </c>
      <c r="AM1055" s="1">
        <v>0</v>
      </c>
      <c r="AN1055" s="1">
        <v>0</v>
      </c>
      <c r="AO1055" s="1">
        <v>43434605</v>
      </c>
      <c r="AP1055" s="1">
        <v>5447736</v>
      </c>
      <c r="AQ1055" s="1">
        <v>37986869</v>
      </c>
      <c r="AR1055" s="1">
        <v>8686921</v>
      </c>
      <c r="AS1055" s="1">
        <v>1303038</v>
      </c>
      <c r="AT1055" s="3">
        <f t="shared" si="111"/>
        <v>53424564</v>
      </c>
    </row>
    <row r="1056" spans="1:46" x14ac:dyDescent="0.2">
      <c r="A1056" s="1" t="str">
        <f>"01356"</f>
        <v>01356</v>
      </c>
      <c r="B1056" s="1" t="str">
        <f>"يداله"</f>
        <v>يداله</v>
      </c>
      <c r="C1056" s="1" t="str">
        <f>"ابوعلي نژاد"</f>
        <v>ابوعلي نژاد</v>
      </c>
      <c r="D1056" s="1" t="str">
        <f t="shared" si="112"/>
        <v>قراردادي بهره بردار</v>
      </c>
      <c r="E1056" s="1" t="str">
        <f t="shared" si="114"/>
        <v>پروژه بهره برداري نيروگاه بوشهر</v>
      </c>
      <c r="F1056" s="1">
        <v>13130418</v>
      </c>
      <c r="G1056" s="1">
        <v>6891226</v>
      </c>
      <c r="H1056" s="1">
        <v>0</v>
      </c>
      <c r="I1056" s="1">
        <v>8819607</v>
      </c>
      <c r="J1056" s="1">
        <v>0</v>
      </c>
      <c r="K1056" s="1">
        <v>3465000</v>
      </c>
      <c r="L1056" s="1">
        <v>0</v>
      </c>
      <c r="M1056" s="1">
        <v>1000000</v>
      </c>
      <c r="N1056" s="1">
        <v>2104721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3414633</v>
      </c>
      <c r="W1056" s="1">
        <v>4000000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1653709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8437881</v>
      </c>
      <c r="AM1056" s="1">
        <v>0</v>
      </c>
      <c r="AN1056" s="1">
        <v>0</v>
      </c>
      <c r="AO1056" s="1">
        <v>52917195</v>
      </c>
      <c r="AP1056" s="1">
        <v>12210033</v>
      </c>
      <c r="AQ1056" s="1">
        <v>40707162</v>
      </c>
      <c r="AR1056" s="1">
        <v>10583439</v>
      </c>
      <c r="AS1056" s="1">
        <v>1587516</v>
      </c>
      <c r="AT1056" s="3">
        <f t="shared" si="111"/>
        <v>65088150</v>
      </c>
    </row>
    <row r="1057" spans="1:46" x14ac:dyDescent="0.2">
      <c r="A1057" s="1" t="str">
        <f>"01357"</f>
        <v>01357</v>
      </c>
      <c r="B1057" s="1" t="str">
        <f>"پيمان"</f>
        <v>پيمان</v>
      </c>
      <c r="C1057" s="1" t="str">
        <f>"سلحشوري"</f>
        <v>سلحشوري</v>
      </c>
      <c r="D1057" s="1" t="str">
        <f t="shared" si="112"/>
        <v>قراردادي بهره بردار</v>
      </c>
      <c r="E1057" s="1" t="str">
        <f t="shared" si="114"/>
        <v>پروژه بهره برداري نيروگاه بوشهر</v>
      </c>
      <c r="F1057" s="1">
        <v>18803806</v>
      </c>
      <c r="G1057" s="1">
        <v>4255869</v>
      </c>
      <c r="H1057" s="1">
        <v>0</v>
      </c>
      <c r="I1057" s="1">
        <v>9960568</v>
      </c>
      <c r="J1057" s="1">
        <v>0</v>
      </c>
      <c r="K1057" s="1">
        <v>4620000</v>
      </c>
      <c r="L1057" s="1">
        <v>0</v>
      </c>
      <c r="M1057" s="1">
        <v>1000000</v>
      </c>
      <c r="N1057" s="1">
        <v>3129307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3916347</v>
      </c>
      <c r="W1057" s="1">
        <v>4000000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2458741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4811044</v>
      </c>
      <c r="AM1057" s="1">
        <v>0</v>
      </c>
      <c r="AN1057" s="1">
        <v>0</v>
      </c>
      <c r="AO1057" s="1">
        <v>56955682</v>
      </c>
      <c r="AP1057" s="1">
        <v>25898618</v>
      </c>
      <c r="AQ1057" s="1">
        <v>31057064</v>
      </c>
      <c r="AR1057" s="1">
        <v>11391136</v>
      </c>
      <c r="AS1057" s="1">
        <v>1708670</v>
      </c>
      <c r="AT1057" s="3">
        <f t="shared" si="111"/>
        <v>70055488</v>
      </c>
    </row>
    <row r="1058" spans="1:46" x14ac:dyDescent="0.2">
      <c r="A1058" s="1" t="str">
        <f>"01358"</f>
        <v>01358</v>
      </c>
      <c r="B1058" s="1" t="str">
        <f>"محمود"</f>
        <v>محمود</v>
      </c>
      <c r="C1058" s="1" t="str">
        <f>"دشتي"</f>
        <v>دشتي</v>
      </c>
      <c r="D1058" s="1" t="str">
        <f t="shared" si="112"/>
        <v>قراردادي بهره بردار</v>
      </c>
      <c r="E1058" s="1" t="str">
        <f t="shared" si="114"/>
        <v>پروژه بهره برداري نيروگاه بوشهر</v>
      </c>
      <c r="F1058" s="1">
        <v>12732374</v>
      </c>
      <c r="G1058" s="1">
        <v>8812513</v>
      </c>
      <c r="H1058" s="1">
        <v>0</v>
      </c>
      <c r="I1058" s="1">
        <v>8014514</v>
      </c>
      <c r="J1058" s="1">
        <v>0</v>
      </c>
      <c r="K1058" s="1">
        <v>4620000</v>
      </c>
      <c r="L1058" s="1">
        <v>0</v>
      </c>
      <c r="M1058" s="1">
        <v>1000000</v>
      </c>
      <c r="N1058" s="1">
        <v>1965406</v>
      </c>
      <c r="O1058" s="1">
        <v>0</v>
      </c>
      <c r="P1058" s="1">
        <v>0</v>
      </c>
      <c r="Q1058" s="1">
        <v>0</v>
      </c>
      <c r="R1058" s="1">
        <v>1434237</v>
      </c>
      <c r="S1058" s="1">
        <v>0</v>
      </c>
      <c r="T1058" s="1">
        <v>0</v>
      </c>
      <c r="U1058" s="1">
        <v>0</v>
      </c>
      <c r="V1058" s="1">
        <v>3153685</v>
      </c>
      <c r="W1058" s="1">
        <v>4000000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1544247</v>
      </c>
      <c r="AF1058" s="1">
        <v>1835427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7280302</v>
      </c>
      <c r="AM1058" s="1">
        <v>0</v>
      </c>
      <c r="AN1058" s="1">
        <v>0</v>
      </c>
      <c r="AO1058" s="1">
        <v>56392705</v>
      </c>
      <c r="AP1058" s="1">
        <v>18821035</v>
      </c>
      <c r="AQ1058" s="1">
        <v>37571670</v>
      </c>
      <c r="AR1058" s="1">
        <v>10624608</v>
      </c>
      <c r="AS1058" s="1">
        <v>1593691</v>
      </c>
      <c r="AT1058" s="3">
        <f t="shared" si="111"/>
        <v>68611004</v>
      </c>
    </row>
    <row r="1059" spans="1:46" x14ac:dyDescent="0.2">
      <c r="A1059" s="1" t="str">
        <f>"01359"</f>
        <v>01359</v>
      </c>
      <c r="B1059" s="1" t="str">
        <f>"مسعود"</f>
        <v>مسعود</v>
      </c>
      <c r="C1059" s="1" t="str">
        <f>"محسني بناري"</f>
        <v>محسني بناري</v>
      </c>
      <c r="D1059" s="1" t="str">
        <f t="shared" si="112"/>
        <v>قراردادي بهره بردار</v>
      </c>
      <c r="E1059" s="1" t="str">
        <f t="shared" si="114"/>
        <v>پروژه بهره برداري نيروگاه بوشهر</v>
      </c>
      <c r="F1059" s="1">
        <v>12639161</v>
      </c>
      <c r="G1059" s="1">
        <v>4005441</v>
      </c>
      <c r="H1059" s="1">
        <v>0</v>
      </c>
      <c r="I1059" s="1">
        <v>7621395</v>
      </c>
      <c r="J1059" s="1">
        <v>0</v>
      </c>
      <c r="K1059" s="1">
        <v>3465000</v>
      </c>
      <c r="L1059" s="1">
        <v>0</v>
      </c>
      <c r="M1059" s="1">
        <v>1000000</v>
      </c>
      <c r="N1059" s="1">
        <v>1932782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3035446</v>
      </c>
      <c r="W1059" s="1">
        <v>4000000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1518614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6642500</v>
      </c>
      <c r="AM1059" s="1">
        <v>0</v>
      </c>
      <c r="AN1059" s="1">
        <v>0</v>
      </c>
      <c r="AO1059" s="1">
        <v>45860339</v>
      </c>
      <c r="AP1059" s="1">
        <v>11157315</v>
      </c>
      <c r="AQ1059" s="1">
        <v>34703024</v>
      </c>
      <c r="AR1059" s="1">
        <v>9172068</v>
      </c>
      <c r="AS1059" s="1">
        <v>1375810</v>
      </c>
      <c r="AT1059" s="3">
        <f t="shared" si="111"/>
        <v>56408217</v>
      </c>
    </row>
    <row r="1060" spans="1:46" x14ac:dyDescent="0.2">
      <c r="A1060" s="1" t="str">
        <f>"01361"</f>
        <v>01361</v>
      </c>
      <c r="B1060" s="1" t="str">
        <f>"عباس"</f>
        <v>عباس</v>
      </c>
      <c r="C1060" s="1" t="str">
        <f>"فولادي"</f>
        <v>فولادي</v>
      </c>
      <c r="D1060" s="1" t="str">
        <f t="shared" si="112"/>
        <v>قراردادي بهره بردار</v>
      </c>
      <c r="E1060" s="1" t="str">
        <f t="shared" si="114"/>
        <v>پروژه بهره برداري نيروگاه بوشهر</v>
      </c>
      <c r="F1060" s="1">
        <v>14591593</v>
      </c>
      <c r="G1060" s="1">
        <v>8482464</v>
      </c>
      <c r="H1060" s="1">
        <v>0</v>
      </c>
      <c r="I1060" s="1">
        <v>9702918</v>
      </c>
      <c r="J1060" s="1">
        <v>0</v>
      </c>
      <c r="K1060" s="1">
        <v>4620000</v>
      </c>
      <c r="L1060" s="1">
        <v>0</v>
      </c>
      <c r="M1060" s="1">
        <v>1000000</v>
      </c>
      <c r="N1060" s="1">
        <v>2483871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3642686</v>
      </c>
      <c r="W1060" s="1">
        <v>4000000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1951613</v>
      </c>
      <c r="AF1060" s="1">
        <v>1835427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7696864</v>
      </c>
      <c r="AM1060" s="1">
        <v>0</v>
      </c>
      <c r="AN1060" s="1">
        <v>0</v>
      </c>
      <c r="AO1060" s="1">
        <v>60007436</v>
      </c>
      <c r="AP1060" s="1">
        <v>11384781</v>
      </c>
      <c r="AQ1060" s="1">
        <v>48622655</v>
      </c>
      <c r="AR1060" s="1">
        <v>11634402</v>
      </c>
      <c r="AS1060" s="1">
        <v>1745160</v>
      </c>
      <c r="AT1060" s="3">
        <f t="shared" si="111"/>
        <v>73386998</v>
      </c>
    </row>
    <row r="1061" spans="1:46" x14ac:dyDescent="0.2">
      <c r="A1061" s="1" t="str">
        <f>"01362"</f>
        <v>01362</v>
      </c>
      <c r="B1061" s="1" t="str">
        <f>"حسين"</f>
        <v>حسين</v>
      </c>
      <c r="C1061" s="1" t="str">
        <f>"زارعي"</f>
        <v>زارعي</v>
      </c>
      <c r="D1061" s="1" t="str">
        <f t="shared" si="112"/>
        <v>قراردادي بهره بردار</v>
      </c>
      <c r="E1061" s="1" t="str">
        <f t="shared" si="114"/>
        <v>پروژه بهره برداري نيروگاه بوشهر</v>
      </c>
      <c r="F1061" s="1">
        <v>12868414</v>
      </c>
      <c r="G1061" s="1">
        <v>5879610</v>
      </c>
      <c r="H1061" s="1">
        <v>0</v>
      </c>
      <c r="I1061" s="1">
        <v>8065164</v>
      </c>
      <c r="J1061" s="1">
        <v>0</v>
      </c>
      <c r="K1061" s="1">
        <v>3465000</v>
      </c>
      <c r="L1061" s="1">
        <v>0</v>
      </c>
      <c r="M1061" s="1">
        <v>1000000</v>
      </c>
      <c r="N1061" s="1">
        <v>2013020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3156154</v>
      </c>
      <c r="W1061" s="1">
        <v>4000000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1581658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7033288</v>
      </c>
      <c r="AM1061" s="1">
        <v>0</v>
      </c>
      <c r="AN1061" s="1">
        <v>0</v>
      </c>
      <c r="AO1061" s="1">
        <v>49062308</v>
      </c>
      <c r="AP1061" s="1">
        <v>12733258</v>
      </c>
      <c r="AQ1061" s="1">
        <v>36329050</v>
      </c>
      <c r="AR1061" s="1">
        <v>9812462</v>
      </c>
      <c r="AS1061" s="1">
        <v>1471869</v>
      </c>
      <c r="AT1061" s="3">
        <f t="shared" si="111"/>
        <v>60346639</v>
      </c>
    </row>
    <row r="1062" spans="1:46" x14ac:dyDescent="0.2">
      <c r="A1062" s="1" t="str">
        <f>"01363"</f>
        <v>01363</v>
      </c>
      <c r="B1062" s="1" t="str">
        <f>"مازيار"</f>
        <v>مازيار</v>
      </c>
      <c r="C1062" s="1" t="str">
        <f>"پرواز"</f>
        <v>پرواز</v>
      </c>
      <c r="D1062" s="1" t="str">
        <f t="shared" si="112"/>
        <v>قراردادي بهره بردار</v>
      </c>
      <c r="E1062" s="1" t="str">
        <f t="shared" si="114"/>
        <v>پروژه بهره برداري نيروگاه بوشهر</v>
      </c>
      <c r="F1062" s="1">
        <v>13001935</v>
      </c>
      <c r="G1062" s="1">
        <v>9666941</v>
      </c>
      <c r="H1062" s="1">
        <v>0</v>
      </c>
      <c r="I1062" s="1">
        <v>8330711</v>
      </c>
      <c r="J1062" s="1">
        <v>0</v>
      </c>
      <c r="K1062" s="1">
        <v>4620000</v>
      </c>
      <c r="L1062" s="1">
        <v>0</v>
      </c>
      <c r="M1062" s="1">
        <v>1000000</v>
      </c>
      <c r="N1062" s="1">
        <v>2059753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3193342</v>
      </c>
      <c r="W1062" s="1">
        <v>4000000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1618377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6922642</v>
      </c>
      <c r="AM1062" s="1">
        <v>0</v>
      </c>
      <c r="AN1062" s="1">
        <v>0</v>
      </c>
      <c r="AO1062" s="1">
        <v>54413701</v>
      </c>
      <c r="AP1062" s="1">
        <v>6253075</v>
      </c>
      <c r="AQ1062" s="1">
        <v>48160626</v>
      </c>
      <c r="AR1062" s="1">
        <v>10882740</v>
      </c>
      <c r="AS1062" s="1">
        <v>1632411</v>
      </c>
      <c r="AT1062" s="3">
        <f t="shared" si="111"/>
        <v>66928852</v>
      </c>
    </row>
    <row r="1063" spans="1:46" x14ac:dyDescent="0.2">
      <c r="A1063" s="1" t="str">
        <f>"01364"</f>
        <v>01364</v>
      </c>
      <c r="B1063" s="1" t="str">
        <f>"ميثم"</f>
        <v>ميثم</v>
      </c>
      <c r="C1063" s="1" t="str">
        <f>"باغباني"</f>
        <v>باغباني</v>
      </c>
      <c r="D1063" s="1" t="str">
        <f t="shared" si="112"/>
        <v>قراردادي بهره بردار</v>
      </c>
      <c r="E1063" s="1" t="str">
        <f t="shared" si="114"/>
        <v>پروژه بهره برداري نيروگاه بوشهر</v>
      </c>
      <c r="F1063" s="1">
        <v>13573809</v>
      </c>
      <c r="G1063" s="1">
        <v>2640023</v>
      </c>
      <c r="H1063" s="1">
        <v>0</v>
      </c>
      <c r="I1063" s="1">
        <v>8846087</v>
      </c>
      <c r="J1063" s="1">
        <v>0</v>
      </c>
      <c r="K1063" s="1">
        <v>4620000</v>
      </c>
      <c r="L1063" s="1">
        <v>0</v>
      </c>
      <c r="M1063" s="1">
        <v>1000000</v>
      </c>
      <c r="N1063" s="1">
        <v>2127647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3779081</v>
      </c>
      <c r="W1063" s="1">
        <v>4000000</v>
      </c>
      <c r="X1063" s="1">
        <v>1760015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1671723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11571544</v>
      </c>
      <c r="AM1063" s="1">
        <v>0</v>
      </c>
      <c r="AN1063" s="1">
        <v>0</v>
      </c>
      <c r="AO1063" s="1">
        <v>55589929</v>
      </c>
      <c r="AP1063" s="1">
        <v>16036579</v>
      </c>
      <c r="AQ1063" s="1">
        <v>39553350</v>
      </c>
      <c r="AR1063" s="1">
        <v>11117986</v>
      </c>
      <c r="AS1063" s="1">
        <v>1667698</v>
      </c>
      <c r="AT1063" s="3">
        <f t="shared" si="111"/>
        <v>68375613</v>
      </c>
    </row>
    <row r="1064" spans="1:46" x14ac:dyDescent="0.2">
      <c r="A1064" s="1" t="str">
        <f>"01365"</f>
        <v>01365</v>
      </c>
      <c r="B1064" s="1" t="str">
        <f>"سيد حسين"</f>
        <v>سيد حسين</v>
      </c>
      <c r="C1064" s="1" t="str">
        <f>"حسيني"</f>
        <v>حسيني</v>
      </c>
      <c r="D1064" s="1" t="str">
        <f t="shared" si="112"/>
        <v>قراردادي بهره بردار</v>
      </c>
      <c r="E1064" s="1" t="str">
        <f t="shared" si="114"/>
        <v>پروژه بهره برداري نيروگاه بوشهر</v>
      </c>
      <c r="F1064" s="1">
        <v>13468000</v>
      </c>
      <c r="G1064" s="1">
        <v>2612946</v>
      </c>
      <c r="H1064" s="1">
        <v>0</v>
      </c>
      <c r="I1064" s="1">
        <v>8659268</v>
      </c>
      <c r="J1064" s="1">
        <v>0</v>
      </c>
      <c r="K1064" s="1">
        <v>4620000</v>
      </c>
      <c r="L1064" s="1">
        <v>0</v>
      </c>
      <c r="M1064" s="1">
        <v>1000000</v>
      </c>
      <c r="N1064" s="1">
        <v>2090613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3740322</v>
      </c>
      <c r="W1064" s="1">
        <v>4000000</v>
      </c>
      <c r="X1064" s="1">
        <v>1955032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1642625</v>
      </c>
      <c r="AF1064" s="1">
        <v>1835427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11542708</v>
      </c>
      <c r="AM1064" s="1">
        <v>0</v>
      </c>
      <c r="AN1064" s="1">
        <v>0</v>
      </c>
      <c r="AO1064" s="1">
        <v>57166941</v>
      </c>
      <c r="AP1064" s="1">
        <v>5802579</v>
      </c>
      <c r="AQ1064" s="1">
        <v>51364362</v>
      </c>
      <c r="AR1064" s="1">
        <v>11066303</v>
      </c>
      <c r="AS1064" s="1">
        <v>1659945</v>
      </c>
      <c r="AT1064" s="3">
        <f t="shared" si="111"/>
        <v>69893189</v>
      </c>
    </row>
    <row r="1065" spans="1:46" x14ac:dyDescent="0.2">
      <c r="A1065" s="1" t="str">
        <f>"01366"</f>
        <v>01366</v>
      </c>
      <c r="B1065" s="1" t="str">
        <f>"محسن"</f>
        <v>محسن</v>
      </c>
      <c r="C1065" s="1" t="str">
        <f>"حسيني"</f>
        <v>حسيني</v>
      </c>
      <c r="D1065" s="1" t="str">
        <f t="shared" si="112"/>
        <v>قراردادي بهره بردار</v>
      </c>
      <c r="E1065" s="1" t="str">
        <f t="shared" si="114"/>
        <v>پروژه بهره برداري نيروگاه بوشهر</v>
      </c>
      <c r="F1065" s="1">
        <v>14369897</v>
      </c>
      <c r="G1065" s="1">
        <v>2850404</v>
      </c>
      <c r="H1065" s="1">
        <v>0</v>
      </c>
      <c r="I1065" s="1">
        <v>9831597</v>
      </c>
      <c r="J1065" s="1">
        <v>0</v>
      </c>
      <c r="K1065" s="1">
        <v>4620000</v>
      </c>
      <c r="L1065" s="1">
        <v>0</v>
      </c>
      <c r="M1065" s="1">
        <v>1000000</v>
      </c>
      <c r="N1065" s="1">
        <v>2406278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4080231</v>
      </c>
      <c r="W1065" s="1">
        <v>4000000</v>
      </c>
      <c r="X1065" s="1">
        <v>2085953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1890647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12303897</v>
      </c>
      <c r="AM1065" s="1">
        <v>0</v>
      </c>
      <c r="AN1065" s="1">
        <v>0</v>
      </c>
      <c r="AO1065" s="1">
        <v>59438904</v>
      </c>
      <c r="AP1065" s="1">
        <v>8775741</v>
      </c>
      <c r="AQ1065" s="1">
        <v>50663163</v>
      </c>
      <c r="AR1065" s="1">
        <v>11887781</v>
      </c>
      <c r="AS1065" s="1">
        <v>1783167</v>
      </c>
      <c r="AT1065" s="3">
        <f t="shared" si="111"/>
        <v>73109852</v>
      </c>
    </row>
    <row r="1066" spans="1:46" x14ac:dyDescent="0.2">
      <c r="A1066" s="1" t="str">
        <f>"01367"</f>
        <v>01367</v>
      </c>
      <c r="B1066" s="1" t="str">
        <f>"محمد مهدي"</f>
        <v>محمد مهدي</v>
      </c>
      <c r="C1066" s="1" t="str">
        <f>"ملک نصب اردکاني"</f>
        <v>ملک نصب اردکاني</v>
      </c>
      <c r="D1066" s="1" t="str">
        <f t="shared" si="112"/>
        <v>قراردادي بهره بردار</v>
      </c>
      <c r="E1066" s="1" t="str">
        <f t="shared" si="114"/>
        <v>پروژه بهره برداري نيروگاه بوشهر</v>
      </c>
      <c r="F1066" s="1">
        <v>12649238</v>
      </c>
      <c r="G1066" s="1">
        <v>4800544</v>
      </c>
      <c r="H1066" s="1">
        <v>0</v>
      </c>
      <c r="I1066" s="1">
        <v>8249112</v>
      </c>
      <c r="J1066" s="1">
        <v>0</v>
      </c>
      <c r="K1066" s="1">
        <v>3465000</v>
      </c>
      <c r="L1066" s="1">
        <v>0</v>
      </c>
      <c r="M1066" s="1">
        <v>1000000</v>
      </c>
      <c r="N1066" s="1">
        <v>1936309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3255052</v>
      </c>
      <c r="W1066" s="1">
        <v>4000000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1521385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8194469</v>
      </c>
      <c r="AM1066" s="1">
        <v>0</v>
      </c>
      <c r="AN1066" s="1">
        <v>0</v>
      </c>
      <c r="AO1066" s="1">
        <v>49071109</v>
      </c>
      <c r="AP1066" s="1">
        <v>6304991</v>
      </c>
      <c r="AQ1066" s="1">
        <v>42766118</v>
      </c>
      <c r="AR1066" s="1">
        <v>9814222</v>
      </c>
      <c r="AS1066" s="1">
        <v>1472133</v>
      </c>
      <c r="AT1066" s="3">
        <f t="shared" si="111"/>
        <v>60357464</v>
      </c>
    </row>
    <row r="1067" spans="1:46" x14ac:dyDescent="0.2">
      <c r="A1067" s="1" t="str">
        <f>"01368"</f>
        <v>01368</v>
      </c>
      <c r="B1067" s="1" t="str">
        <f>"سامان"</f>
        <v>سامان</v>
      </c>
      <c r="C1067" s="1" t="str">
        <f>"حيدري"</f>
        <v>حيدري</v>
      </c>
      <c r="D1067" s="1" t="str">
        <f t="shared" si="112"/>
        <v>قراردادي بهره بردار</v>
      </c>
      <c r="E1067" s="1" t="str">
        <f t="shared" si="114"/>
        <v>پروژه بهره برداري نيروگاه بوشهر</v>
      </c>
      <c r="F1067" s="1">
        <v>12644199</v>
      </c>
      <c r="G1067" s="1">
        <v>2929672</v>
      </c>
      <c r="H1067" s="1">
        <v>0</v>
      </c>
      <c r="I1067" s="1">
        <v>7934972</v>
      </c>
      <c r="J1067" s="1">
        <v>0</v>
      </c>
      <c r="K1067" s="1">
        <v>4620000</v>
      </c>
      <c r="L1067" s="1">
        <v>0</v>
      </c>
      <c r="M1067" s="1">
        <v>1000000</v>
      </c>
      <c r="N1067" s="1">
        <v>1934545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3145276</v>
      </c>
      <c r="W1067" s="1">
        <v>4000000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1519999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7419039</v>
      </c>
      <c r="AM1067" s="1">
        <v>0</v>
      </c>
      <c r="AN1067" s="1">
        <v>0</v>
      </c>
      <c r="AO1067" s="1">
        <v>47147702</v>
      </c>
      <c r="AP1067" s="1">
        <v>19415182</v>
      </c>
      <c r="AQ1067" s="1">
        <v>27732520</v>
      </c>
      <c r="AR1067" s="1">
        <v>9429540</v>
      </c>
      <c r="AS1067" s="1">
        <v>1414431</v>
      </c>
      <c r="AT1067" s="3">
        <f t="shared" si="111"/>
        <v>57991673</v>
      </c>
    </row>
    <row r="1068" spans="1:46" x14ac:dyDescent="0.2">
      <c r="A1068" s="1" t="str">
        <f>"01370"</f>
        <v>01370</v>
      </c>
      <c r="B1068" s="1" t="str">
        <f>"علي"</f>
        <v>علي</v>
      </c>
      <c r="C1068" s="1" t="str">
        <f>"عباس زاده"</f>
        <v>عباس زاده</v>
      </c>
      <c r="D1068" s="1" t="str">
        <f t="shared" si="112"/>
        <v>قراردادي بهره بردار</v>
      </c>
      <c r="E1068" s="1" t="str">
        <f t="shared" si="114"/>
        <v>پروژه بهره برداري نيروگاه بوشهر</v>
      </c>
      <c r="F1068" s="1">
        <v>12286464</v>
      </c>
      <c r="G1068" s="1">
        <v>0</v>
      </c>
      <c r="H1068" s="1">
        <v>0</v>
      </c>
      <c r="I1068" s="1">
        <v>6975417</v>
      </c>
      <c r="J1068" s="1">
        <v>0</v>
      </c>
      <c r="K1068" s="1">
        <v>3465000</v>
      </c>
      <c r="L1068" s="1">
        <v>0</v>
      </c>
      <c r="M1068" s="1">
        <v>1000000</v>
      </c>
      <c r="N1068" s="1">
        <v>1809338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2809695</v>
      </c>
      <c r="W1068" s="1">
        <v>4000000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1421622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5604109</v>
      </c>
      <c r="AM1068" s="1">
        <v>0</v>
      </c>
      <c r="AN1068" s="1">
        <v>0</v>
      </c>
      <c r="AO1068" s="1">
        <v>39371645</v>
      </c>
      <c r="AP1068" s="1">
        <v>11146439</v>
      </c>
      <c r="AQ1068" s="1">
        <v>28225206</v>
      </c>
      <c r="AR1068" s="1">
        <v>7874329</v>
      </c>
      <c r="AS1068" s="1">
        <v>1181149</v>
      </c>
      <c r="AT1068" s="3">
        <f t="shared" si="111"/>
        <v>48427123</v>
      </c>
    </row>
    <row r="1069" spans="1:46" x14ac:dyDescent="0.2">
      <c r="A1069" s="1" t="str">
        <f>"01371"</f>
        <v>01371</v>
      </c>
      <c r="B1069" s="1" t="str">
        <f>"محمد"</f>
        <v>محمد</v>
      </c>
      <c r="C1069" s="1" t="str">
        <f>"روشني روز"</f>
        <v>روشني روز</v>
      </c>
      <c r="D1069" s="1" t="str">
        <f t="shared" si="112"/>
        <v>قراردادي بهره بردار</v>
      </c>
      <c r="E1069" s="1" t="str">
        <f t="shared" si="114"/>
        <v>پروژه بهره برداري نيروگاه بوشهر</v>
      </c>
      <c r="F1069" s="1">
        <v>13097667</v>
      </c>
      <c r="G1069" s="1">
        <v>2647651</v>
      </c>
      <c r="H1069" s="1">
        <v>0</v>
      </c>
      <c r="I1069" s="1">
        <v>9013198</v>
      </c>
      <c r="J1069" s="1">
        <v>0</v>
      </c>
      <c r="K1069" s="1">
        <v>4620000</v>
      </c>
      <c r="L1069" s="1">
        <v>0</v>
      </c>
      <c r="M1069" s="1">
        <v>1000000</v>
      </c>
      <c r="N1069" s="1">
        <v>2093258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3789999</v>
      </c>
      <c r="W1069" s="1">
        <v>4000000</v>
      </c>
      <c r="X1069" s="1">
        <v>1765100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1644703</v>
      </c>
      <c r="AF1069" s="1">
        <v>1835427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12051164</v>
      </c>
      <c r="AM1069" s="1">
        <v>0</v>
      </c>
      <c r="AN1069" s="1">
        <v>0</v>
      </c>
      <c r="AO1069" s="1">
        <v>57558167</v>
      </c>
      <c r="AP1069" s="1">
        <v>22697224</v>
      </c>
      <c r="AQ1069" s="1">
        <v>34860943</v>
      </c>
      <c r="AR1069" s="1">
        <v>11144548</v>
      </c>
      <c r="AS1069" s="1">
        <v>1671682</v>
      </c>
      <c r="AT1069" s="3">
        <f t="shared" si="111"/>
        <v>70374397</v>
      </c>
    </row>
    <row r="1070" spans="1:46" x14ac:dyDescent="0.2">
      <c r="A1070" s="1" t="str">
        <f>"01372"</f>
        <v>01372</v>
      </c>
      <c r="B1070" s="1" t="str">
        <f>"رضا"</f>
        <v>رضا</v>
      </c>
      <c r="C1070" s="1" t="str">
        <f>"محمدي"</f>
        <v>محمدي</v>
      </c>
      <c r="D1070" s="1" t="str">
        <f t="shared" si="112"/>
        <v>قراردادي بهره بردار</v>
      </c>
      <c r="E1070" s="1" t="str">
        <f t="shared" si="114"/>
        <v>پروژه بهره برداري نيروگاه بوشهر</v>
      </c>
      <c r="F1070" s="1">
        <v>12823067</v>
      </c>
      <c r="G1070" s="1">
        <v>2776952</v>
      </c>
      <c r="H1070" s="1">
        <v>0</v>
      </c>
      <c r="I1070" s="1">
        <v>8153754</v>
      </c>
      <c r="J1070" s="1">
        <v>0</v>
      </c>
      <c r="K1070" s="1">
        <v>3465000</v>
      </c>
      <c r="L1070" s="1">
        <v>0</v>
      </c>
      <c r="M1070" s="1">
        <v>1000000</v>
      </c>
      <c r="N1070" s="1">
        <v>1997149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3577580</v>
      </c>
      <c r="W1070" s="1">
        <v>4000000</v>
      </c>
      <c r="X1070" s="1">
        <v>1861413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1569188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11232641</v>
      </c>
      <c r="AM1070" s="1">
        <v>0</v>
      </c>
      <c r="AN1070" s="1">
        <v>0</v>
      </c>
      <c r="AO1070" s="1">
        <v>52456744</v>
      </c>
      <c r="AP1070" s="1">
        <v>15824753</v>
      </c>
      <c r="AQ1070" s="1">
        <v>36631991</v>
      </c>
      <c r="AR1070" s="1">
        <v>10491349</v>
      </c>
      <c r="AS1070" s="1">
        <v>1573702</v>
      </c>
      <c r="AT1070" s="3">
        <f t="shared" si="111"/>
        <v>64521795</v>
      </c>
    </row>
    <row r="1071" spans="1:46" x14ac:dyDescent="0.2">
      <c r="A1071" s="1" t="str">
        <f>"01373"</f>
        <v>01373</v>
      </c>
      <c r="B1071" s="1" t="str">
        <f>"محسن"</f>
        <v>محسن</v>
      </c>
      <c r="C1071" s="1" t="str">
        <f>"موحدنيا"</f>
        <v>موحدنيا</v>
      </c>
      <c r="D1071" s="1" t="str">
        <f t="shared" si="112"/>
        <v>قراردادي بهره بردار</v>
      </c>
      <c r="E1071" s="1" t="str">
        <f t="shared" si="114"/>
        <v>پروژه بهره برداري نيروگاه بوشهر</v>
      </c>
      <c r="F1071" s="1">
        <v>18730748</v>
      </c>
      <c r="G1071" s="1">
        <v>303896</v>
      </c>
      <c r="H1071" s="1">
        <v>0</v>
      </c>
      <c r="I1071" s="1">
        <v>9852267</v>
      </c>
      <c r="J1071" s="1">
        <v>0</v>
      </c>
      <c r="K1071" s="1">
        <v>4125000</v>
      </c>
      <c r="L1071" s="1">
        <v>0</v>
      </c>
      <c r="M1071" s="1">
        <v>1000000</v>
      </c>
      <c r="N1071" s="1">
        <v>3103737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3915134</v>
      </c>
      <c r="W1071" s="1">
        <v>4000000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2438650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5025937</v>
      </c>
      <c r="AM1071" s="1">
        <v>0</v>
      </c>
      <c r="AN1071" s="1">
        <v>0</v>
      </c>
      <c r="AO1071" s="1">
        <v>52495369</v>
      </c>
      <c r="AP1071" s="1">
        <v>20793608</v>
      </c>
      <c r="AQ1071" s="1">
        <v>31701761</v>
      </c>
      <c r="AR1071" s="1">
        <v>10499074</v>
      </c>
      <c r="AS1071" s="1">
        <v>1574861</v>
      </c>
      <c r="AT1071" s="3">
        <f t="shared" si="111"/>
        <v>64569304</v>
      </c>
    </row>
    <row r="1072" spans="1:46" x14ac:dyDescent="0.2">
      <c r="A1072" s="1" t="str">
        <f>"01374"</f>
        <v>01374</v>
      </c>
      <c r="B1072" s="1" t="str">
        <f>"علي"</f>
        <v>علي</v>
      </c>
      <c r="C1072" s="1" t="str">
        <f>"اسماعيلي نسب"</f>
        <v>اسماعيلي نسب</v>
      </c>
      <c r="D1072" s="1" t="str">
        <f t="shared" si="112"/>
        <v>قراردادي بهره بردار</v>
      </c>
      <c r="E1072" s="1" t="str">
        <f t="shared" si="114"/>
        <v>پروژه بهره برداري نيروگاه بوشهر</v>
      </c>
      <c r="F1072" s="1">
        <v>18277280</v>
      </c>
      <c r="G1072" s="1">
        <v>0</v>
      </c>
      <c r="H1072" s="1">
        <v>0</v>
      </c>
      <c r="I1072" s="1">
        <v>9371375</v>
      </c>
      <c r="J1072" s="1">
        <v>0</v>
      </c>
      <c r="K1072" s="1">
        <v>5500000</v>
      </c>
      <c r="L1072" s="1">
        <v>0</v>
      </c>
      <c r="M1072" s="1">
        <v>1000000</v>
      </c>
      <c r="N1072" s="1">
        <v>2945023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3778996</v>
      </c>
      <c r="W1072" s="1">
        <v>4000000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2313946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4882339</v>
      </c>
      <c r="AM1072" s="1">
        <v>0</v>
      </c>
      <c r="AN1072" s="1">
        <v>0</v>
      </c>
      <c r="AO1072" s="1">
        <v>52068959</v>
      </c>
      <c r="AP1072" s="1">
        <v>22550550</v>
      </c>
      <c r="AQ1072" s="1">
        <v>29518409</v>
      </c>
      <c r="AR1072" s="1">
        <v>10413792</v>
      </c>
      <c r="AS1072" s="1">
        <v>1562069</v>
      </c>
      <c r="AT1072" s="3">
        <f t="shared" si="111"/>
        <v>64044820</v>
      </c>
    </row>
    <row r="1073" spans="1:46" x14ac:dyDescent="0.2">
      <c r="A1073" s="1" t="str">
        <f>"01375"</f>
        <v>01375</v>
      </c>
      <c r="B1073" s="1" t="str">
        <f>"نصراله"</f>
        <v>نصراله</v>
      </c>
      <c r="C1073" s="1" t="str">
        <f>"کرم پور"</f>
        <v>کرم پور</v>
      </c>
      <c r="D1073" s="1" t="str">
        <f t="shared" si="112"/>
        <v>قراردادي بهره بردار</v>
      </c>
      <c r="E1073" s="1" t="str">
        <f t="shared" si="114"/>
        <v>پروژه بهره برداري نيروگاه بوشهر</v>
      </c>
      <c r="F1073" s="1">
        <v>18093373</v>
      </c>
      <c r="G1073" s="1">
        <v>0</v>
      </c>
      <c r="H1073" s="1">
        <v>0</v>
      </c>
      <c r="I1073" s="1">
        <v>12101127</v>
      </c>
      <c r="J1073" s="1">
        <v>0</v>
      </c>
      <c r="K1073" s="1">
        <v>4125000</v>
      </c>
      <c r="L1073" s="1">
        <v>0</v>
      </c>
      <c r="M1073" s="1">
        <v>1000000</v>
      </c>
      <c r="N1073" s="1">
        <v>2695489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4221096</v>
      </c>
      <c r="W1073" s="1">
        <v>4000000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2117885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7203088</v>
      </c>
      <c r="AM1073" s="1">
        <v>0</v>
      </c>
      <c r="AN1073" s="1">
        <v>0</v>
      </c>
      <c r="AO1073" s="1">
        <v>55557058</v>
      </c>
      <c r="AP1073" s="1">
        <v>14241403</v>
      </c>
      <c r="AQ1073" s="1">
        <v>41315655</v>
      </c>
      <c r="AR1073" s="1">
        <v>11111412</v>
      </c>
      <c r="AS1073" s="1">
        <v>1666712</v>
      </c>
      <c r="AT1073" s="3">
        <f t="shared" si="111"/>
        <v>68335182</v>
      </c>
    </row>
    <row r="1074" spans="1:46" x14ac:dyDescent="0.2">
      <c r="A1074" s="1" t="str">
        <f>"01376"</f>
        <v>01376</v>
      </c>
      <c r="B1074" s="1" t="str">
        <f>"مهدي"</f>
        <v>مهدي</v>
      </c>
      <c r="C1074" s="1" t="str">
        <f>"افشين"</f>
        <v>افشين</v>
      </c>
      <c r="D1074" s="1" t="str">
        <f t="shared" si="112"/>
        <v>قراردادي بهره بردار</v>
      </c>
      <c r="E1074" s="1" t="str">
        <f t="shared" si="114"/>
        <v>پروژه بهره برداري نيروگاه بوشهر</v>
      </c>
      <c r="F1074" s="1">
        <v>18350338</v>
      </c>
      <c r="G1074" s="1">
        <v>0</v>
      </c>
      <c r="H1074" s="1">
        <v>0</v>
      </c>
      <c r="I1074" s="1">
        <v>11832072</v>
      </c>
      <c r="J1074" s="1">
        <v>0</v>
      </c>
      <c r="K1074" s="1">
        <v>4125000</v>
      </c>
      <c r="L1074" s="1">
        <v>0</v>
      </c>
      <c r="M1074" s="1">
        <v>1000000</v>
      </c>
      <c r="N1074" s="1">
        <v>2785428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4112901</v>
      </c>
      <c r="W1074" s="1">
        <v>4000000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2188550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5972626</v>
      </c>
      <c r="AM1074" s="1">
        <v>0</v>
      </c>
      <c r="AN1074" s="1">
        <v>0</v>
      </c>
      <c r="AO1074" s="1">
        <v>54366915</v>
      </c>
      <c r="AP1074" s="1">
        <v>9743809</v>
      </c>
      <c r="AQ1074" s="1">
        <v>44623106</v>
      </c>
      <c r="AR1074" s="1">
        <v>10873383</v>
      </c>
      <c r="AS1074" s="1">
        <v>1631007</v>
      </c>
      <c r="AT1074" s="3">
        <f t="shared" si="111"/>
        <v>66871305</v>
      </c>
    </row>
    <row r="1075" spans="1:46" x14ac:dyDescent="0.2">
      <c r="A1075" s="1" t="str">
        <f>"01377"</f>
        <v>01377</v>
      </c>
      <c r="B1075" s="1" t="str">
        <f>"عليرضا"</f>
        <v>عليرضا</v>
      </c>
      <c r="C1075" s="1" t="str">
        <f>"گچ کاران"</f>
        <v>گچ کاران</v>
      </c>
      <c r="D1075" s="1" t="str">
        <f t="shared" si="112"/>
        <v>قراردادي بهره بردار</v>
      </c>
      <c r="E1075" s="1" t="str">
        <f t="shared" si="114"/>
        <v>پروژه بهره برداري نيروگاه بوشهر</v>
      </c>
      <c r="F1075" s="1">
        <v>12581218</v>
      </c>
      <c r="G1075" s="1">
        <v>6091548</v>
      </c>
      <c r="H1075" s="1">
        <v>0</v>
      </c>
      <c r="I1075" s="1">
        <v>7563688</v>
      </c>
      <c r="J1075" s="1">
        <v>0</v>
      </c>
      <c r="K1075" s="1">
        <v>3465000</v>
      </c>
      <c r="L1075" s="1">
        <v>0</v>
      </c>
      <c r="M1075" s="1">
        <v>1000000</v>
      </c>
      <c r="N1075" s="1">
        <v>1912502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3018389</v>
      </c>
      <c r="W1075" s="1">
        <v>4000000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1502680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6623807</v>
      </c>
      <c r="AM1075" s="1">
        <v>0</v>
      </c>
      <c r="AN1075" s="1">
        <v>0</v>
      </c>
      <c r="AO1075" s="1">
        <v>47758832</v>
      </c>
      <c r="AP1075" s="1">
        <v>11634620</v>
      </c>
      <c r="AQ1075" s="1">
        <v>36124212</v>
      </c>
      <c r="AR1075" s="1">
        <v>9551766</v>
      </c>
      <c r="AS1075" s="1">
        <v>1432765</v>
      </c>
      <c r="AT1075" s="3">
        <f t="shared" si="111"/>
        <v>58743363</v>
      </c>
    </row>
    <row r="1076" spans="1:46" x14ac:dyDescent="0.2">
      <c r="A1076" s="1" t="str">
        <f>"01379"</f>
        <v>01379</v>
      </c>
      <c r="B1076" s="1" t="str">
        <f>"احمد"</f>
        <v>احمد</v>
      </c>
      <c r="C1076" s="1" t="str">
        <f>"ناطوري"</f>
        <v>ناطوري</v>
      </c>
      <c r="D1076" s="1" t="str">
        <f t="shared" si="112"/>
        <v>قراردادي بهره بردار</v>
      </c>
      <c r="E1076" s="1" t="str">
        <f t="shared" si="114"/>
        <v>پروژه بهره برداري نيروگاه بوشهر</v>
      </c>
      <c r="F1076" s="1">
        <v>17319958</v>
      </c>
      <c r="G1076" s="1">
        <v>2489922</v>
      </c>
      <c r="H1076" s="1">
        <v>0</v>
      </c>
      <c r="I1076" s="1">
        <v>8708688</v>
      </c>
      <c r="J1076" s="1">
        <v>0</v>
      </c>
      <c r="K1076" s="1">
        <v>4125000</v>
      </c>
      <c r="L1076" s="1">
        <v>0</v>
      </c>
      <c r="M1076" s="1">
        <v>1000000</v>
      </c>
      <c r="N1076" s="1">
        <v>2609960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3564217</v>
      </c>
      <c r="W1076" s="1">
        <v>4000000</v>
      </c>
      <c r="X1076" s="1">
        <v>2514188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2050683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4952878</v>
      </c>
      <c r="AM1076" s="1">
        <v>0</v>
      </c>
      <c r="AN1076" s="1">
        <v>0</v>
      </c>
      <c r="AO1076" s="1">
        <v>53335494</v>
      </c>
      <c r="AP1076" s="1">
        <v>14592089</v>
      </c>
      <c r="AQ1076" s="1">
        <v>38743405</v>
      </c>
      <c r="AR1076" s="1">
        <v>10667099</v>
      </c>
      <c r="AS1076" s="1">
        <v>1600065</v>
      </c>
      <c r="AT1076" s="3">
        <f t="shared" si="111"/>
        <v>65602658</v>
      </c>
    </row>
    <row r="1077" spans="1:46" x14ac:dyDescent="0.2">
      <c r="A1077" s="1" t="str">
        <f>"01380"</f>
        <v>01380</v>
      </c>
      <c r="B1077" s="1" t="str">
        <f>"ابوطالب"</f>
        <v>ابوطالب</v>
      </c>
      <c r="C1077" s="1" t="str">
        <f>"نوروزي"</f>
        <v>نوروزي</v>
      </c>
      <c r="D1077" s="1" t="str">
        <f t="shared" si="112"/>
        <v>قراردادي بهره بردار</v>
      </c>
      <c r="E1077" s="1" t="str">
        <f t="shared" si="114"/>
        <v>پروژه بهره برداري نيروگاه بوشهر</v>
      </c>
      <c r="F1077" s="1">
        <v>13799009</v>
      </c>
      <c r="G1077" s="1">
        <v>1914508</v>
      </c>
      <c r="H1077" s="1">
        <v>0</v>
      </c>
      <c r="I1077" s="1">
        <v>6559853</v>
      </c>
      <c r="J1077" s="1">
        <v>0</v>
      </c>
      <c r="K1077" s="1">
        <v>5500000</v>
      </c>
      <c r="L1077" s="1">
        <v>0</v>
      </c>
      <c r="M1077" s="1">
        <v>1000000</v>
      </c>
      <c r="N1077" s="1">
        <v>1827892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2740536</v>
      </c>
      <c r="W1077" s="1">
        <v>1900000</v>
      </c>
      <c r="X1077" s="1">
        <v>2003082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1305637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3912969</v>
      </c>
      <c r="AM1077" s="1">
        <v>0</v>
      </c>
      <c r="AN1077" s="1">
        <v>0</v>
      </c>
      <c r="AO1077" s="1">
        <v>42463486</v>
      </c>
      <c r="AP1077" s="1">
        <v>18851350</v>
      </c>
      <c r="AQ1077" s="1">
        <v>23612136</v>
      </c>
      <c r="AR1077" s="1">
        <v>8492697</v>
      </c>
      <c r="AS1077" s="1">
        <v>1273905</v>
      </c>
      <c r="AT1077" s="3">
        <f t="shared" si="111"/>
        <v>52230088</v>
      </c>
    </row>
    <row r="1078" spans="1:46" x14ac:dyDescent="0.2">
      <c r="A1078" s="1" t="str">
        <f>"01381"</f>
        <v>01381</v>
      </c>
      <c r="B1078" s="1" t="str">
        <f>"احسان"</f>
        <v>احسان</v>
      </c>
      <c r="C1078" s="1" t="str">
        <f>"شاهي غفاربي"</f>
        <v>شاهي غفاربي</v>
      </c>
      <c r="D1078" s="1" t="str">
        <f t="shared" si="112"/>
        <v>قراردادي بهره بردار</v>
      </c>
      <c r="E1078" s="1" t="str">
        <f t="shared" si="114"/>
        <v>پروژه بهره برداري نيروگاه بوشهر</v>
      </c>
      <c r="F1078" s="1">
        <v>18093373</v>
      </c>
      <c r="G1078" s="1">
        <v>3604101</v>
      </c>
      <c r="H1078" s="1">
        <v>0</v>
      </c>
      <c r="I1078" s="1">
        <v>12101127</v>
      </c>
      <c r="J1078" s="1">
        <v>0</v>
      </c>
      <c r="K1078" s="1">
        <v>4125000</v>
      </c>
      <c r="L1078" s="1">
        <v>0</v>
      </c>
      <c r="M1078" s="1">
        <v>1000000</v>
      </c>
      <c r="N1078" s="1">
        <v>2695489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4221096</v>
      </c>
      <c r="W1078" s="1">
        <v>4000000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2117885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7203088</v>
      </c>
      <c r="AM1078" s="1">
        <v>0</v>
      </c>
      <c r="AN1078" s="1">
        <v>0</v>
      </c>
      <c r="AO1078" s="1">
        <v>59161159</v>
      </c>
      <c r="AP1078" s="1">
        <v>14279213</v>
      </c>
      <c r="AQ1078" s="1">
        <v>44881946</v>
      </c>
      <c r="AR1078" s="1">
        <v>11832232</v>
      </c>
      <c r="AS1078" s="1">
        <v>1774835</v>
      </c>
      <c r="AT1078" s="3">
        <f t="shared" si="111"/>
        <v>72768226</v>
      </c>
    </row>
    <row r="1079" spans="1:46" x14ac:dyDescent="0.2">
      <c r="A1079" s="1" t="str">
        <f>"01382"</f>
        <v>01382</v>
      </c>
      <c r="B1079" s="1" t="str">
        <f>"امين"</f>
        <v>امين</v>
      </c>
      <c r="C1079" s="1" t="str">
        <f>"پرهيزکار"</f>
        <v>پرهيزکار</v>
      </c>
      <c r="D1079" s="1" t="str">
        <f t="shared" si="112"/>
        <v>قراردادي بهره بردار</v>
      </c>
      <c r="E1079" s="1" t="str">
        <f t="shared" si="114"/>
        <v>پروژه بهره برداري نيروگاه بوشهر</v>
      </c>
      <c r="F1079" s="1">
        <v>18579592</v>
      </c>
      <c r="G1079" s="1">
        <v>2696137</v>
      </c>
      <c r="H1079" s="1">
        <v>0</v>
      </c>
      <c r="I1079" s="1">
        <v>9724514</v>
      </c>
      <c r="J1079" s="1">
        <v>0</v>
      </c>
      <c r="K1079" s="1">
        <v>5500000</v>
      </c>
      <c r="L1079" s="1">
        <v>0</v>
      </c>
      <c r="M1079" s="1">
        <v>1000000</v>
      </c>
      <c r="N1079" s="1">
        <v>3050832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3859405</v>
      </c>
      <c r="W1079" s="1">
        <v>4000000</v>
      </c>
      <c r="X1079" s="1">
        <v>2697038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2397082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4842031</v>
      </c>
      <c r="AM1079" s="1">
        <v>0</v>
      </c>
      <c r="AN1079" s="1">
        <v>0</v>
      </c>
      <c r="AO1079" s="1">
        <v>58346631</v>
      </c>
      <c r="AP1079" s="1">
        <v>31197967</v>
      </c>
      <c r="AQ1079" s="1">
        <v>27148664</v>
      </c>
      <c r="AR1079" s="1">
        <v>11669326</v>
      </c>
      <c r="AS1079" s="1">
        <v>1750399</v>
      </c>
      <c r="AT1079" s="3">
        <f t="shared" si="111"/>
        <v>71766356</v>
      </c>
    </row>
    <row r="1080" spans="1:46" x14ac:dyDescent="0.2">
      <c r="A1080" s="1" t="str">
        <f>"01383"</f>
        <v>01383</v>
      </c>
      <c r="B1080" s="1" t="str">
        <f>"صادق"</f>
        <v>صادق</v>
      </c>
      <c r="C1080" s="1" t="str">
        <f>"مختاري"</f>
        <v>مختاري</v>
      </c>
      <c r="D1080" s="1" t="str">
        <f t="shared" si="112"/>
        <v>قراردادي بهره بردار</v>
      </c>
      <c r="E1080" s="1" t="str">
        <f t="shared" si="114"/>
        <v>پروژه بهره برداري نيروگاه بوشهر</v>
      </c>
      <c r="F1080" s="1">
        <v>12954069</v>
      </c>
      <c r="G1080" s="1">
        <v>9598893</v>
      </c>
      <c r="H1080" s="1">
        <v>0</v>
      </c>
      <c r="I1080" s="1">
        <v>8538384</v>
      </c>
      <c r="J1080" s="1">
        <v>0</v>
      </c>
      <c r="K1080" s="1">
        <v>3465000</v>
      </c>
      <c r="L1080" s="1">
        <v>0</v>
      </c>
      <c r="M1080" s="1">
        <v>1000000</v>
      </c>
      <c r="N1080" s="1">
        <v>2042999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3747383</v>
      </c>
      <c r="W1080" s="1">
        <v>4000000</v>
      </c>
      <c r="X1080" s="1">
        <v>1745253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1605214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12333171</v>
      </c>
      <c r="AM1080" s="1">
        <v>0</v>
      </c>
      <c r="AN1080" s="1">
        <v>0</v>
      </c>
      <c r="AO1080" s="1">
        <v>61030366</v>
      </c>
      <c r="AP1080" s="1">
        <v>11638087</v>
      </c>
      <c r="AQ1080" s="1">
        <v>49392279</v>
      </c>
      <c r="AR1080" s="1">
        <v>12206073</v>
      </c>
      <c r="AS1080" s="1">
        <v>1830911</v>
      </c>
      <c r="AT1080" s="3">
        <f t="shared" si="111"/>
        <v>75067350</v>
      </c>
    </row>
    <row r="1081" spans="1:46" x14ac:dyDescent="0.2">
      <c r="A1081" s="1" t="str">
        <f>"01386"</f>
        <v>01386</v>
      </c>
      <c r="B1081" s="1" t="str">
        <f>"محمد"</f>
        <v>محمد</v>
      </c>
      <c r="C1081" s="1" t="str">
        <f>"شاهسوني"</f>
        <v>شاهسوني</v>
      </c>
      <c r="D1081" s="1" t="str">
        <f t="shared" si="112"/>
        <v>قراردادي بهره بردار</v>
      </c>
      <c r="E1081" s="1" t="str">
        <f t="shared" si="114"/>
        <v>پروژه بهره برداري نيروگاه بوشهر</v>
      </c>
      <c r="F1081" s="1">
        <v>19325295</v>
      </c>
      <c r="G1081" s="1">
        <v>0</v>
      </c>
      <c r="H1081" s="1">
        <v>0</v>
      </c>
      <c r="I1081" s="1">
        <v>9884719</v>
      </c>
      <c r="J1081" s="1">
        <v>0</v>
      </c>
      <c r="K1081" s="1">
        <v>0</v>
      </c>
      <c r="L1081" s="1">
        <v>0</v>
      </c>
      <c r="M1081" s="1">
        <v>1000000</v>
      </c>
      <c r="N1081" s="1">
        <v>3100210</v>
      </c>
      <c r="O1081" s="1">
        <v>0</v>
      </c>
      <c r="P1081" s="1">
        <v>0</v>
      </c>
      <c r="Q1081" s="1">
        <v>0</v>
      </c>
      <c r="R1081" s="1">
        <v>153489</v>
      </c>
      <c r="S1081" s="1">
        <v>0</v>
      </c>
      <c r="T1081" s="1">
        <v>0</v>
      </c>
      <c r="U1081" s="1">
        <v>0</v>
      </c>
      <c r="V1081" s="1">
        <v>3933066</v>
      </c>
      <c r="W1081" s="1">
        <v>4000000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2435879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4584561</v>
      </c>
      <c r="AM1081" s="1">
        <v>0</v>
      </c>
      <c r="AN1081" s="1">
        <v>0</v>
      </c>
      <c r="AO1081" s="1">
        <v>48417219</v>
      </c>
      <c r="AP1081" s="1">
        <v>16111791</v>
      </c>
      <c r="AQ1081" s="1">
        <v>32305428</v>
      </c>
      <c r="AR1081" s="1">
        <v>9652746</v>
      </c>
      <c r="AS1081" s="1">
        <v>1447912</v>
      </c>
      <c r="AT1081" s="3">
        <f t="shared" si="111"/>
        <v>59517877</v>
      </c>
    </row>
    <row r="1082" spans="1:46" x14ac:dyDescent="0.2">
      <c r="A1082" s="1" t="str">
        <f>"01387"</f>
        <v>01387</v>
      </c>
      <c r="B1082" s="1" t="str">
        <f>"علي"</f>
        <v>علي</v>
      </c>
      <c r="C1082" s="1" t="str">
        <f>"صفي ياري خفري"</f>
        <v>صفي ياري خفري</v>
      </c>
      <c r="D1082" s="1" t="str">
        <f t="shared" si="112"/>
        <v>قراردادي بهره بردار</v>
      </c>
      <c r="E1082" s="1" t="str">
        <f t="shared" si="114"/>
        <v>پروژه بهره برداري نيروگاه بوشهر</v>
      </c>
      <c r="F1082" s="1">
        <v>17768388</v>
      </c>
      <c r="G1082" s="1">
        <v>1981761</v>
      </c>
      <c r="H1082" s="1">
        <v>0</v>
      </c>
      <c r="I1082" s="1">
        <v>9009072</v>
      </c>
      <c r="J1082" s="1">
        <v>0</v>
      </c>
      <c r="K1082" s="1">
        <v>4125000</v>
      </c>
      <c r="L1082" s="1">
        <v>0</v>
      </c>
      <c r="M1082" s="1">
        <v>1000000</v>
      </c>
      <c r="N1082" s="1">
        <v>2766910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3647324</v>
      </c>
      <c r="W1082" s="1">
        <v>4000000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2174001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4754864</v>
      </c>
      <c r="AM1082" s="1">
        <v>0</v>
      </c>
      <c r="AN1082" s="1">
        <v>0</v>
      </c>
      <c r="AO1082" s="1">
        <v>51227320</v>
      </c>
      <c r="AP1082" s="1">
        <v>21784397</v>
      </c>
      <c r="AQ1082" s="1">
        <v>29442923</v>
      </c>
      <c r="AR1082" s="1">
        <v>10245464</v>
      </c>
      <c r="AS1082" s="1">
        <v>1536820</v>
      </c>
      <c r="AT1082" s="3">
        <f t="shared" si="111"/>
        <v>63009604</v>
      </c>
    </row>
    <row r="1083" spans="1:46" x14ac:dyDescent="0.2">
      <c r="A1083" s="1" t="str">
        <f>"01388"</f>
        <v>01388</v>
      </c>
      <c r="B1083" s="1" t="str">
        <f>"پوريا"</f>
        <v>پوريا</v>
      </c>
      <c r="C1083" s="1" t="str">
        <f>"ميرسنجري"</f>
        <v>ميرسنجري</v>
      </c>
      <c r="D1083" s="1" t="str">
        <f>"قراردادي کارگري"</f>
        <v>قراردادي کارگري</v>
      </c>
      <c r="E1083" s="1" t="str">
        <f>"پروژه تعميرات نيروگاه بوشهر"</f>
        <v>پروژه تعميرات نيروگاه بوشهر</v>
      </c>
      <c r="F1083" s="1">
        <v>0</v>
      </c>
      <c r="G1083" s="1">
        <v>3927066</v>
      </c>
      <c r="H1083" s="1">
        <v>0</v>
      </c>
      <c r="I1083" s="1">
        <v>4143664</v>
      </c>
      <c r="J1083" s="1">
        <v>0</v>
      </c>
      <c r="K1083" s="1">
        <v>0</v>
      </c>
      <c r="L1083" s="1">
        <v>11331151</v>
      </c>
      <c r="M1083" s="1">
        <v>2000000</v>
      </c>
      <c r="N1083" s="1">
        <v>3683257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2640000</v>
      </c>
      <c r="U1083" s="1">
        <v>0</v>
      </c>
      <c r="V1083" s="1">
        <v>3226418</v>
      </c>
      <c r="W1083" s="1">
        <v>4000000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41857661</v>
      </c>
      <c r="AP1083" s="1">
        <v>4420036</v>
      </c>
      <c r="AQ1083" s="1">
        <v>37437625</v>
      </c>
      <c r="AR1083" s="1">
        <v>8371532</v>
      </c>
      <c r="AS1083" s="1">
        <v>1255730</v>
      </c>
      <c r="AT1083" s="3">
        <f t="shared" si="111"/>
        <v>51484923</v>
      </c>
    </row>
    <row r="1084" spans="1:46" x14ac:dyDescent="0.2">
      <c r="A1084" s="1" t="str">
        <f>"01389"</f>
        <v>01389</v>
      </c>
      <c r="B1084" s="1" t="str">
        <f>"عيسي"</f>
        <v>عيسي</v>
      </c>
      <c r="C1084" s="1" t="str">
        <f>"زنده بودي"</f>
        <v>زنده بودي</v>
      </c>
      <c r="D1084" s="1" t="str">
        <f>"قراردادي کارگري"</f>
        <v>قراردادي کارگري</v>
      </c>
      <c r="E1084" s="1" t="str">
        <f>"پروژه تعميرات نيروگاه بوشهر"</f>
        <v>پروژه تعميرات نيروگاه بوشهر</v>
      </c>
      <c r="F1084" s="1">
        <v>0</v>
      </c>
      <c r="G1084" s="1">
        <v>8640903</v>
      </c>
      <c r="H1084" s="1">
        <v>0</v>
      </c>
      <c r="I1084" s="1">
        <v>6181807</v>
      </c>
      <c r="J1084" s="1">
        <v>0</v>
      </c>
      <c r="K1084" s="1">
        <v>0</v>
      </c>
      <c r="L1084" s="1">
        <v>11331151</v>
      </c>
      <c r="M1084" s="1">
        <v>2000000</v>
      </c>
      <c r="N1084" s="1">
        <v>5494939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2640000</v>
      </c>
      <c r="U1084" s="1">
        <v>0</v>
      </c>
      <c r="V1084" s="1">
        <v>7507073</v>
      </c>
      <c r="W1084" s="1">
        <v>4000000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3670854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61769738</v>
      </c>
      <c r="AP1084" s="1">
        <v>10274403</v>
      </c>
      <c r="AQ1084" s="1">
        <v>51495335</v>
      </c>
      <c r="AR1084" s="1">
        <v>11619777</v>
      </c>
      <c r="AS1084" s="1">
        <v>1742967</v>
      </c>
      <c r="AT1084" s="3">
        <f t="shared" si="111"/>
        <v>75132482</v>
      </c>
    </row>
    <row r="1085" spans="1:46" x14ac:dyDescent="0.2">
      <c r="A1085" s="1" t="str">
        <f>"01390"</f>
        <v>01390</v>
      </c>
      <c r="B1085" s="1" t="str">
        <f>"محمد"</f>
        <v>محمد</v>
      </c>
      <c r="C1085" s="1" t="str">
        <f>"صبوريان"</f>
        <v>صبوريان</v>
      </c>
      <c r="D1085" s="1" t="str">
        <f>"قراردادي کارگري"</f>
        <v>قراردادي کارگري</v>
      </c>
      <c r="E1085" s="1" t="str">
        <f>"پروژه تعميرات نيروگاه بوشهر"</f>
        <v>پروژه تعميرات نيروگاه بوشهر</v>
      </c>
      <c r="F1085" s="1">
        <v>0</v>
      </c>
      <c r="G1085" s="1">
        <v>7165861</v>
      </c>
      <c r="H1085" s="1">
        <v>0</v>
      </c>
      <c r="I1085" s="1">
        <v>3886790</v>
      </c>
      <c r="J1085" s="1">
        <v>0</v>
      </c>
      <c r="K1085" s="1">
        <v>0</v>
      </c>
      <c r="L1085" s="1">
        <v>11331151</v>
      </c>
      <c r="M1085" s="1">
        <v>2000000</v>
      </c>
      <c r="N1085" s="1">
        <v>3454924</v>
      </c>
      <c r="O1085" s="1">
        <v>0</v>
      </c>
      <c r="P1085" s="1">
        <v>0</v>
      </c>
      <c r="Q1085" s="1">
        <v>0</v>
      </c>
      <c r="R1085" s="1">
        <v>933367</v>
      </c>
      <c r="S1085" s="1">
        <v>0</v>
      </c>
      <c r="T1085" s="1">
        <v>2640000</v>
      </c>
      <c r="U1085" s="1">
        <v>0</v>
      </c>
      <c r="V1085" s="1">
        <v>6583678</v>
      </c>
      <c r="W1085" s="1">
        <v>4000000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3772627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2866344</v>
      </c>
      <c r="AK1085" s="1">
        <v>0</v>
      </c>
      <c r="AL1085" s="1">
        <v>0</v>
      </c>
      <c r="AM1085" s="1">
        <v>0</v>
      </c>
      <c r="AN1085" s="1">
        <v>0</v>
      </c>
      <c r="AO1085" s="1">
        <v>55112725</v>
      </c>
      <c r="AP1085" s="1">
        <v>7092451</v>
      </c>
      <c r="AQ1085" s="1">
        <v>48020274</v>
      </c>
      <c r="AR1085" s="1">
        <v>10835872</v>
      </c>
      <c r="AS1085" s="1">
        <v>1625381</v>
      </c>
      <c r="AT1085" s="3">
        <f t="shared" si="111"/>
        <v>67573978</v>
      </c>
    </row>
    <row r="1086" spans="1:46" x14ac:dyDescent="0.2">
      <c r="A1086" s="1" t="str">
        <f>"01391"</f>
        <v>01391</v>
      </c>
      <c r="B1086" s="1" t="str">
        <f>"اميد"</f>
        <v>اميد</v>
      </c>
      <c r="C1086" s="1" t="str">
        <f>"محمدپور"</f>
        <v>محمدپور</v>
      </c>
      <c r="D1086" s="1" t="str">
        <f>"قراردادي کارگري"</f>
        <v>قراردادي کارگري</v>
      </c>
      <c r="E1086" s="1" t="str">
        <f>"پروژه تعميرات نيروگاه بوشهر"</f>
        <v>پروژه تعميرات نيروگاه بوشهر</v>
      </c>
      <c r="F1086" s="1">
        <v>0</v>
      </c>
      <c r="G1086" s="1">
        <v>1981887</v>
      </c>
      <c r="H1086" s="1">
        <v>0</v>
      </c>
      <c r="I1086" s="1">
        <v>6017576</v>
      </c>
      <c r="J1086" s="1">
        <v>0</v>
      </c>
      <c r="K1086" s="1">
        <v>0</v>
      </c>
      <c r="L1086" s="1">
        <v>11331151</v>
      </c>
      <c r="M1086" s="1">
        <v>2000000</v>
      </c>
      <c r="N1086" s="1">
        <v>5348957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2640000</v>
      </c>
      <c r="U1086" s="1">
        <v>0</v>
      </c>
      <c r="V1086" s="1">
        <v>7396126</v>
      </c>
      <c r="W1086" s="1">
        <v>4000000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1835427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52580418</v>
      </c>
      <c r="AP1086" s="1">
        <v>6753776</v>
      </c>
      <c r="AQ1086" s="1">
        <v>45826642</v>
      </c>
      <c r="AR1086" s="1">
        <v>10148998</v>
      </c>
      <c r="AS1086" s="1">
        <v>1522350</v>
      </c>
      <c r="AT1086" s="3">
        <f t="shared" si="111"/>
        <v>64251766</v>
      </c>
    </row>
    <row r="1087" spans="1:46" x14ac:dyDescent="0.2">
      <c r="A1087" s="1" t="str">
        <f>"01392"</f>
        <v>01392</v>
      </c>
      <c r="B1087" s="1" t="str">
        <f>"سيد محمد"</f>
        <v>سيد محمد</v>
      </c>
      <c r="C1087" s="1" t="str">
        <f>"مير سليماني"</f>
        <v>مير سليماني</v>
      </c>
      <c r="D1087" s="1" t="str">
        <f t="shared" ref="D1087:D1117" si="115">"قراردادي بهره بردار"</f>
        <v>قراردادي بهره بردار</v>
      </c>
      <c r="E1087" s="1" t="str">
        <f t="shared" ref="E1087:E1117" si="116">"پروژه بهره برداري نيروگاه بوشهر"</f>
        <v>پروژه بهره برداري نيروگاه بوشهر</v>
      </c>
      <c r="F1087" s="1">
        <v>10699326</v>
      </c>
      <c r="G1087" s="1">
        <v>2684279</v>
      </c>
      <c r="H1087" s="1">
        <v>0</v>
      </c>
      <c r="I1087" s="1">
        <v>6056443</v>
      </c>
      <c r="J1087" s="1">
        <v>0</v>
      </c>
      <c r="K1087" s="1">
        <v>3465000</v>
      </c>
      <c r="L1087" s="1">
        <v>0</v>
      </c>
      <c r="M1087" s="1">
        <v>1000000</v>
      </c>
      <c r="N1087" s="1">
        <v>1549223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2470135</v>
      </c>
      <c r="W1087" s="1">
        <v>4000000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1217247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5179108</v>
      </c>
      <c r="AM1087" s="1">
        <v>0</v>
      </c>
      <c r="AN1087" s="1">
        <v>0</v>
      </c>
      <c r="AO1087" s="1">
        <v>38320761</v>
      </c>
      <c r="AP1087" s="1">
        <v>12983668</v>
      </c>
      <c r="AQ1087" s="1">
        <v>25337093</v>
      </c>
      <c r="AR1087" s="1">
        <v>7664152</v>
      </c>
      <c r="AS1087" s="1">
        <v>1149623</v>
      </c>
      <c r="AT1087" s="3">
        <f t="shared" si="111"/>
        <v>47134536</v>
      </c>
    </row>
    <row r="1088" spans="1:46" x14ac:dyDescent="0.2">
      <c r="A1088" s="1" t="str">
        <f>"01393"</f>
        <v>01393</v>
      </c>
      <c r="B1088" s="1" t="str">
        <f>"پيمان"</f>
        <v>پيمان</v>
      </c>
      <c r="C1088" s="1" t="str">
        <f>"نجفي"</f>
        <v>نجفي</v>
      </c>
      <c r="D1088" s="1" t="str">
        <f t="shared" si="115"/>
        <v>قراردادي بهره بردار</v>
      </c>
      <c r="E1088" s="1" t="str">
        <f t="shared" si="116"/>
        <v>پروژه بهره برداري نيروگاه بوشهر</v>
      </c>
      <c r="F1088" s="1">
        <v>10863078</v>
      </c>
      <c r="G1088" s="1">
        <v>16152753</v>
      </c>
      <c r="H1088" s="1">
        <v>0</v>
      </c>
      <c r="I1088" s="1">
        <v>5483489</v>
      </c>
      <c r="J1088" s="1">
        <v>0</v>
      </c>
      <c r="K1088" s="1">
        <v>3465000</v>
      </c>
      <c r="L1088" s="1">
        <v>0</v>
      </c>
      <c r="M1088" s="1">
        <v>1000000</v>
      </c>
      <c r="N1088" s="1">
        <v>1606537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2774637</v>
      </c>
      <c r="W1088" s="1">
        <v>4000000</v>
      </c>
      <c r="X1088" s="1">
        <v>1576898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1262279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8530992</v>
      </c>
      <c r="AM1088" s="1">
        <v>0</v>
      </c>
      <c r="AN1088" s="1">
        <v>0</v>
      </c>
      <c r="AO1088" s="1">
        <v>56715663</v>
      </c>
      <c r="AP1088" s="1">
        <v>14182479</v>
      </c>
      <c r="AQ1088" s="1">
        <v>42533184</v>
      </c>
      <c r="AR1088" s="1">
        <v>11343133</v>
      </c>
      <c r="AS1088" s="1">
        <v>1701470</v>
      </c>
      <c r="AT1088" s="3">
        <f t="shared" si="111"/>
        <v>69760266</v>
      </c>
    </row>
    <row r="1089" spans="1:46" x14ac:dyDescent="0.2">
      <c r="A1089" s="1" t="str">
        <f>"01394"</f>
        <v>01394</v>
      </c>
      <c r="B1089" s="1" t="str">
        <f>"محمدرضا"</f>
        <v>محمدرضا</v>
      </c>
      <c r="C1089" s="1" t="str">
        <f>"احمدپري"</f>
        <v>احمدپري</v>
      </c>
      <c r="D1089" s="1" t="str">
        <f t="shared" si="115"/>
        <v>قراردادي بهره بردار</v>
      </c>
      <c r="E1089" s="1" t="str">
        <f t="shared" si="116"/>
        <v>پروژه بهره برداري نيروگاه بوشهر</v>
      </c>
      <c r="F1089" s="1">
        <v>17932140</v>
      </c>
      <c r="G1089" s="1">
        <v>0</v>
      </c>
      <c r="H1089" s="1">
        <v>0</v>
      </c>
      <c r="I1089" s="1">
        <v>9079127</v>
      </c>
      <c r="J1089" s="1">
        <v>0</v>
      </c>
      <c r="K1089" s="1">
        <v>5500000</v>
      </c>
      <c r="L1089" s="1">
        <v>0</v>
      </c>
      <c r="M1089" s="1">
        <v>1000000</v>
      </c>
      <c r="N1089" s="1">
        <v>2824224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3679049</v>
      </c>
      <c r="W1089" s="1">
        <v>4000000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2219033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4735969</v>
      </c>
      <c r="AM1089" s="1">
        <v>0</v>
      </c>
      <c r="AN1089" s="1">
        <v>0</v>
      </c>
      <c r="AO1089" s="1">
        <v>50969542</v>
      </c>
      <c r="AP1089" s="1">
        <v>8320835</v>
      </c>
      <c r="AQ1089" s="1">
        <v>42648707</v>
      </c>
      <c r="AR1089" s="1">
        <v>10193908</v>
      </c>
      <c r="AS1089" s="1">
        <v>1529086</v>
      </c>
      <c r="AT1089" s="3">
        <f t="shared" si="111"/>
        <v>62692536</v>
      </c>
    </row>
    <row r="1090" spans="1:46" x14ac:dyDescent="0.2">
      <c r="A1090" s="1" t="str">
        <f>"01395"</f>
        <v>01395</v>
      </c>
      <c r="B1090" s="1" t="str">
        <f>"وحيد"</f>
        <v>وحيد</v>
      </c>
      <c r="C1090" s="1" t="str">
        <f>"زندي"</f>
        <v>زندي</v>
      </c>
      <c r="D1090" s="1" t="str">
        <f t="shared" si="115"/>
        <v>قراردادي بهره بردار</v>
      </c>
      <c r="E1090" s="1" t="str">
        <f t="shared" si="116"/>
        <v>پروژه بهره برداري نيروگاه بوشهر</v>
      </c>
      <c r="F1090" s="1">
        <v>11540761</v>
      </c>
      <c r="G1090" s="1">
        <v>408237</v>
      </c>
      <c r="H1090" s="1">
        <v>0</v>
      </c>
      <c r="I1090" s="1">
        <v>5961975</v>
      </c>
      <c r="J1090" s="1">
        <v>0</v>
      </c>
      <c r="K1090" s="1">
        <v>3465000</v>
      </c>
      <c r="L1090" s="1">
        <v>0</v>
      </c>
      <c r="M1090" s="1">
        <v>1000000</v>
      </c>
      <c r="N1090" s="1">
        <v>1843725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2629680</v>
      </c>
      <c r="W1090" s="1">
        <v>4000000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1448641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5501700</v>
      </c>
      <c r="AM1090" s="1">
        <v>0</v>
      </c>
      <c r="AN1090" s="1">
        <v>0</v>
      </c>
      <c r="AO1090" s="1">
        <v>37799719</v>
      </c>
      <c r="AP1090" s="1">
        <v>4541980</v>
      </c>
      <c r="AQ1090" s="1">
        <v>33257739</v>
      </c>
      <c r="AR1090" s="1">
        <v>7559944</v>
      </c>
      <c r="AS1090" s="1">
        <v>1133992</v>
      </c>
      <c r="AT1090" s="3">
        <f t="shared" si="111"/>
        <v>46493655</v>
      </c>
    </row>
    <row r="1091" spans="1:46" x14ac:dyDescent="0.2">
      <c r="A1091" s="1" t="str">
        <f>"01396"</f>
        <v>01396</v>
      </c>
      <c r="B1091" s="1" t="str">
        <f>"مهدي"</f>
        <v>مهدي</v>
      </c>
      <c r="C1091" s="1" t="str">
        <f>"ترحمي سيل آباد"</f>
        <v>ترحمي سيل آباد</v>
      </c>
      <c r="D1091" s="1" t="str">
        <f t="shared" si="115"/>
        <v>قراردادي بهره بردار</v>
      </c>
      <c r="E1091" s="1" t="str">
        <f t="shared" si="116"/>
        <v>پروژه بهره برداري نيروگاه بوشهر</v>
      </c>
      <c r="F1091" s="1">
        <v>11341739</v>
      </c>
      <c r="G1091" s="1">
        <v>4263608</v>
      </c>
      <c r="H1091" s="1">
        <v>0</v>
      </c>
      <c r="I1091" s="1">
        <v>6767083</v>
      </c>
      <c r="J1091" s="1">
        <v>0</v>
      </c>
      <c r="K1091" s="1">
        <v>3465000</v>
      </c>
      <c r="L1091" s="1">
        <v>0</v>
      </c>
      <c r="M1091" s="1">
        <v>1000000</v>
      </c>
      <c r="N1091" s="1">
        <v>1478683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2746428</v>
      </c>
      <c r="W1091" s="1">
        <v>4000000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1161823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6714954</v>
      </c>
      <c r="AM1091" s="1">
        <v>0</v>
      </c>
      <c r="AN1091" s="1">
        <v>0</v>
      </c>
      <c r="AO1091" s="1">
        <v>42939318</v>
      </c>
      <c r="AP1091" s="1">
        <v>13625775</v>
      </c>
      <c r="AQ1091" s="1">
        <v>29313543</v>
      </c>
      <c r="AR1091" s="1">
        <v>8587864</v>
      </c>
      <c r="AS1091" s="1">
        <v>1288180</v>
      </c>
      <c r="AT1091" s="3">
        <f t="shared" ref="AT1091:AT1142" si="117">AO1091+AR1091+AS1091</f>
        <v>52815362</v>
      </c>
    </row>
    <row r="1092" spans="1:46" x14ac:dyDescent="0.2">
      <c r="A1092" s="1" t="str">
        <f>"01397"</f>
        <v>01397</v>
      </c>
      <c r="B1092" s="1" t="str">
        <f>"محمد"</f>
        <v>محمد</v>
      </c>
      <c r="C1092" s="1" t="str">
        <f>"پديسار"</f>
        <v>پديسار</v>
      </c>
      <c r="D1092" s="1" t="str">
        <f t="shared" si="115"/>
        <v>قراردادي بهره بردار</v>
      </c>
      <c r="E1092" s="1" t="str">
        <f t="shared" si="116"/>
        <v>پروژه بهره برداري نيروگاه بوشهر</v>
      </c>
      <c r="F1092" s="1">
        <v>15004752</v>
      </c>
      <c r="G1092" s="1">
        <v>0</v>
      </c>
      <c r="H1092" s="1">
        <v>0</v>
      </c>
      <c r="I1092" s="1">
        <v>9090032</v>
      </c>
      <c r="J1092" s="1">
        <v>0</v>
      </c>
      <c r="K1092" s="1">
        <v>5500000</v>
      </c>
      <c r="L1092" s="1">
        <v>0</v>
      </c>
      <c r="M1092" s="1">
        <v>1000000</v>
      </c>
      <c r="N1092" s="1">
        <v>1799638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3127198</v>
      </c>
      <c r="W1092" s="1">
        <v>4000000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1414001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3963562</v>
      </c>
      <c r="AM1092" s="1">
        <v>0</v>
      </c>
      <c r="AN1092" s="1">
        <v>0</v>
      </c>
      <c r="AO1092" s="1">
        <v>44899183</v>
      </c>
      <c r="AP1092" s="1">
        <v>12387922</v>
      </c>
      <c r="AQ1092" s="1">
        <v>32511261</v>
      </c>
      <c r="AR1092" s="1">
        <v>8979837</v>
      </c>
      <c r="AS1092" s="1">
        <v>1346975</v>
      </c>
      <c r="AT1092" s="3">
        <f t="shared" si="117"/>
        <v>55225995</v>
      </c>
    </row>
    <row r="1093" spans="1:46" x14ac:dyDescent="0.2">
      <c r="A1093" s="1" t="str">
        <f>"01398"</f>
        <v>01398</v>
      </c>
      <c r="B1093" s="1" t="str">
        <f>"پژمان"</f>
        <v>پژمان</v>
      </c>
      <c r="C1093" s="1" t="str">
        <f>"سروري"</f>
        <v>سروري</v>
      </c>
      <c r="D1093" s="1" t="str">
        <f t="shared" si="115"/>
        <v>قراردادي بهره بردار</v>
      </c>
      <c r="E1093" s="1" t="str">
        <f t="shared" si="116"/>
        <v>پروژه بهره برداري نيروگاه بوشهر</v>
      </c>
      <c r="F1093" s="1">
        <v>12493043</v>
      </c>
      <c r="G1093" s="1">
        <v>5177727</v>
      </c>
      <c r="H1093" s="1">
        <v>0</v>
      </c>
      <c r="I1093" s="1">
        <v>7583817</v>
      </c>
      <c r="J1093" s="1">
        <v>0</v>
      </c>
      <c r="K1093" s="1">
        <v>3465000</v>
      </c>
      <c r="L1093" s="1">
        <v>0</v>
      </c>
      <c r="M1093" s="1">
        <v>1000000</v>
      </c>
      <c r="N1093" s="1">
        <v>1881640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3032057</v>
      </c>
      <c r="W1093" s="1">
        <v>4000000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1478431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6883644</v>
      </c>
      <c r="AM1093" s="1">
        <v>0</v>
      </c>
      <c r="AN1093" s="1">
        <v>0</v>
      </c>
      <c r="AO1093" s="1">
        <v>46995359</v>
      </c>
      <c r="AP1093" s="1">
        <v>18505407</v>
      </c>
      <c r="AQ1093" s="1">
        <v>28489952</v>
      </c>
      <c r="AR1093" s="1">
        <v>9399072</v>
      </c>
      <c r="AS1093" s="1">
        <v>1409861</v>
      </c>
      <c r="AT1093" s="3">
        <f t="shared" si="117"/>
        <v>57804292</v>
      </c>
    </row>
    <row r="1094" spans="1:46" x14ac:dyDescent="0.2">
      <c r="A1094" s="1" t="str">
        <f>"01400"</f>
        <v>01400</v>
      </c>
      <c r="B1094" s="1" t="str">
        <f>"اسماعيل"</f>
        <v>اسماعيل</v>
      </c>
      <c r="C1094" s="1" t="str">
        <f>"احمد حسيني"</f>
        <v>احمد حسيني</v>
      </c>
      <c r="D1094" s="1" t="str">
        <f t="shared" si="115"/>
        <v>قراردادي بهره بردار</v>
      </c>
      <c r="E1094" s="1" t="str">
        <f t="shared" si="116"/>
        <v>پروژه بهره برداري نيروگاه بوشهر</v>
      </c>
      <c r="F1094" s="1">
        <v>9477481</v>
      </c>
      <c r="G1094" s="1">
        <v>9876724</v>
      </c>
      <c r="H1094" s="1">
        <v>0</v>
      </c>
      <c r="I1094" s="1">
        <v>5518763</v>
      </c>
      <c r="J1094" s="1">
        <v>0</v>
      </c>
      <c r="K1094" s="1">
        <v>3465000</v>
      </c>
      <c r="L1094" s="1">
        <v>0</v>
      </c>
      <c r="M1094" s="1">
        <v>1000000</v>
      </c>
      <c r="N1094" s="1">
        <v>1121578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4022049</v>
      </c>
      <c r="W1094" s="1">
        <v>4000000</v>
      </c>
      <c r="X1094" s="1">
        <v>1375763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881239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8138743</v>
      </c>
      <c r="AM1094" s="1">
        <v>0</v>
      </c>
      <c r="AN1094" s="1">
        <v>0</v>
      </c>
      <c r="AO1094" s="1">
        <v>48877340</v>
      </c>
      <c r="AP1094" s="1">
        <v>6273407</v>
      </c>
      <c r="AQ1094" s="1">
        <v>42603933</v>
      </c>
      <c r="AR1094" s="1">
        <v>9775468</v>
      </c>
      <c r="AS1094" s="1">
        <v>1466320</v>
      </c>
      <c r="AT1094" s="3">
        <f t="shared" si="117"/>
        <v>60119128</v>
      </c>
    </row>
    <row r="1095" spans="1:46" x14ac:dyDescent="0.2">
      <c r="A1095" s="1" t="str">
        <f>"01401"</f>
        <v>01401</v>
      </c>
      <c r="B1095" s="1" t="str">
        <f>"علي"</f>
        <v>علي</v>
      </c>
      <c r="C1095" s="1" t="str">
        <f>"دشتي زاده"</f>
        <v>دشتي زاده</v>
      </c>
      <c r="D1095" s="1" t="str">
        <f t="shared" si="115"/>
        <v>قراردادي بهره بردار</v>
      </c>
      <c r="E1095" s="1" t="str">
        <f t="shared" si="116"/>
        <v>پروژه بهره برداري نيروگاه بوشهر</v>
      </c>
      <c r="F1095" s="1">
        <v>11374489</v>
      </c>
      <c r="G1095" s="1">
        <v>2408367</v>
      </c>
      <c r="H1095" s="1">
        <v>0</v>
      </c>
      <c r="I1095" s="1">
        <v>5844577</v>
      </c>
      <c r="J1095" s="1">
        <v>0</v>
      </c>
      <c r="K1095" s="1">
        <v>3465000</v>
      </c>
      <c r="L1095" s="1">
        <v>0</v>
      </c>
      <c r="M1095" s="1">
        <v>1000000</v>
      </c>
      <c r="N1095" s="1">
        <v>1785531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2585606</v>
      </c>
      <c r="W1095" s="1">
        <v>4000000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1402916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5448545</v>
      </c>
      <c r="AM1095" s="1">
        <v>0</v>
      </c>
      <c r="AN1095" s="1">
        <v>0</v>
      </c>
      <c r="AO1095" s="1">
        <v>39315031</v>
      </c>
      <c r="AP1095" s="1">
        <v>3008350</v>
      </c>
      <c r="AQ1095" s="1">
        <v>36306681</v>
      </c>
      <c r="AR1095" s="1">
        <v>7863006</v>
      </c>
      <c r="AS1095" s="1">
        <v>1179451</v>
      </c>
      <c r="AT1095" s="3">
        <f t="shared" si="117"/>
        <v>48357488</v>
      </c>
    </row>
    <row r="1096" spans="1:46" x14ac:dyDescent="0.2">
      <c r="A1096" s="1" t="str">
        <f>"01402"</f>
        <v>01402</v>
      </c>
      <c r="B1096" s="1" t="str">
        <f>"روح اله"</f>
        <v>روح اله</v>
      </c>
      <c r="C1096" s="1" t="str">
        <f>"دهقاني"</f>
        <v>دهقاني</v>
      </c>
      <c r="D1096" s="1" t="str">
        <f t="shared" si="115"/>
        <v>قراردادي بهره بردار</v>
      </c>
      <c r="E1096" s="1" t="str">
        <f t="shared" si="116"/>
        <v>پروژه بهره برداري نيروگاه بوشهر</v>
      </c>
      <c r="F1096" s="1">
        <v>16861452</v>
      </c>
      <c r="G1096" s="1">
        <v>2402666</v>
      </c>
      <c r="H1096" s="1">
        <v>0</v>
      </c>
      <c r="I1096" s="1">
        <v>8342293</v>
      </c>
      <c r="J1096" s="1">
        <v>0</v>
      </c>
      <c r="K1096" s="1">
        <v>0</v>
      </c>
      <c r="L1096" s="1">
        <v>0</v>
      </c>
      <c r="M1096" s="1">
        <v>1000000</v>
      </c>
      <c r="N1096" s="1">
        <v>2449483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3439315</v>
      </c>
      <c r="W1096" s="1">
        <v>4000000</v>
      </c>
      <c r="X1096" s="1">
        <v>2447630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1924594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4815326</v>
      </c>
      <c r="AM1096" s="1">
        <v>0</v>
      </c>
      <c r="AN1096" s="1">
        <v>0</v>
      </c>
      <c r="AO1096" s="1">
        <v>47682759</v>
      </c>
      <c r="AP1096" s="1">
        <v>12055008</v>
      </c>
      <c r="AQ1096" s="1">
        <v>35627751</v>
      </c>
      <c r="AR1096" s="1">
        <v>9536552</v>
      </c>
      <c r="AS1096" s="1">
        <v>1430483</v>
      </c>
      <c r="AT1096" s="3">
        <f t="shared" si="117"/>
        <v>58649794</v>
      </c>
    </row>
    <row r="1097" spans="1:46" x14ac:dyDescent="0.2">
      <c r="A1097" s="1" t="str">
        <f>"01403"</f>
        <v>01403</v>
      </c>
      <c r="B1097" s="1" t="str">
        <f>"محمد مجتبي"</f>
        <v>محمد مجتبي</v>
      </c>
      <c r="C1097" s="1" t="str">
        <f>"کشت کار"</f>
        <v>کشت کار</v>
      </c>
      <c r="D1097" s="1" t="str">
        <f t="shared" si="115"/>
        <v>قراردادي بهره بردار</v>
      </c>
      <c r="E1097" s="1" t="str">
        <f t="shared" si="116"/>
        <v>پروژه بهره برداري نيروگاه بوشهر</v>
      </c>
      <c r="F1097" s="1">
        <v>10880713</v>
      </c>
      <c r="G1097" s="1">
        <v>4760046</v>
      </c>
      <c r="H1097" s="1">
        <v>0</v>
      </c>
      <c r="I1097" s="1">
        <v>5495939</v>
      </c>
      <c r="J1097" s="1">
        <v>0</v>
      </c>
      <c r="K1097" s="1">
        <v>3465000</v>
      </c>
      <c r="L1097" s="1">
        <v>0</v>
      </c>
      <c r="M1097" s="1">
        <v>1000000</v>
      </c>
      <c r="N1097" s="1">
        <v>1612709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2452969</v>
      </c>
      <c r="W1097" s="1">
        <v>4000000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1267128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5273203</v>
      </c>
      <c r="AM1097" s="1">
        <v>0</v>
      </c>
      <c r="AN1097" s="1">
        <v>0</v>
      </c>
      <c r="AO1097" s="1">
        <v>40207707</v>
      </c>
      <c r="AP1097" s="1">
        <v>17193894</v>
      </c>
      <c r="AQ1097" s="1">
        <v>23013813</v>
      </c>
      <c r="AR1097" s="1">
        <v>8041541</v>
      </c>
      <c r="AS1097" s="1">
        <v>1206231</v>
      </c>
      <c r="AT1097" s="3">
        <f t="shared" si="117"/>
        <v>49455479</v>
      </c>
    </row>
    <row r="1098" spans="1:46" x14ac:dyDescent="0.2">
      <c r="A1098" s="1" t="str">
        <f>"01404"</f>
        <v>01404</v>
      </c>
      <c r="B1098" s="1" t="str">
        <f>"مصطفي"</f>
        <v>مصطفي</v>
      </c>
      <c r="C1098" s="1" t="str">
        <f>"آذرخش"</f>
        <v>آذرخش</v>
      </c>
      <c r="D1098" s="1" t="str">
        <f t="shared" si="115"/>
        <v>قراردادي بهره بردار</v>
      </c>
      <c r="E1098" s="1" t="str">
        <f t="shared" si="116"/>
        <v>پروژه بهره برداري نيروگاه بوشهر</v>
      </c>
      <c r="F1098" s="1">
        <v>12772682</v>
      </c>
      <c r="G1098" s="1">
        <v>4862013</v>
      </c>
      <c r="H1098" s="1">
        <v>0</v>
      </c>
      <c r="I1098" s="1">
        <v>8447218</v>
      </c>
      <c r="J1098" s="1">
        <v>0</v>
      </c>
      <c r="K1098" s="1">
        <v>4620000</v>
      </c>
      <c r="L1098" s="1">
        <v>0</v>
      </c>
      <c r="M1098" s="1">
        <v>1000000</v>
      </c>
      <c r="N1098" s="1">
        <v>1979514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3296730</v>
      </c>
      <c r="W1098" s="1">
        <v>4000000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1555332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8212557</v>
      </c>
      <c r="AM1098" s="1">
        <v>0</v>
      </c>
      <c r="AN1098" s="1">
        <v>0</v>
      </c>
      <c r="AO1098" s="1">
        <v>50746046</v>
      </c>
      <c r="AP1098" s="1">
        <v>31705245</v>
      </c>
      <c r="AQ1098" s="1">
        <v>19040801</v>
      </c>
      <c r="AR1098" s="1">
        <v>10149209</v>
      </c>
      <c r="AS1098" s="1">
        <v>1522381</v>
      </c>
      <c r="AT1098" s="3">
        <f t="shared" si="117"/>
        <v>62417636</v>
      </c>
    </row>
    <row r="1099" spans="1:46" x14ac:dyDescent="0.2">
      <c r="A1099" s="1" t="str">
        <f>"01405"</f>
        <v>01405</v>
      </c>
      <c r="B1099" s="1" t="str">
        <f>"يوسف"</f>
        <v>يوسف</v>
      </c>
      <c r="C1099" s="1" t="str">
        <f>"زنده بودي"</f>
        <v>زنده بودي</v>
      </c>
      <c r="D1099" s="1" t="str">
        <f t="shared" si="115"/>
        <v>قراردادي بهره بردار</v>
      </c>
      <c r="E1099" s="1" t="str">
        <f t="shared" si="116"/>
        <v>پروژه بهره برداري نيروگاه بوشهر</v>
      </c>
      <c r="F1099" s="1">
        <v>11142716</v>
      </c>
      <c r="G1099" s="1">
        <v>4503750</v>
      </c>
      <c r="H1099" s="1">
        <v>0</v>
      </c>
      <c r="I1099" s="1">
        <v>5680931</v>
      </c>
      <c r="J1099" s="1">
        <v>0</v>
      </c>
      <c r="K1099" s="1">
        <v>3465000</v>
      </c>
      <c r="L1099" s="1">
        <v>0</v>
      </c>
      <c r="M1099" s="1">
        <v>1000000</v>
      </c>
      <c r="N1099" s="1">
        <v>1704410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2522710</v>
      </c>
      <c r="W1099" s="1">
        <v>4000000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1339179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5359866</v>
      </c>
      <c r="AM1099" s="1">
        <v>0</v>
      </c>
      <c r="AN1099" s="1">
        <v>0</v>
      </c>
      <c r="AO1099" s="1">
        <v>40718562</v>
      </c>
      <c r="AP1099" s="1">
        <v>16684054</v>
      </c>
      <c r="AQ1099" s="1">
        <v>24034508</v>
      </c>
      <c r="AR1099" s="1">
        <v>8143712</v>
      </c>
      <c r="AS1099" s="1">
        <v>1221557</v>
      </c>
      <c r="AT1099" s="3">
        <f t="shared" si="117"/>
        <v>50083831</v>
      </c>
    </row>
    <row r="1100" spans="1:46" x14ac:dyDescent="0.2">
      <c r="A1100" s="1" t="str">
        <f>"01406"</f>
        <v>01406</v>
      </c>
      <c r="B1100" s="1" t="str">
        <f>"مصطفي"</f>
        <v>مصطفي</v>
      </c>
      <c r="C1100" s="1" t="str">
        <f>"محمدي گلوردي"</f>
        <v>محمدي گلوردي</v>
      </c>
      <c r="D1100" s="1" t="str">
        <f t="shared" si="115"/>
        <v>قراردادي بهره بردار</v>
      </c>
      <c r="E1100" s="1" t="str">
        <f t="shared" si="116"/>
        <v>پروژه بهره برداري نيروگاه بوشهر</v>
      </c>
      <c r="F1100" s="1">
        <v>12986820</v>
      </c>
      <c r="G1100" s="1">
        <v>4705922</v>
      </c>
      <c r="H1100" s="1">
        <v>0</v>
      </c>
      <c r="I1100" s="1">
        <v>6851265</v>
      </c>
      <c r="J1100" s="1">
        <v>0</v>
      </c>
      <c r="K1100" s="1">
        <v>4620000</v>
      </c>
      <c r="L1100" s="1">
        <v>0</v>
      </c>
      <c r="M1100" s="1">
        <v>1000000</v>
      </c>
      <c r="N1100" s="1">
        <v>2217585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2886997</v>
      </c>
      <c r="W1100" s="1">
        <v>4000000</v>
      </c>
      <c r="X1100" s="1">
        <v>1885184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1742388</v>
      </c>
      <c r="AF1100" s="1">
        <v>1835427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5071914</v>
      </c>
      <c r="AM1100" s="1">
        <v>0</v>
      </c>
      <c r="AN1100" s="1">
        <v>0</v>
      </c>
      <c r="AO1100" s="1">
        <v>49803502</v>
      </c>
      <c r="AP1100" s="1">
        <v>27818595</v>
      </c>
      <c r="AQ1100" s="1">
        <v>21984907</v>
      </c>
      <c r="AR1100" s="1">
        <v>9593615</v>
      </c>
      <c r="AS1100" s="1">
        <v>1439042</v>
      </c>
      <c r="AT1100" s="3">
        <f t="shared" si="117"/>
        <v>60836159</v>
      </c>
    </row>
    <row r="1101" spans="1:46" x14ac:dyDescent="0.2">
      <c r="A1101" s="1" t="str">
        <f>"01407"</f>
        <v>01407</v>
      </c>
      <c r="B1101" s="1" t="str">
        <f>"سجاد"</f>
        <v>سجاد</v>
      </c>
      <c r="C1101" s="1" t="str">
        <f>"رستمي"</f>
        <v>رستمي</v>
      </c>
      <c r="D1101" s="1" t="str">
        <f t="shared" si="115"/>
        <v>قراردادي بهره بردار</v>
      </c>
      <c r="E1101" s="1" t="str">
        <f t="shared" si="116"/>
        <v>پروژه بهره برداري نيروگاه بوشهر</v>
      </c>
      <c r="F1101" s="1">
        <v>11341739</v>
      </c>
      <c r="G1101" s="1">
        <v>2038541</v>
      </c>
      <c r="H1101" s="1">
        <v>0</v>
      </c>
      <c r="I1101" s="1">
        <v>5821453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1774068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2918085</v>
      </c>
      <c r="W1101" s="1">
        <v>4000000</v>
      </c>
      <c r="X1101" s="1">
        <v>1646381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1393910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8849680</v>
      </c>
      <c r="AM1101" s="1">
        <v>0</v>
      </c>
      <c r="AN1101" s="1">
        <v>0</v>
      </c>
      <c r="AO1101" s="1">
        <v>44248857</v>
      </c>
      <c r="AP1101" s="1">
        <v>16220361</v>
      </c>
      <c r="AQ1101" s="1">
        <v>28028496</v>
      </c>
      <c r="AR1101" s="1">
        <v>8849771</v>
      </c>
      <c r="AS1101" s="1">
        <v>1327466</v>
      </c>
      <c r="AT1101" s="3">
        <f t="shared" si="117"/>
        <v>54426094</v>
      </c>
    </row>
    <row r="1102" spans="1:46" x14ac:dyDescent="0.2">
      <c r="A1102" s="1" t="str">
        <f>"01408"</f>
        <v>01408</v>
      </c>
      <c r="B1102" s="1" t="str">
        <f>"مصطفي"</f>
        <v>مصطفي</v>
      </c>
      <c r="C1102" s="1" t="str">
        <f>"محمدي"</f>
        <v>محمدي</v>
      </c>
      <c r="D1102" s="1" t="str">
        <f t="shared" si="115"/>
        <v>قراردادي بهره بردار</v>
      </c>
      <c r="E1102" s="1" t="str">
        <f t="shared" si="116"/>
        <v>پروژه بهره برداري نيروگاه بوشهر</v>
      </c>
      <c r="F1102" s="1">
        <v>12185693</v>
      </c>
      <c r="G1102" s="1">
        <v>4499457</v>
      </c>
      <c r="H1102" s="1">
        <v>0</v>
      </c>
      <c r="I1102" s="1">
        <v>7614210</v>
      </c>
      <c r="J1102" s="1">
        <v>0</v>
      </c>
      <c r="K1102" s="1">
        <v>3465000</v>
      </c>
      <c r="L1102" s="1">
        <v>0</v>
      </c>
      <c r="M1102" s="1">
        <v>1000000</v>
      </c>
      <c r="N1102" s="1">
        <v>1774068</v>
      </c>
      <c r="O1102" s="1">
        <v>0</v>
      </c>
      <c r="P1102" s="1">
        <v>0</v>
      </c>
      <c r="Q1102" s="1">
        <v>0</v>
      </c>
      <c r="R1102" s="1">
        <v>3544514</v>
      </c>
      <c r="S1102" s="1">
        <v>0</v>
      </c>
      <c r="T1102" s="1">
        <v>0</v>
      </c>
      <c r="U1102" s="1">
        <v>0</v>
      </c>
      <c r="V1102" s="1">
        <v>3409825</v>
      </c>
      <c r="W1102" s="1">
        <v>4000000</v>
      </c>
      <c r="X1102" s="1">
        <v>1768891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1393910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11130372</v>
      </c>
      <c r="AM1102" s="1">
        <v>0</v>
      </c>
      <c r="AN1102" s="1">
        <v>0</v>
      </c>
      <c r="AO1102" s="1">
        <v>55785940</v>
      </c>
      <c r="AP1102" s="1">
        <v>17043301</v>
      </c>
      <c r="AQ1102" s="1">
        <v>38742639</v>
      </c>
      <c r="AR1102" s="1">
        <v>10448285</v>
      </c>
      <c r="AS1102" s="1">
        <v>1567243</v>
      </c>
      <c r="AT1102" s="3">
        <f t="shared" si="117"/>
        <v>67801468</v>
      </c>
    </row>
    <row r="1103" spans="1:46" x14ac:dyDescent="0.2">
      <c r="A1103" s="1" t="str">
        <f>"01409"</f>
        <v>01409</v>
      </c>
      <c r="B1103" s="1" t="str">
        <f>"عبدالرحيم"</f>
        <v>عبدالرحيم</v>
      </c>
      <c r="C1103" s="1" t="str">
        <f>"نيکنام"</f>
        <v>نيکنام</v>
      </c>
      <c r="D1103" s="1" t="str">
        <f t="shared" si="115"/>
        <v>قراردادي بهره بردار</v>
      </c>
      <c r="E1103" s="1" t="str">
        <f t="shared" si="116"/>
        <v>پروژه بهره برداري نيروگاه بوشهر</v>
      </c>
      <c r="F1103" s="1">
        <v>11770014</v>
      </c>
      <c r="G1103" s="1">
        <v>662302</v>
      </c>
      <c r="H1103" s="1">
        <v>0</v>
      </c>
      <c r="I1103" s="1">
        <v>7306084</v>
      </c>
      <c r="J1103" s="1">
        <v>0</v>
      </c>
      <c r="K1103" s="1">
        <v>3465000</v>
      </c>
      <c r="L1103" s="1">
        <v>0</v>
      </c>
      <c r="M1103" s="1">
        <v>1000000</v>
      </c>
      <c r="N1103" s="1">
        <v>1791703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2844173</v>
      </c>
      <c r="W1103" s="1">
        <v>4000000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1407766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6166157</v>
      </c>
      <c r="AM1103" s="1">
        <v>0</v>
      </c>
      <c r="AN1103" s="1">
        <v>0</v>
      </c>
      <c r="AO1103" s="1">
        <v>40413199</v>
      </c>
      <c r="AP1103" s="1">
        <v>16821699</v>
      </c>
      <c r="AQ1103" s="1">
        <v>23591500</v>
      </c>
      <c r="AR1103" s="1">
        <v>8082640</v>
      </c>
      <c r="AS1103" s="1">
        <v>1212396</v>
      </c>
      <c r="AT1103" s="3">
        <f t="shared" si="117"/>
        <v>49708235</v>
      </c>
    </row>
    <row r="1104" spans="1:46" x14ac:dyDescent="0.2">
      <c r="A1104" s="1" t="str">
        <f>"01410"</f>
        <v>01410</v>
      </c>
      <c r="B1104" s="1" t="str">
        <f>"حسين"</f>
        <v>حسين</v>
      </c>
      <c r="C1104" s="1" t="str">
        <f>"اندرياي"</f>
        <v>اندرياي</v>
      </c>
      <c r="D1104" s="1" t="str">
        <f t="shared" si="115"/>
        <v>قراردادي بهره بردار</v>
      </c>
      <c r="E1104" s="1" t="str">
        <f t="shared" si="116"/>
        <v>پروژه بهره برداري نيروگاه بوشهر</v>
      </c>
      <c r="F1104" s="1">
        <v>11528164</v>
      </c>
      <c r="G1104" s="1">
        <v>9444310</v>
      </c>
      <c r="H1104" s="1">
        <v>0</v>
      </c>
      <c r="I1104" s="1">
        <v>5953081</v>
      </c>
      <c r="J1104" s="1">
        <v>0</v>
      </c>
      <c r="K1104" s="1">
        <v>3465000</v>
      </c>
      <c r="L1104" s="1">
        <v>0</v>
      </c>
      <c r="M1104" s="1">
        <v>1000000</v>
      </c>
      <c r="N1104" s="1">
        <v>1839317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2967613</v>
      </c>
      <c r="W1104" s="1">
        <v>4000000</v>
      </c>
      <c r="X1104" s="1">
        <v>1673443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1445178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8910394</v>
      </c>
      <c r="AM1104" s="1">
        <v>0</v>
      </c>
      <c r="AN1104" s="1">
        <v>0</v>
      </c>
      <c r="AO1104" s="1">
        <v>52226500</v>
      </c>
      <c r="AP1104" s="1">
        <v>18228276</v>
      </c>
      <c r="AQ1104" s="1">
        <v>33998224</v>
      </c>
      <c r="AR1104" s="1">
        <v>10445300</v>
      </c>
      <c r="AS1104" s="1">
        <v>1566795</v>
      </c>
      <c r="AT1104" s="3">
        <f t="shared" si="117"/>
        <v>64238595</v>
      </c>
    </row>
    <row r="1105" spans="1:46" x14ac:dyDescent="0.2">
      <c r="A1105" s="1" t="str">
        <f>"01411"</f>
        <v>01411</v>
      </c>
      <c r="B1105" s="1" t="str">
        <f>"هادي"</f>
        <v>هادي</v>
      </c>
      <c r="C1105" s="1" t="str">
        <f>"تجويدي"</f>
        <v>تجويدي</v>
      </c>
      <c r="D1105" s="1" t="str">
        <f t="shared" si="115"/>
        <v>قراردادي بهره بردار</v>
      </c>
      <c r="E1105" s="1" t="str">
        <f t="shared" si="116"/>
        <v>پروژه بهره برداري نيروگاه بوشهر</v>
      </c>
      <c r="F1105" s="1">
        <v>10689248</v>
      </c>
      <c r="G1105" s="1">
        <v>1902130</v>
      </c>
      <c r="H1105" s="1">
        <v>0</v>
      </c>
      <c r="I1105" s="1">
        <v>5423733</v>
      </c>
      <c r="J1105" s="1">
        <v>0</v>
      </c>
      <c r="K1105" s="1">
        <v>3465000</v>
      </c>
      <c r="L1105" s="1">
        <v>0</v>
      </c>
      <c r="M1105" s="1">
        <v>1000000</v>
      </c>
      <c r="N1105" s="1">
        <v>1545696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2722818</v>
      </c>
      <c r="W1105" s="1">
        <v>4000000</v>
      </c>
      <c r="X1105" s="1">
        <v>1551665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1214476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8355022</v>
      </c>
      <c r="AM1105" s="1">
        <v>0</v>
      </c>
      <c r="AN1105" s="1">
        <v>0</v>
      </c>
      <c r="AO1105" s="1">
        <v>41869788</v>
      </c>
      <c r="AP1105" s="1">
        <v>11572146</v>
      </c>
      <c r="AQ1105" s="1">
        <v>30297642</v>
      </c>
      <c r="AR1105" s="1">
        <v>8373958</v>
      </c>
      <c r="AS1105" s="1">
        <v>1256094</v>
      </c>
      <c r="AT1105" s="3">
        <f t="shared" si="117"/>
        <v>51499840</v>
      </c>
    </row>
    <row r="1106" spans="1:46" x14ac:dyDescent="0.2">
      <c r="A1106" s="1" t="str">
        <f>"01412"</f>
        <v>01412</v>
      </c>
      <c r="B1106" s="1" t="str">
        <f>"مهرداد"</f>
        <v>مهرداد</v>
      </c>
      <c r="C1106" s="1" t="str">
        <f>"نظري"</f>
        <v>نظري</v>
      </c>
      <c r="D1106" s="1" t="str">
        <f t="shared" si="115"/>
        <v>قراردادي بهره بردار</v>
      </c>
      <c r="E1106" s="1" t="str">
        <f t="shared" si="116"/>
        <v>پروژه بهره برداري نيروگاه بوشهر</v>
      </c>
      <c r="F1106" s="1">
        <v>11394643</v>
      </c>
      <c r="G1106" s="1">
        <v>14110696</v>
      </c>
      <c r="H1106" s="1">
        <v>0</v>
      </c>
      <c r="I1106" s="1">
        <v>5858807</v>
      </c>
      <c r="J1106" s="1">
        <v>0</v>
      </c>
      <c r="K1106" s="1">
        <v>3465000</v>
      </c>
      <c r="L1106" s="1">
        <v>0</v>
      </c>
      <c r="M1106" s="1">
        <v>1000000</v>
      </c>
      <c r="N1106" s="1">
        <v>1792584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2932093</v>
      </c>
      <c r="W1106" s="1">
        <v>4000000</v>
      </c>
      <c r="X1106" s="1">
        <v>1137959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1408459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8866433</v>
      </c>
      <c r="AM1106" s="1">
        <v>0</v>
      </c>
      <c r="AN1106" s="1">
        <v>0</v>
      </c>
      <c r="AO1106" s="1">
        <v>55966674</v>
      </c>
      <c r="AP1106" s="1">
        <v>21168106</v>
      </c>
      <c r="AQ1106" s="1">
        <v>34798568</v>
      </c>
      <c r="AR1106" s="1">
        <v>11193335</v>
      </c>
      <c r="AS1106" s="1">
        <v>1679000</v>
      </c>
      <c r="AT1106" s="3">
        <f t="shared" si="117"/>
        <v>68839009</v>
      </c>
    </row>
    <row r="1107" spans="1:46" x14ac:dyDescent="0.2">
      <c r="A1107" s="1" t="str">
        <f>"01413"</f>
        <v>01413</v>
      </c>
      <c r="B1107" s="1" t="str">
        <f>"سجاد"</f>
        <v>سجاد</v>
      </c>
      <c r="C1107" s="1" t="str">
        <f>"مرادزاده"</f>
        <v>مرادزاده</v>
      </c>
      <c r="D1107" s="1" t="str">
        <f t="shared" si="115"/>
        <v>قراردادي بهره بردار</v>
      </c>
      <c r="E1107" s="1" t="str">
        <f t="shared" si="116"/>
        <v>پروژه بهره برداري نيروگاه بوشهر</v>
      </c>
      <c r="F1107" s="1">
        <v>10737115</v>
      </c>
      <c r="G1107" s="1">
        <v>937556</v>
      </c>
      <c r="H1107" s="1">
        <v>0</v>
      </c>
      <c r="I1107" s="1">
        <v>5394551</v>
      </c>
      <c r="J1107" s="1">
        <v>0</v>
      </c>
      <c r="K1107" s="1">
        <v>3465000</v>
      </c>
      <c r="L1107" s="1">
        <v>0</v>
      </c>
      <c r="M1107" s="1">
        <v>1000000</v>
      </c>
      <c r="N1107" s="1">
        <v>1562450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2415730</v>
      </c>
      <c r="W1107" s="1">
        <v>4000000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1227638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5235540</v>
      </c>
      <c r="AM1107" s="1">
        <v>0</v>
      </c>
      <c r="AN1107" s="1">
        <v>0</v>
      </c>
      <c r="AO1107" s="1">
        <v>35975580</v>
      </c>
      <c r="AP1107" s="1">
        <v>2518291</v>
      </c>
      <c r="AQ1107" s="1">
        <v>33457289</v>
      </c>
      <c r="AR1107" s="1">
        <v>7195116</v>
      </c>
      <c r="AS1107" s="1">
        <v>1079267</v>
      </c>
      <c r="AT1107" s="3">
        <f t="shared" si="117"/>
        <v>44249963</v>
      </c>
    </row>
    <row r="1108" spans="1:46" x14ac:dyDescent="0.2">
      <c r="A1108" s="1" t="str">
        <f>"01414"</f>
        <v>01414</v>
      </c>
      <c r="B1108" s="1" t="str">
        <f>"حسين"</f>
        <v>حسين</v>
      </c>
      <c r="C1108" s="1" t="str">
        <f>"آدره"</f>
        <v>آدره</v>
      </c>
      <c r="D1108" s="1" t="str">
        <f t="shared" si="115"/>
        <v>قراردادي بهره بردار</v>
      </c>
      <c r="E1108" s="1" t="str">
        <f t="shared" si="116"/>
        <v>پروژه بهره برداري نيروگاه بوشهر</v>
      </c>
      <c r="F1108" s="1">
        <v>12301579</v>
      </c>
      <c r="G1108" s="1">
        <v>6109238</v>
      </c>
      <c r="H1108" s="1">
        <v>0</v>
      </c>
      <c r="I1108" s="1">
        <v>7015476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1814627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2810929</v>
      </c>
      <c r="W1108" s="1">
        <v>4000000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1425779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5551834</v>
      </c>
      <c r="AM1108" s="1">
        <v>0</v>
      </c>
      <c r="AN1108" s="1">
        <v>0</v>
      </c>
      <c r="AO1108" s="1">
        <v>45494462</v>
      </c>
      <c r="AP1108" s="1">
        <v>18009698</v>
      </c>
      <c r="AQ1108" s="1">
        <v>27484764</v>
      </c>
      <c r="AR1108" s="1">
        <v>9098892</v>
      </c>
      <c r="AS1108" s="1">
        <v>1364834</v>
      </c>
      <c r="AT1108" s="3">
        <f t="shared" si="117"/>
        <v>55958188</v>
      </c>
    </row>
    <row r="1109" spans="1:46" x14ac:dyDescent="0.2">
      <c r="A1109" s="1" t="str">
        <f>"01415"</f>
        <v>01415</v>
      </c>
      <c r="B1109" s="1" t="str">
        <f>"تورج"</f>
        <v>تورج</v>
      </c>
      <c r="C1109" s="1" t="str">
        <f>"نظري"</f>
        <v>نظري</v>
      </c>
      <c r="D1109" s="1" t="str">
        <f t="shared" si="115"/>
        <v>قراردادي بهره بردار</v>
      </c>
      <c r="E1109" s="1" t="str">
        <f t="shared" si="116"/>
        <v>پروژه بهره برداري نيروگاه بوشهر</v>
      </c>
      <c r="F1109" s="1">
        <v>20549658</v>
      </c>
      <c r="G1109" s="1">
        <v>2968017</v>
      </c>
      <c r="H1109" s="1">
        <v>0</v>
      </c>
      <c r="I1109" s="1">
        <v>10680529</v>
      </c>
      <c r="J1109" s="1">
        <v>0</v>
      </c>
      <c r="K1109" s="1">
        <v>5500000</v>
      </c>
      <c r="L1109" s="1">
        <v>0</v>
      </c>
      <c r="M1109" s="1">
        <v>1000000</v>
      </c>
      <c r="N1109" s="1">
        <v>3528737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4248589</v>
      </c>
      <c r="W1109" s="1">
        <v>4000000</v>
      </c>
      <c r="X1109" s="1">
        <v>2983015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2772579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4954390</v>
      </c>
      <c r="AM1109" s="1">
        <v>0</v>
      </c>
      <c r="AN1109" s="1">
        <v>0</v>
      </c>
      <c r="AO1109" s="1">
        <v>63185514</v>
      </c>
      <c r="AP1109" s="1">
        <v>10312039</v>
      </c>
      <c r="AQ1109" s="1">
        <v>52873475</v>
      </c>
      <c r="AR1109" s="1">
        <v>12637103</v>
      </c>
      <c r="AS1109" s="1">
        <v>1895565</v>
      </c>
      <c r="AT1109" s="3">
        <f t="shared" si="117"/>
        <v>77718182</v>
      </c>
    </row>
    <row r="1110" spans="1:46" x14ac:dyDescent="0.2">
      <c r="A1110" s="1" t="str">
        <f>"01416"</f>
        <v>01416</v>
      </c>
      <c r="B1110" s="1" t="str">
        <f>"حسين"</f>
        <v>حسين</v>
      </c>
      <c r="C1110" s="1" t="str">
        <f>"مظاهري بني"</f>
        <v>مظاهري بني</v>
      </c>
      <c r="D1110" s="1" t="str">
        <f t="shared" si="115"/>
        <v>قراردادي بهره بردار</v>
      </c>
      <c r="E1110" s="1" t="str">
        <f t="shared" si="116"/>
        <v>پروژه بهره برداري نيروگاه بوشهر</v>
      </c>
      <c r="F1110" s="1">
        <v>19904726</v>
      </c>
      <c r="G1110" s="1">
        <v>31096266</v>
      </c>
      <c r="H1110" s="1">
        <v>0</v>
      </c>
      <c r="I1110" s="1">
        <v>13952473</v>
      </c>
      <c r="J1110" s="1">
        <v>0</v>
      </c>
      <c r="K1110" s="1">
        <v>5500000</v>
      </c>
      <c r="L1110" s="1">
        <v>0</v>
      </c>
      <c r="M1110" s="1">
        <v>1000000</v>
      </c>
      <c r="N1110" s="1">
        <v>3104618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4552464</v>
      </c>
      <c r="W1110" s="1">
        <v>4000000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2439342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6123481</v>
      </c>
      <c r="AM1110" s="1">
        <v>0</v>
      </c>
      <c r="AN1110" s="1">
        <v>0</v>
      </c>
      <c r="AO1110" s="1">
        <v>91673370</v>
      </c>
      <c r="AP1110" s="1">
        <v>22639857</v>
      </c>
      <c r="AQ1110" s="1">
        <v>69033513</v>
      </c>
      <c r="AR1110" s="1">
        <v>18334674</v>
      </c>
      <c r="AS1110" s="1">
        <v>2750201</v>
      </c>
      <c r="AT1110" s="3">
        <f t="shared" si="117"/>
        <v>112758245</v>
      </c>
    </row>
    <row r="1111" spans="1:46" x14ac:dyDescent="0.2">
      <c r="A1111" s="1" t="str">
        <f>"01417"</f>
        <v>01417</v>
      </c>
      <c r="B1111" s="1" t="str">
        <f>"راضيه"</f>
        <v>راضيه</v>
      </c>
      <c r="C1111" s="1" t="str">
        <f>"هژبرنيا"</f>
        <v>هژبرنيا</v>
      </c>
      <c r="D1111" s="1" t="str">
        <f t="shared" si="115"/>
        <v>قراردادي بهره بردار</v>
      </c>
      <c r="E1111" s="1" t="str">
        <f t="shared" si="116"/>
        <v>پروژه بهره برداري نيروگاه بوشهر</v>
      </c>
      <c r="F1111" s="1">
        <v>13827488</v>
      </c>
      <c r="G1111" s="1">
        <v>1596988</v>
      </c>
      <c r="H1111" s="1">
        <v>0</v>
      </c>
      <c r="I1111" s="1">
        <v>8573627</v>
      </c>
      <c r="J1111" s="1">
        <v>0</v>
      </c>
      <c r="K1111" s="1">
        <v>4125000</v>
      </c>
      <c r="L1111" s="1">
        <v>0</v>
      </c>
      <c r="M1111" s="1">
        <v>1000000</v>
      </c>
      <c r="N1111" s="1">
        <v>1837860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2939170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1312757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3839965</v>
      </c>
      <c r="AM1111" s="1">
        <v>0</v>
      </c>
      <c r="AN1111" s="1">
        <v>0</v>
      </c>
      <c r="AO1111" s="1">
        <v>40952855</v>
      </c>
      <c r="AP1111" s="1">
        <v>12373319</v>
      </c>
      <c r="AQ1111" s="1">
        <v>28579536</v>
      </c>
      <c r="AR1111" s="1">
        <v>8190571</v>
      </c>
      <c r="AS1111" s="1">
        <v>1228586</v>
      </c>
      <c r="AT1111" s="3">
        <f t="shared" si="117"/>
        <v>50372012</v>
      </c>
    </row>
    <row r="1112" spans="1:46" x14ac:dyDescent="0.2">
      <c r="A1112" s="1" t="str">
        <f>"01419"</f>
        <v>01419</v>
      </c>
      <c r="B1112" s="1" t="str">
        <f>"سيد عادل"</f>
        <v>سيد عادل</v>
      </c>
      <c r="C1112" s="1" t="str">
        <f>"هاشمي تنگستاني"</f>
        <v>هاشمي تنگستاني</v>
      </c>
      <c r="D1112" s="1" t="str">
        <f t="shared" si="115"/>
        <v>قراردادي بهره بردار</v>
      </c>
      <c r="E1112" s="1" t="str">
        <f t="shared" si="116"/>
        <v>پروژه بهره برداري نيروگاه بوشهر</v>
      </c>
      <c r="F1112" s="1">
        <v>12911242</v>
      </c>
      <c r="G1112" s="1">
        <v>15816711</v>
      </c>
      <c r="H1112" s="1">
        <v>0</v>
      </c>
      <c r="I1112" s="1">
        <v>6797902</v>
      </c>
      <c r="J1112" s="1">
        <v>0</v>
      </c>
      <c r="K1112" s="1">
        <v>4620000</v>
      </c>
      <c r="L1112" s="1">
        <v>0</v>
      </c>
      <c r="M1112" s="1">
        <v>1000000</v>
      </c>
      <c r="N1112" s="1">
        <v>2191133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3234421</v>
      </c>
      <c r="W1112" s="1">
        <v>4000000</v>
      </c>
      <c r="X1112" s="1">
        <v>1874213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1721604</v>
      </c>
      <c r="AF1112" s="1">
        <v>1835427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8722332</v>
      </c>
      <c r="AM1112" s="1">
        <v>0</v>
      </c>
      <c r="AN1112" s="1">
        <v>0</v>
      </c>
      <c r="AO1112" s="1">
        <v>64724985</v>
      </c>
      <c r="AP1112" s="1">
        <v>10626541</v>
      </c>
      <c r="AQ1112" s="1">
        <v>54098444</v>
      </c>
      <c r="AR1112" s="1">
        <v>12577912</v>
      </c>
      <c r="AS1112" s="1">
        <v>1886687</v>
      </c>
      <c r="AT1112" s="3">
        <f t="shared" si="117"/>
        <v>79189584</v>
      </c>
    </row>
    <row r="1113" spans="1:46" x14ac:dyDescent="0.2">
      <c r="A1113" s="1" t="str">
        <f>"01420"</f>
        <v>01420</v>
      </c>
      <c r="B1113" s="1" t="str">
        <f>"اميد"</f>
        <v>اميد</v>
      </c>
      <c r="C1113" s="1" t="str">
        <f>"زارع گلستاني"</f>
        <v>زارع گلستاني</v>
      </c>
      <c r="D1113" s="1" t="str">
        <f t="shared" si="115"/>
        <v>قراردادي بهره بردار</v>
      </c>
      <c r="E1113" s="1" t="str">
        <f t="shared" si="116"/>
        <v>پروژه بهره برداري نيروگاه بوشهر</v>
      </c>
      <c r="F1113" s="1">
        <v>11533203</v>
      </c>
      <c r="G1113" s="1">
        <v>7850106</v>
      </c>
      <c r="H1113" s="1">
        <v>0</v>
      </c>
      <c r="I1113" s="1">
        <v>6018287</v>
      </c>
      <c r="J1113" s="1">
        <v>0</v>
      </c>
      <c r="K1113" s="1">
        <v>3465000</v>
      </c>
      <c r="L1113" s="1">
        <v>0</v>
      </c>
      <c r="M1113" s="1">
        <v>1000000</v>
      </c>
      <c r="N1113" s="1">
        <v>1841080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2974524</v>
      </c>
      <c r="W1113" s="1">
        <v>4000000</v>
      </c>
      <c r="X1113" s="1">
        <v>1674175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1446563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8906112</v>
      </c>
      <c r="AM1113" s="1">
        <v>0</v>
      </c>
      <c r="AN1113" s="1">
        <v>0</v>
      </c>
      <c r="AO1113" s="1">
        <v>50709050</v>
      </c>
      <c r="AP1113" s="1">
        <v>22291923</v>
      </c>
      <c r="AQ1113" s="1">
        <v>28417127</v>
      </c>
      <c r="AR1113" s="1">
        <v>10141810</v>
      </c>
      <c r="AS1113" s="1">
        <v>1521272</v>
      </c>
      <c r="AT1113" s="3">
        <f t="shared" si="117"/>
        <v>62372132</v>
      </c>
    </row>
    <row r="1114" spans="1:46" x14ac:dyDescent="0.2">
      <c r="A1114" s="1" t="str">
        <f>"01421"</f>
        <v>01421</v>
      </c>
      <c r="B1114" s="1" t="str">
        <f>"ساسان"</f>
        <v>ساسان</v>
      </c>
      <c r="C1114" s="1" t="str">
        <f>"رحيمي"</f>
        <v>رحيمي</v>
      </c>
      <c r="D1114" s="1" t="str">
        <f t="shared" si="115"/>
        <v>قراردادي بهره بردار</v>
      </c>
      <c r="E1114" s="1" t="str">
        <f t="shared" si="116"/>
        <v>پروژه بهره برداري نيروگاه بوشهر</v>
      </c>
      <c r="F1114" s="1">
        <v>18498975</v>
      </c>
      <c r="G1114" s="1">
        <v>4369397</v>
      </c>
      <c r="H1114" s="1">
        <v>0</v>
      </c>
      <c r="I1114" s="1">
        <v>9269275</v>
      </c>
      <c r="J1114" s="1">
        <v>0</v>
      </c>
      <c r="K1114" s="1">
        <v>4125000</v>
      </c>
      <c r="L1114" s="1">
        <v>0</v>
      </c>
      <c r="M1114" s="1">
        <v>1000000</v>
      </c>
      <c r="N1114" s="1">
        <v>2810997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3752764</v>
      </c>
      <c r="W1114" s="1">
        <v>4000000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2208642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4739748</v>
      </c>
      <c r="AM1114" s="1">
        <v>0</v>
      </c>
      <c r="AN1114" s="1">
        <v>0</v>
      </c>
      <c r="AO1114" s="1">
        <v>54774798</v>
      </c>
      <c r="AP1114" s="1">
        <v>19186658</v>
      </c>
      <c r="AQ1114" s="1">
        <v>35588140</v>
      </c>
      <c r="AR1114" s="1">
        <v>10954960</v>
      </c>
      <c r="AS1114" s="1">
        <v>1643244</v>
      </c>
      <c r="AT1114" s="3">
        <f t="shared" si="117"/>
        <v>67373002</v>
      </c>
    </row>
    <row r="1115" spans="1:46" x14ac:dyDescent="0.2">
      <c r="A1115" s="1" t="str">
        <f>"01423"</f>
        <v>01423</v>
      </c>
      <c r="B1115" s="1" t="str">
        <f>"عليرضا"</f>
        <v>عليرضا</v>
      </c>
      <c r="C1115" s="1" t="str">
        <f>"حاجياني"</f>
        <v>حاجياني</v>
      </c>
      <c r="D1115" s="1" t="str">
        <f t="shared" si="115"/>
        <v>قراردادي بهره بردار</v>
      </c>
      <c r="E1115" s="1" t="str">
        <f t="shared" si="116"/>
        <v>پروژه بهره برداري نيروگاه بوشهر</v>
      </c>
      <c r="F1115" s="1">
        <v>11984152</v>
      </c>
      <c r="G1115" s="1">
        <v>5354120</v>
      </c>
      <c r="H1115" s="1">
        <v>0</v>
      </c>
      <c r="I1115" s="1">
        <v>7133733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1703529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2874073</v>
      </c>
      <c r="W1115" s="1">
        <v>4000000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1338486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6580829</v>
      </c>
      <c r="AM1115" s="1">
        <v>0</v>
      </c>
      <c r="AN1115" s="1">
        <v>0</v>
      </c>
      <c r="AO1115" s="1">
        <v>45433922</v>
      </c>
      <c r="AP1115" s="1">
        <v>12738257</v>
      </c>
      <c r="AQ1115" s="1">
        <v>32695665</v>
      </c>
      <c r="AR1115" s="1">
        <v>9086784</v>
      </c>
      <c r="AS1115" s="1">
        <v>1363018</v>
      </c>
      <c r="AT1115" s="3">
        <f t="shared" si="117"/>
        <v>55883724</v>
      </c>
    </row>
    <row r="1116" spans="1:46" x14ac:dyDescent="0.2">
      <c r="A1116" s="1" t="str">
        <f>"01424"</f>
        <v>01424</v>
      </c>
      <c r="B1116" s="1" t="str">
        <f>"سيد سجاد"</f>
        <v>سيد سجاد</v>
      </c>
      <c r="C1116" s="1" t="str">
        <f>"نعمت اللهي"</f>
        <v>نعمت اللهي</v>
      </c>
      <c r="D1116" s="1" t="str">
        <f t="shared" si="115"/>
        <v>قراردادي بهره بردار</v>
      </c>
      <c r="E1116" s="1" t="str">
        <f t="shared" si="116"/>
        <v>پروژه بهره برداري نيروگاه بوشهر</v>
      </c>
      <c r="F1116" s="1">
        <v>12064768</v>
      </c>
      <c r="G1116" s="1">
        <v>2728953</v>
      </c>
      <c r="H1116" s="1">
        <v>0</v>
      </c>
      <c r="I1116" s="1">
        <v>6331957</v>
      </c>
      <c r="J1116" s="1">
        <v>0</v>
      </c>
      <c r="K1116" s="1">
        <v>3465000</v>
      </c>
      <c r="L1116" s="1">
        <v>0</v>
      </c>
      <c r="M1116" s="1">
        <v>1000000</v>
      </c>
      <c r="N1116" s="1">
        <v>2027128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2704417</v>
      </c>
      <c r="W1116" s="1">
        <v>4000000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1592744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5027575</v>
      </c>
      <c r="AM1116" s="1">
        <v>0</v>
      </c>
      <c r="AN1116" s="1">
        <v>0</v>
      </c>
      <c r="AO1116" s="1">
        <v>40942542</v>
      </c>
      <c r="AP1116" s="1">
        <v>15140760</v>
      </c>
      <c r="AQ1116" s="1">
        <v>25801782</v>
      </c>
      <c r="AR1116" s="1">
        <v>8188508</v>
      </c>
      <c r="AS1116" s="1">
        <v>1228276</v>
      </c>
      <c r="AT1116" s="3">
        <f t="shared" si="117"/>
        <v>50359326</v>
      </c>
    </row>
    <row r="1117" spans="1:46" x14ac:dyDescent="0.2">
      <c r="A1117" s="1" t="str">
        <f>"01425"</f>
        <v>01425</v>
      </c>
      <c r="B1117" s="1" t="str">
        <f>"اشکان"</f>
        <v>اشکان</v>
      </c>
      <c r="C1117" s="1" t="str">
        <f>"احمدي دوقزلو"</f>
        <v>احمدي دوقزلو</v>
      </c>
      <c r="D1117" s="1" t="str">
        <f t="shared" si="115"/>
        <v>قراردادي بهره بردار</v>
      </c>
      <c r="E1117" s="1" t="str">
        <f t="shared" si="116"/>
        <v>پروژه بهره برداري نيروگاه بوشهر</v>
      </c>
      <c r="F1117" s="1">
        <v>11021792</v>
      </c>
      <c r="G1117" s="1">
        <v>13579427</v>
      </c>
      <c r="H1117" s="1">
        <v>0</v>
      </c>
      <c r="I1117" s="1">
        <v>5595551</v>
      </c>
      <c r="J1117" s="1">
        <v>0</v>
      </c>
      <c r="K1117" s="1">
        <v>4620000</v>
      </c>
      <c r="L1117" s="1">
        <v>0</v>
      </c>
      <c r="M1117" s="1">
        <v>1000000</v>
      </c>
      <c r="N1117" s="1">
        <v>1662087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2821699</v>
      </c>
      <c r="W1117" s="1">
        <v>4000000</v>
      </c>
      <c r="X1117" s="1">
        <v>1599938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1305925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8631638</v>
      </c>
      <c r="AM1117" s="1">
        <v>0</v>
      </c>
      <c r="AN1117" s="1">
        <v>0</v>
      </c>
      <c r="AO1117" s="1">
        <v>55838057</v>
      </c>
      <c r="AP1117" s="1">
        <v>20831151</v>
      </c>
      <c r="AQ1117" s="1">
        <v>35006906</v>
      </c>
      <c r="AR1117" s="1">
        <v>11167611</v>
      </c>
      <c r="AS1117" s="1">
        <v>1675142</v>
      </c>
      <c r="AT1117" s="3">
        <f t="shared" si="117"/>
        <v>68680810</v>
      </c>
    </row>
    <row r="1118" spans="1:46" x14ac:dyDescent="0.2">
      <c r="A1118" s="1" t="str">
        <f>"01426"</f>
        <v>01426</v>
      </c>
      <c r="B1118" s="1" t="str">
        <f>"مصيب"</f>
        <v>مصيب</v>
      </c>
      <c r="C1118" s="1" t="str">
        <f>"اسدي"</f>
        <v>اسدي</v>
      </c>
      <c r="D1118" s="1" t="str">
        <f>"قراردادي کارگري"</f>
        <v>قراردادي کارگري</v>
      </c>
      <c r="E1118" s="1" t="str">
        <f>"پروژه تعميرات نيروگاه بوشهر"</f>
        <v>پروژه تعميرات نيروگاه بوشهر</v>
      </c>
      <c r="F1118" s="1">
        <v>0</v>
      </c>
      <c r="G1118" s="1">
        <v>4365073</v>
      </c>
      <c r="H1118" s="1">
        <v>0</v>
      </c>
      <c r="I1118" s="1">
        <v>5672270</v>
      </c>
      <c r="J1118" s="1">
        <v>0</v>
      </c>
      <c r="K1118" s="1">
        <v>0</v>
      </c>
      <c r="L1118" s="1">
        <v>11331151</v>
      </c>
      <c r="M1118" s="1">
        <v>2000000</v>
      </c>
      <c r="N1118" s="1">
        <v>5042019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2640000</v>
      </c>
      <c r="U1118" s="1">
        <v>0</v>
      </c>
      <c r="V1118" s="1">
        <v>7162853</v>
      </c>
      <c r="W1118" s="1">
        <v>4000000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51667151</v>
      </c>
      <c r="AP1118" s="1">
        <v>5381345</v>
      </c>
      <c r="AQ1118" s="1">
        <v>46285806</v>
      </c>
      <c r="AR1118" s="1">
        <v>10333430</v>
      </c>
      <c r="AS1118" s="1">
        <v>1550015</v>
      </c>
      <c r="AT1118" s="3">
        <f t="shared" si="117"/>
        <v>63550596</v>
      </c>
    </row>
    <row r="1119" spans="1:46" x14ac:dyDescent="0.2">
      <c r="A1119" s="1" t="str">
        <f>"01427"</f>
        <v>01427</v>
      </c>
      <c r="B1119" s="1" t="str">
        <f>"ستار"</f>
        <v>ستار</v>
      </c>
      <c r="C1119" s="1" t="str">
        <f>"محمودي"</f>
        <v>محمودي</v>
      </c>
      <c r="D1119" s="1" t="str">
        <f>"قراردادي بهره بردار"</f>
        <v>قراردادي بهره بردار</v>
      </c>
      <c r="E1119" s="1" t="str">
        <f>"پروژه بهره برداري نيروگاه بوشهر"</f>
        <v>پروژه بهره برداري نيروگاه بوشهر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3">
        <f t="shared" si="117"/>
        <v>0</v>
      </c>
    </row>
    <row r="1120" spans="1:46" x14ac:dyDescent="0.2">
      <c r="A1120" s="1" t="str">
        <f>"01428"</f>
        <v>01428</v>
      </c>
      <c r="B1120" s="1" t="str">
        <f>"فاطمه"</f>
        <v>فاطمه</v>
      </c>
      <c r="C1120" s="1" t="str">
        <f>"صفري كشكولي"</f>
        <v>صفري كشكولي</v>
      </c>
      <c r="D1120" s="1" t="str">
        <f t="shared" ref="D1120:D1128" si="118">"قراردادي کارگري"</f>
        <v>قراردادي کارگري</v>
      </c>
      <c r="E1120" s="1" t="str">
        <f t="shared" ref="E1120:E1129" si="119">"پروژه تعميرات نيروگاه بوشهر"</f>
        <v>پروژه تعميرات نيروگاه بوشهر</v>
      </c>
      <c r="F1120" s="1">
        <v>0</v>
      </c>
      <c r="G1120" s="1">
        <v>3216326</v>
      </c>
      <c r="H1120" s="1">
        <v>0</v>
      </c>
      <c r="I1120" s="1">
        <v>10049188</v>
      </c>
      <c r="J1120" s="1">
        <v>0</v>
      </c>
      <c r="K1120" s="1">
        <v>0</v>
      </c>
      <c r="L1120" s="1">
        <v>10725101</v>
      </c>
      <c r="M1120" s="1">
        <v>2000000</v>
      </c>
      <c r="N1120" s="1">
        <v>7536891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2640000</v>
      </c>
      <c r="U1120" s="1">
        <v>0</v>
      </c>
      <c r="V1120" s="1">
        <v>4707266</v>
      </c>
      <c r="W1120" s="1">
        <v>4000000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57436257</v>
      </c>
      <c r="AP1120" s="1">
        <v>6321710</v>
      </c>
      <c r="AQ1120" s="1">
        <v>51114547</v>
      </c>
      <c r="AR1120" s="1">
        <v>11487251</v>
      </c>
      <c r="AS1120" s="1">
        <v>1723088</v>
      </c>
      <c r="AT1120" s="3">
        <f t="shared" si="117"/>
        <v>70646596</v>
      </c>
    </row>
    <row r="1121" spans="1:46" x14ac:dyDescent="0.2">
      <c r="A1121" s="1" t="str">
        <f>"01429"</f>
        <v>01429</v>
      </c>
      <c r="B1121" s="1" t="str">
        <f>"پدرام"</f>
        <v>پدرام</v>
      </c>
      <c r="C1121" s="1" t="str">
        <f>"بناوي"</f>
        <v>بناوي</v>
      </c>
      <c r="D1121" s="1" t="str">
        <f t="shared" si="118"/>
        <v>قراردادي کارگري</v>
      </c>
      <c r="E1121" s="1" t="str">
        <f t="shared" si="119"/>
        <v>پروژه تعميرات نيروگاه بوشهر</v>
      </c>
      <c r="F1121" s="1">
        <v>0</v>
      </c>
      <c r="G1121" s="1">
        <v>1100618</v>
      </c>
      <c r="H1121" s="1">
        <v>0</v>
      </c>
      <c r="I1121" s="1">
        <v>3768881</v>
      </c>
      <c r="J1121" s="1">
        <v>0</v>
      </c>
      <c r="K1121" s="1">
        <v>0</v>
      </c>
      <c r="L1121" s="1">
        <v>9668221</v>
      </c>
      <c r="M1121" s="1">
        <v>2000000</v>
      </c>
      <c r="N1121" s="1">
        <v>3350116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2640000</v>
      </c>
      <c r="U1121" s="1">
        <v>0</v>
      </c>
      <c r="V1121" s="1">
        <v>2926869</v>
      </c>
      <c r="W1121" s="1">
        <v>4000000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35736173</v>
      </c>
      <c r="AP1121" s="1">
        <v>5527532</v>
      </c>
      <c r="AQ1121" s="1">
        <v>30208641</v>
      </c>
      <c r="AR1121" s="1">
        <v>7147235</v>
      </c>
      <c r="AS1121" s="1">
        <v>1072085</v>
      </c>
      <c r="AT1121" s="3">
        <f t="shared" si="117"/>
        <v>43955493</v>
      </c>
    </row>
    <row r="1122" spans="1:46" x14ac:dyDescent="0.2">
      <c r="A1122" s="1" t="str">
        <f>"01430"</f>
        <v>01430</v>
      </c>
      <c r="B1122" s="1" t="str">
        <f>"وحيد"</f>
        <v>وحيد</v>
      </c>
      <c r="C1122" s="1" t="str">
        <f>"تقي پور"</f>
        <v>تقي پور</v>
      </c>
      <c r="D1122" s="1" t="str">
        <f t="shared" si="118"/>
        <v>قراردادي کارگري</v>
      </c>
      <c r="E1122" s="1" t="str">
        <f t="shared" si="119"/>
        <v>پروژه تعميرات نيروگاه بوشهر</v>
      </c>
      <c r="F1122" s="1">
        <v>0</v>
      </c>
      <c r="G1122" s="1">
        <v>6371723</v>
      </c>
      <c r="H1122" s="1">
        <v>0</v>
      </c>
      <c r="I1122" s="1">
        <v>4118398</v>
      </c>
      <c r="J1122" s="1">
        <v>0</v>
      </c>
      <c r="K1122" s="1">
        <v>0</v>
      </c>
      <c r="L1122" s="1">
        <v>9668221</v>
      </c>
      <c r="M1122" s="1">
        <v>2000000</v>
      </c>
      <c r="N1122" s="1">
        <v>3660797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2640000</v>
      </c>
      <c r="U1122" s="1">
        <v>0</v>
      </c>
      <c r="V1122" s="1">
        <v>3051141</v>
      </c>
      <c r="W1122" s="1">
        <v>4000000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1835427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44209702</v>
      </c>
      <c r="AP1122" s="1">
        <v>5992199</v>
      </c>
      <c r="AQ1122" s="1">
        <v>38217503</v>
      </c>
      <c r="AR1122" s="1">
        <v>8474855</v>
      </c>
      <c r="AS1122" s="1">
        <v>1271228</v>
      </c>
      <c r="AT1122" s="3">
        <f t="shared" si="117"/>
        <v>53955785</v>
      </c>
    </row>
    <row r="1123" spans="1:46" x14ac:dyDescent="0.2">
      <c r="A1123" s="1" t="str">
        <f>"01431"</f>
        <v>01431</v>
      </c>
      <c r="B1123" s="1" t="str">
        <f>"حسين"</f>
        <v>حسين</v>
      </c>
      <c r="C1123" s="1" t="str">
        <f>"رئيسي پور"</f>
        <v>رئيسي پور</v>
      </c>
      <c r="D1123" s="1" t="str">
        <f t="shared" si="118"/>
        <v>قراردادي کارگري</v>
      </c>
      <c r="E1123" s="1" t="str">
        <f t="shared" si="119"/>
        <v>پروژه تعميرات نيروگاه بوشهر</v>
      </c>
      <c r="F1123" s="1">
        <v>0</v>
      </c>
      <c r="G1123" s="1">
        <v>0</v>
      </c>
      <c r="H1123" s="1">
        <v>0</v>
      </c>
      <c r="I1123" s="1">
        <v>3865735</v>
      </c>
      <c r="J1123" s="1">
        <v>0</v>
      </c>
      <c r="K1123" s="1">
        <v>0</v>
      </c>
      <c r="L1123" s="1">
        <v>9668221</v>
      </c>
      <c r="M1123" s="1">
        <v>2000000</v>
      </c>
      <c r="N1123" s="1">
        <v>3436208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2640000</v>
      </c>
      <c r="U1123" s="1">
        <v>0</v>
      </c>
      <c r="V1123" s="1">
        <v>2961306</v>
      </c>
      <c r="W1123" s="1">
        <v>4000000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1835427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36849788</v>
      </c>
      <c r="AP1123" s="1">
        <v>3185607</v>
      </c>
      <c r="AQ1123" s="1">
        <v>33664181</v>
      </c>
      <c r="AR1123" s="1">
        <v>7002872</v>
      </c>
      <c r="AS1123" s="1">
        <v>1050431</v>
      </c>
      <c r="AT1123" s="3">
        <f t="shared" si="117"/>
        <v>44903091</v>
      </c>
    </row>
    <row r="1124" spans="1:46" x14ac:dyDescent="0.2">
      <c r="A1124" s="1" t="str">
        <f>"01432"</f>
        <v>01432</v>
      </c>
      <c r="B1124" s="1" t="str">
        <f>"يوسف"</f>
        <v>يوسف</v>
      </c>
      <c r="C1124" s="1" t="str">
        <f>"زنگنه"</f>
        <v>زنگنه</v>
      </c>
      <c r="D1124" s="1" t="str">
        <f t="shared" si="118"/>
        <v>قراردادي کارگري</v>
      </c>
      <c r="E1124" s="1" t="str">
        <f t="shared" si="119"/>
        <v>پروژه تعميرات نيروگاه بوشهر</v>
      </c>
      <c r="F1124" s="1">
        <v>0</v>
      </c>
      <c r="G1124" s="1">
        <v>4094088</v>
      </c>
      <c r="H1124" s="1">
        <v>0</v>
      </c>
      <c r="I1124" s="1">
        <v>4539502</v>
      </c>
      <c r="J1124" s="1">
        <v>0</v>
      </c>
      <c r="K1124" s="1">
        <v>0</v>
      </c>
      <c r="L1124" s="1">
        <v>9668221</v>
      </c>
      <c r="M1124" s="1">
        <v>2000000</v>
      </c>
      <c r="N1124" s="1">
        <v>4035112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2640000</v>
      </c>
      <c r="U1124" s="1">
        <v>0</v>
      </c>
      <c r="V1124" s="1">
        <v>3200867</v>
      </c>
      <c r="W1124" s="1">
        <v>4000000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1835427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43579052</v>
      </c>
      <c r="AP1124" s="1">
        <v>5948054</v>
      </c>
      <c r="AQ1124" s="1">
        <v>37630998</v>
      </c>
      <c r="AR1124" s="1">
        <v>8348725</v>
      </c>
      <c r="AS1124" s="1">
        <v>1252309</v>
      </c>
      <c r="AT1124" s="3">
        <f t="shared" si="117"/>
        <v>53180086</v>
      </c>
    </row>
    <row r="1125" spans="1:46" x14ac:dyDescent="0.2">
      <c r="A1125" s="1" t="str">
        <f>"01433"</f>
        <v>01433</v>
      </c>
      <c r="B1125" s="1" t="str">
        <f>"امير رضا"</f>
        <v>امير رضا</v>
      </c>
      <c r="C1125" s="1" t="str">
        <f>"عطايي"</f>
        <v>عطايي</v>
      </c>
      <c r="D1125" s="1" t="str">
        <f t="shared" si="118"/>
        <v>قراردادي کارگري</v>
      </c>
      <c r="E1125" s="1" t="str">
        <f t="shared" si="119"/>
        <v>پروژه تعميرات نيروگاه بوشهر</v>
      </c>
      <c r="F1125" s="1">
        <v>0</v>
      </c>
      <c r="G1125" s="1">
        <v>3456585</v>
      </c>
      <c r="H1125" s="1">
        <v>0</v>
      </c>
      <c r="I1125" s="1">
        <v>3714137</v>
      </c>
      <c r="J1125" s="1">
        <v>0</v>
      </c>
      <c r="K1125" s="1">
        <v>0</v>
      </c>
      <c r="L1125" s="1">
        <v>9668221</v>
      </c>
      <c r="M1125" s="1">
        <v>2000000</v>
      </c>
      <c r="N1125" s="1">
        <v>3301456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2640000</v>
      </c>
      <c r="U1125" s="1">
        <v>0</v>
      </c>
      <c r="V1125" s="1">
        <v>2907404</v>
      </c>
      <c r="W1125" s="1">
        <v>4000000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37878032</v>
      </c>
      <c r="AP1125" s="1">
        <v>7109825</v>
      </c>
      <c r="AQ1125" s="1">
        <v>30768207</v>
      </c>
      <c r="AR1125" s="1">
        <v>7575606</v>
      </c>
      <c r="AS1125" s="1">
        <v>1136341</v>
      </c>
      <c r="AT1125" s="3">
        <f t="shared" si="117"/>
        <v>46589979</v>
      </c>
    </row>
    <row r="1126" spans="1:46" x14ac:dyDescent="0.2">
      <c r="A1126" s="1" t="str">
        <f>"01434"</f>
        <v>01434</v>
      </c>
      <c r="B1126" s="1" t="str">
        <f>"مجتبي"</f>
        <v>مجتبي</v>
      </c>
      <c r="C1126" s="1" t="str">
        <f>"محمدي نژاد"</f>
        <v>محمدي نژاد</v>
      </c>
      <c r="D1126" s="1" t="str">
        <f t="shared" si="118"/>
        <v>قراردادي کارگري</v>
      </c>
      <c r="E1126" s="1" t="str">
        <f t="shared" si="119"/>
        <v>پروژه تعميرات نيروگاه بوشهر</v>
      </c>
      <c r="F1126" s="1">
        <v>0</v>
      </c>
      <c r="G1126" s="1">
        <v>3884894</v>
      </c>
      <c r="H1126" s="1">
        <v>0</v>
      </c>
      <c r="I1126" s="1">
        <v>4160508</v>
      </c>
      <c r="J1126" s="1">
        <v>0</v>
      </c>
      <c r="K1126" s="1">
        <v>0</v>
      </c>
      <c r="L1126" s="1">
        <v>9668221</v>
      </c>
      <c r="M1126" s="1">
        <v>2000000</v>
      </c>
      <c r="N1126" s="1">
        <v>3698229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2640000</v>
      </c>
      <c r="U1126" s="1">
        <v>0</v>
      </c>
      <c r="V1126" s="1">
        <v>3066114</v>
      </c>
      <c r="W1126" s="1">
        <v>4000000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40052145</v>
      </c>
      <c r="AP1126" s="1">
        <v>4899170</v>
      </c>
      <c r="AQ1126" s="1">
        <v>35152975</v>
      </c>
      <c r="AR1126" s="1">
        <v>8010429</v>
      </c>
      <c r="AS1126" s="1">
        <v>1201564</v>
      </c>
      <c r="AT1126" s="3">
        <f t="shared" si="117"/>
        <v>49264138</v>
      </c>
    </row>
    <row r="1127" spans="1:46" x14ac:dyDescent="0.2">
      <c r="A1127" s="1" t="str">
        <f>"01435"</f>
        <v>01435</v>
      </c>
      <c r="B1127" s="1" t="str">
        <f>"عادل"</f>
        <v>عادل</v>
      </c>
      <c r="C1127" s="1" t="str">
        <f>"بازدارنيا"</f>
        <v>بازدارنيا</v>
      </c>
      <c r="D1127" s="1" t="str">
        <f t="shared" si="118"/>
        <v>قراردادي کارگري</v>
      </c>
      <c r="E1127" s="1" t="str">
        <f t="shared" si="119"/>
        <v>پروژه تعميرات نيروگاه بوشهر</v>
      </c>
      <c r="F1127" s="1">
        <v>0</v>
      </c>
      <c r="G1127" s="1">
        <v>5686528</v>
      </c>
      <c r="H1127" s="1">
        <v>0</v>
      </c>
      <c r="I1127" s="1">
        <v>3768881</v>
      </c>
      <c r="J1127" s="1">
        <v>0</v>
      </c>
      <c r="K1127" s="1">
        <v>0</v>
      </c>
      <c r="L1127" s="1">
        <v>9668221</v>
      </c>
      <c r="M1127" s="1">
        <v>2000000</v>
      </c>
      <c r="N1127" s="1">
        <v>3350116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2640000</v>
      </c>
      <c r="U1127" s="1">
        <v>0</v>
      </c>
      <c r="V1127" s="1">
        <v>2926869</v>
      </c>
      <c r="W1127" s="1">
        <v>4000000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40322083</v>
      </c>
      <c r="AP1127" s="1">
        <v>5756919</v>
      </c>
      <c r="AQ1127" s="1">
        <v>34565164</v>
      </c>
      <c r="AR1127" s="1">
        <v>8064417</v>
      </c>
      <c r="AS1127" s="1">
        <v>1209662</v>
      </c>
      <c r="AT1127" s="3">
        <f t="shared" si="117"/>
        <v>49596162</v>
      </c>
    </row>
    <row r="1128" spans="1:46" x14ac:dyDescent="0.2">
      <c r="A1128" s="1" t="str">
        <f>"01436"</f>
        <v>01436</v>
      </c>
      <c r="B1128" s="1" t="str">
        <f>"محمدصادق"</f>
        <v>محمدصادق</v>
      </c>
      <c r="C1128" s="1" t="str">
        <f>"جعفري"</f>
        <v>جعفري</v>
      </c>
      <c r="D1128" s="1" t="str">
        <f t="shared" si="118"/>
        <v>قراردادي کارگري</v>
      </c>
      <c r="E1128" s="1" t="str">
        <f t="shared" si="119"/>
        <v>پروژه تعميرات نيروگاه بوشهر</v>
      </c>
      <c r="F1128" s="1">
        <v>0</v>
      </c>
      <c r="G1128" s="1">
        <v>1092251</v>
      </c>
      <c r="H1128" s="1">
        <v>0</v>
      </c>
      <c r="I1128" s="1">
        <v>3718349</v>
      </c>
      <c r="J1128" s="1">
        <v>0</v>
      </c>
      <c r="K1128" s="1">
        <v>0</v>
      </c>
      <c r="L1128" s="1">
        <v>9668221</v>
      </c>
      <c r="M1128" s="1">
        <v>2000000</v>
      </c>
      <c r="N1128" s="1">
        <v>3305198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2640000</v>
      </c>
      <c r="U1128" s="1">
        <v>0</v>
      </c>
      <c r="V1128" s="1">
        <v>2908902</v>
      </c>
      <c r="W1128" s="1">
        <v>4000000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35530168</v>
      </c>
      <c r="AP1128" s="1">
        <v>4601112</v>
      </c>
      <c r="AQ1128" s="1">
        <v>30929056</v>
      </c>
      <c r="AR1128" s="1">
        <v>7106034</v>
      </c>
      <c r="AS1128" s="1">
        <v>1065905</v>
      </c>
      <c r="AT1128" s="3">
        <f t="shared" si="117"/>
        <v>43702107</v>
      </c>
    </row>
    <row r="1129" spans="1:46" x14ac:dyDescent="0.2">
      <c r="A1129" s="1" t="str">
        <f>"01437"</f>
        <v>01437</v>
      </c>
      <c r="B1129" s="1" t="str">
        <f>"مصطفي"</f>
        <v>مصطفي</v>
      </c>
      <c r="C1129" s="1" t="str">
        <f>"نريماني"</f>
        <v>نريماني</v>
      </c>
      <c r="D1129" s="1" t="str">
        <f t="shared" ref="D1129:D1142" si="120">"قراردادي بهره بردار"</f>
        <v>قراردادي بهره بردار</v>
      </c>
      <c r="E1129" s="1" t="str">
        <f t="shared" si="119"/>
        <v>پروژه تعميرات نيروگاه بوشهر</v>
      </c>
      <c r="F1129" s="1">
        <v>15518683</v>
      </c>
      <c r="G1129" s="1">
        <v>0</v>
      </c>
      <c r="H1129" s="1">
        <v>0</v>
      </c>
      <c r="I1129" s="1">
        <v>9621894</v>
      </c>
      <c r="J1129" s="1">
        <v>0</v>
      </c>
      <c r="K1129" s="1">
        <v>0</v>
      </c>
      <c r="L1129" s="1">
        <v>0</v>
      </c>
      <c r="M1129" s="1">
        <v>1000000</v>
      </c>
      <c r="N1129" s="1">
        <v>1979514</v>
      </c>
      <c r="O1129" s="1">
        <v>0</v>
      </c>
      <c r="P1129" s="1">
        <v>0</v>
      </c>
      <c r="Q1129" s="1">
        <v>0</v>
      </c>
      <c r="R1129" s="1">
        <v>154070</v>
      </c>
      <c r="S1129" s="1">
        <v>0</v>
      </c>
      <c r="T1129" s="1">
        <v>0</v>
      </c>
      <c r="U1129" s="1">
        <v>0</v>
      </c>
      <c r="V1129" s="1">
        <v>3232962</v>
      </c>
      <c r="W1129" s="1">
        <v>4000000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1555332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3654196</v>
      </c>
      <c r="AM1129" s="1">
        <v>0</v>
      </c>
      <c r="AN1129" s="1">
        <v>0</v>
      </c>
      <c r="AO1129" s="1">
        <v>40716651</v>
      </c>
      <c r="AP1129" s="1">
        <v>7538719</v>
      </c>
      <c r="AQ1129" s="1">
        <v>33177932</v>
      </c>
      <c r="AR1129" s="1">
        <v>8112516</v>
      </c>
      <c r="AS1129" s="1">
        <v>1216877</v>
      </c>
      <c r="AT1129" s="3">
        <f t="shared" si="117"/>
        <v>50046044</v>
      </c>
    </row>
    <row r="1130" spans="1:46" x14ac:dyDescent="0.2">
      <c r="A1130" s="1" t="str">
        <f>"01438"</f>
        <v>01438</v>
      </c>
      <c r="B1130" s="1" t="str">
        <f>"عادل"</f>
        <v>عادل</v>
      </c>
      <c r="C1130" s="1" t="str">
        <f>"شامي"</f>
        <v>شامي</v>
      </c>
      <c r="D1130" s="1" t="str">
        <f t="shared" si="120"/>
        <v>قراردادي بهره بردار</v>
      </c>
      <c r="E1130" s="1" t="str">
        <f>"پروژه دفتر مركزي"</f>
        <v>پروژه دفتر مركزي</v>
      </c>
      <c r="F1130" s="1">
        <v>31798184</v>
      </c>
      <c r="G1130" s="1">
        <v>23174808</v>
      </c>
      <c r="H1130" s="1">
        <v>0</v>
      </c>
      <c r="I1130" s="1">
        <v>25586136</v>
      </c>
      <c r="J1130" s="1">
        <v>0</v>
      </c>
      <c r="K1130" s="1">
        <v>0</v>
      </c>
      <c r="L1130" s="1">
        <v>0</v>
      </c>
      <c r="M1130" s="1">
        <v>1000000</v>
      </c>
      <c r="N1130" s="1">
        <v>0</v>
      </c>
      <c r="O1130" s="1">
        <v>0</v>
      </c>
      <c r="P1130" s="1">
        <v>2020000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6785540</v>
      </c>
      <c r="W1130" s="1">
        <v>4000000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4459102</v>
      </c>
      <c r="AD1130" s="1">
        <v>0</v>
      </c>
      <c r="AE1130" s="1">
        <v>0</v>
      </c>
      <c r="AF1130" s="1">
        <v>1835427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6011978</v>
      </c>
      <c r="AM1130" s="1">
        <v>0</v>
      </c>
      <c r="AN1130" s="1">
        <v>0</v>
      </c>
      <c r="AO1130" s="1">
        <v>106671175</v>
      </c>
      <c r="AP1130" s="1">
        <v>41196116</v>
      </c>
      <c r="AQ1130" s="1">
        <v>65475059</v>
      </c>
      <c r="AR1130" s="1">
        <v>20967150</v>
      </c>
      <c r="AS1130" s="1">
        <v>3145072</v>
      </c>
      <c r="AT1130" s="3">
        <f t="shared" si="117"/>
        <v>130783397</v>
      </c>
    </row>
    <row r="1131" spans="1:46" x14ac:dyDescent="0.2">
      <c r="A1131" s="1" t="str">
        <f>"01439"</f>
        <v>01439</v>
      </c>
      <c r="B1131" s="1" t="str">
        <f>"امين"</f>
        <v>امين</v>
      </c>
      <c r="C1131" s="1" t="str">
        <f>"کشاورزي"</f>
        <v>کشاورزي</v>
      </c>
      <c r="D1131" s="1" t="str">
        <f t="shared" si="120"/>
        <v>قراردادي بهره بردار</v>
      </c>
      <c r="E1131" s="1" t="str">
        <f t="shared" ref="E1131:E1142" si="121">"پروژه بهره برداري نيروگاه بوشهر"</f>
        <v>پروژه بهره برداري نيروگاه بوشهر</v>
      </c>
      <c r="F1131" s="1">
        <v>17151167</v>
      </c>
      <c r="G1131" s="1">
        <v>0</v>
      </c>
      <c r="H1131" s="1">
        <v>0</v>
      </c>
      <c r="I1131" s="1">
        <v>10937180</v>
      </c>
      <c r="J1131" s="1">
        <v>0</v>
      </c>
      <c r="K1131" s="1">
        <v>5500000</v>
      </c>
      <c r="L1131" s="1">
        <v>0</v>
      </c>
      <c r="M1131" s="1">
        <v>1000000</v>
      </c>
      <c r="N1131" s="1">
        <v>2339265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3443778</v>
      </c>
      <c r="W1131" s="1">
        <v>4000000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1837994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2172175</v>
      </c>
      <c r="AM1131" s="1">
        <v>0</v>
      </c>
      <c r="AN1131" s="1">
        <v>0</v>
      </c>
      <c r="AO1131" s="1">
        <v>48381559</v>
      </c>
      <c r="AP1131" s="1">
        <v>15418959</v>
      </c>
      <c r="AQ1131" s="1">
        <v>32962600</v>
      </c>
      <c r="AR1131" s="1">
        <v>9676312</v>
      </c>
      <c r="AS1131" s="1">
        <v>1451447</v>
      </c>
      <c r="AT1131" s="3">
        <f t="shared" si="117"/>
        <v>59509318</v>
      </c>
    </row>
    <row r="1132" spans="1:46" x14ac:dyDescent="0.2">
      <c r="A1132" s="1" t="str">
        <f>"01440"</f>
        <v>01440</v>
      </c>
      <c r="B1132" s="1" t="str">
        <f>"ميثم"</f>
        <v>ميثم</v>
      </c>
      <c r="C1132" s="1" t="str">
        <f>"مظفري زاده"</f>
        <v>مظفري زاده</v>
      </c>
      <c r="D1132" s="1" t="str">
        <f t="shared" si="120"/>
        <v>قراردادي بهره بردار</v>
      </c>
      <c r="E1132" s="1" t="str">
        <f t="shared" si="121"/>
        <v>پروژه بهره برداري نيروگاه بوشهر</v>
      </c>
      <c r="F1132" s="1">
        <v>17387979</v>
      </c>
      <c r="G1132" s="1">
        <v>7107461</v>
      </c>
      <c r="H1132" s="1">
        <v>0</v>
      </c>
      <c r="I1132" s="1">
        <v>11428415</v>
      </c>
      <c r="J1132" s="1">
        <v>0</v>
      </c>
      <c r="K1132" s="1">
        <v>5000000</v>
      </c>
      <c r="L1132" s="1">
        <v>0</v>
      </c>
      <c r="M1132" s="1">
        <v>1000000</v>
      </c>
      <c r="N1132" s="1">
        <v>2422149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3521779</v>
      </c>
      <c r="W1132" s="1">
        <v>4000000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1903117</v>
      </c>
      <c r="AF1132" s="1">
        <v>1835427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2076128</v>
      </c>
      <c r="AM1132" s="1">
        <v>0</v>
      </c>
      <c r="AN1132" s="1">
        <v>0</v>
      </c>
      <c r="AO1132" s="1">
        <v>57682455</v>
      </c>
      <c r="AP1132" s="1">
        <v>7344608</v>
      </c>
      <c r="AQ1132" s="1">
        <v>50337847</v>
      </c>
      <c r="AR1132" s="1">
        <v>11169406</v>
      </c>
      <c r="AS1132" s="1">
        <v>1675411</v>
      </c>
      <c r="AT1132" s="3">
        <f t="shared" si="117"/>
        <v>70527272</v>
      </c>
    </row>
    <row r="1133" spans="1:46" x14ac:dyDescent="0.2">
      <c r="A1133" s="1" t="str">
        <f>"01441"</f>
        <v>01441</v>
      </c>
      <c r="B1133" s="1" t="str">
        <f>"رضا"</f>
        <v>رضا</v>
      </c>
      <c r="C1133" s="1" t="str">
        <f>"اکبري"</f>
        <v>اکبري</v>
      </c>
      <c r="D1133" s="1" t="str">
        <f t="shared" si="120"/>
        <v>قراردادي بهره بردار</v>
      </c>
      <c r="E1133" s="1" t="str">
        <f t="shared" si="121"/>
        <v>پروژه بهره برداري نيروگاه بوشهر</v>
      </c>
      <c r="F1133" s="1">
        <v>15435547</v>
      </c>
      <c r="G1133" s="1">
        <v>0</v>
      </c>
      <c r="H1133" s="1">
        <v>0</v>
      </c>
      <c r="I1133" s="1">
        <v>7507194</v>
      </c>
      <c r="J1133" s="1">
        <v>0</v>
      </c>
      <c r="K1133" s="1">
        <v>5500000</v>
      </c>
      <c r="L1133" s="1">
        <v>0</v>
      </c>
      <c r="M1133" s="1">
        <v>1000000</v>
      </c>
      <c r="N1133" s="1">
        <v>1950417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2809741</v>
      </c>
      <c r="W1133" s="1">
        <v>4000000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1532470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1671786</v>
      </c>
      <c r="AM1133" s="1">
        <v>0</v>
      </c>
      <c r="AN1133" s="1">
        <v>0</v>
      </c>
      <c r="AO1133" s="1">
        <v>41407155</v>
      </c>
      <c r="AP1133" s="1">
        <v>6762166</v>
      </c>
      <c r="AQ1133" s="1">
        <v>34644989</v>
      </c>
      <c r="AR1133" s="1">
        <v>8281431</v>
      </c>
      <c r="AS1133" s="1">
        <v>1242215</v>
      </c>
      <c r="AT1133" s="3">
        <f t="shared" si="117"/>
        <v>50930801</v>
      </c>
    </row>
    <row r="1134" spans="1:46" x14ac:dyDescent="0.2">
      <c r="A1134" s="1" t="str">
        <f>"01442"</f>
        <v>01442</v>
      </c>
      <c r="B1134" s="1" t="str">
        <f>"سيد حسين"</f>
        <v>سيد حسين</v>
      </c>
      <c r="C1134" s="1" t="str">
        <f>"امامي بهبهاني"</f>
        <v>امامي بهبهاني</v>
      </c>
      <c r="D1134" s="1" t="str">
        <f t="shared" si="120"/>
        <v>قراردادي بهره بردار</v>
      </c>
      <c r="E1134" s="1" t="str">
        <f t="shared" si="121"/>
        <v>پروژه بهره برداري نيروگاه بوشهر</v>
      </c>
      <c r="F1134" s="1">
        <v>15589222</v>
      </c>
      <c r="G1134" s="1">
        <v>0</v>
      </c>
      <c r="H1134" s="1">
        <v>0</v>
      </c>
      <c r="I1134" s="1">
        <v>7631760</v>
      </c>
      <c r="J1134" s="1">
        <v>0</v>
      </c>
      <c r="K1134" s="1">
        <v>4125000</v>
      </c>
      <c r="L1134" s="1">
        <v>0</v>
      </c>
      <c r="M1134" s="1">
        <v>1000000</v>
      </c>
      <c r="N1134" s="1">
        <v>2004203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2851780</v>
      </c>
      <c r="W1134" s="1">
        <v>4000000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1574731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1717888</v>
      </c>
      <c r="AM1134" s="1">
        <v>0</v>
      </c>
      <c r="AN1134" s="1">
        <v>0</v>
      </c>
      <c r="AO1134" s="1">
        <v>40494584</v>
      </c>
      <c r="AP1134" s="1">
        <v>8699017</v>
      </c>
      <c r="AQ1134" s="1">
        <v>31795567</v>
      </c>
      <c r="AR1134" s="1">
        <v>8098917</v>
      </c>
      <c r="AS1134" s="1">
        <v>1214838</v>
      </c>
      <c r="AT1134" s="3">
        <f t="shared" si="117"/>
        <v>49808339</v>
      </c>
    </row>
    <row r="1135" spans="1:46" x14ac:dyDescent="0.2">
      <c r="A1135" s="1" t="str">
        <f>"01443"</f>
        <v>01443</v>
      </c>
      <c r="B1135" s="1" t="str">
        <f>"فرشاد"</f>
        <v>فرشاد</v>
      </c>
      <c r="C1135" s="1" t="str">
        <f>"اميري"</f>
        <v>اميري</v>
      </c>
      <c r="D1135" s="1" t="str">
        <f t="shared" si="120"/>
        <v>قراردادي بهره بردار</v>
      </c>
      <c r="E1135" s="1" t="str">
        <f t="shared" si="121"/>
        <v>پروژه بهره برداري نيروگاه بوشهر</v>
      </c>
      <c r="F1135" s="1">
        <v>15453182</v>
      </c>
      <c r="G1135" s="1">
        <v>0</v>
      </c>
      <c r="H1135" s="1">
        <v>0</v>
      </c>
      <c r="I1135" s="1">
        <v>7511321</v>
      </c>
      <c r="J1135" s="1">
        <v>0</v>
      </c>
      <c r="K1135" s="1">
        <v>4125000</v>
      </c>
      <c r="L1135" s="1">
        <v>0</v>
      </c>
      <c r="M1135" s="1">
        <v>1000000</v>
      </c>
      <c r="N1135" s="1">
        <v>1956589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2813549</v>
      </c>
      <c r="W1135" s="1">
        <v>4000000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1537320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1677076</v>
      </c>
      <c r="AM1135" s="1">
        <v>0</v>
      </c>
      <c r="AN1135" s="1">
        <v>0</v>
      </c>
      <c r="AO1135" s="1">
        <v>40074037</v>
      </c>
      <c r="AP1135" s="1">
        <v>4125668</v>
      </c>
      <c r="AQ1135" s="1">
        <v>35948369</v>
      </c>
      <c r="AR1135" s="1">
        <v>8014807</v>
      </c>
      <c r="AS1135" s="1">
        <v>1202221</v>
      </c>
      <c r="AT1135" s="3">
        <f t="shared" si="117"/>
        <v>49291065</v>
      </c>
    </row>
    <row r="1136" spans="1:46" x14ac:dyDescent="0.2">
      <c r="A1136" s="1" t="str">
        <f>"01444"</f>
        <v>01444</v>
      </c>
      <c r="B1136" s="1" t="str">
        <f>"وحيد"</f>
        <v>وحيد</v>
      </c>
      <c r="C1136" s="1" t="str">
        <f>"پاليده"</f>
        <v>پاليده</v>
      </c>
      <c r="D1136" s="1" t="str">
        <f t="shared" si="120"/>
        <v>قراردادي بهره بردار</v>
      </c>
      <c r="E1136" s="1" t="str">
        <f t="shared" si="121"/>
        <v>پروژه بهره برداري نيروگاه بوشهر</v>
      </c>
      <c r="F1136" s="1">
        <v>15659762</v>
      </c>
      <c r="G1136" s="1">
        <v>0</v>
      </c>
      <c r="H1136" s="1">
        <v>0</v>
      </c>
      <c r="I1136" s="1">
        <v>7717114</v>
      </c>
      <c r="J1136" s="1">
        <v>0</v>
      </c>
      <c r="K1136" s="1">
        <v>4125000</v>
      </c>
      <c r="L1136" s="1">
        <v>0</v>
      </c>
      <c r="M1136" s="1">
        <v>1000000</v>
      </c>
      <c r="N1136" s="1">
        <v>2028891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2873894</v>
      </c>
      <c r="W1136" s="1">
        <v>4000000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1594129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1739049</v>
      </c>
      <c r="AM1136" s="1">
        <v>0</v>
      </c>
      <c r="AN1136" s="1">
        <v>0</v>
      </c>
      <c r="AO1136" s="1">
        <v>40737839</v>
      </c>
      <c r="AP1136" s="1">
        <v>4233868</v>
      </c>
      <c r="AQ1136" s="1">
        <v>36503971</v>
      </c>
      <c r="AR1136" s="1">
        <v>8147568</v>
      </c>
      <c r="AS1136" s="1">
        <v>1222135</v>
      </c>
      <c r="AT1136" s="3">
        <f t="shared" si="117"/>
        <v>50107542</v>
      </c>
    </row>
    <row r="1137" spans="1:46" x14ac:dyDescent="0.2">
      <c r="A1137" s="1" t="str">
        <f>"01445"</f>
        <v>01445</v>
      </c>
      <c r="B1137" s="1" t="str">
        <f>"محسن"</f>
        <v>محسن</v>
      </c>
      <c r="C1137" s="1" t="str">
        <f>"حسيني فرد"</f>
        <v>حسيني فرد</v>
      </c>
      <c r="D1137" s="1" t="str">
        <f t="shared" si="120"/>
        <v>قراردادي بهره بردار</v>
      </c>
      <c r="E1137" s="1" t="str">
        <f t="shared" si="121"/>
        <v>پروژه بهره برداري نيروگاه بوشهر</v>
      </c>
      <c r="F1137" s="1">
        <v>15276833</v>
      </c>
      <c r="G1137" s="1">
        <v>857608</v>
      </c>
      <c r="H1137" s="1">
        <v>0</v>
      </c>
      <c r="I1137" s="1">
        <v>7336974</v>
      </c>
      <c r="J1137" s="1">
        <v>0</v>
      </c>
      <c r="K1137" s="1">
        <v>4125000</v>
      </c>
      <c r="L1137" s="1">
        <v>0</v>
      </c>
      <c r="M1137" s="1">
        <v>1000000</v>
      </c>
      <c r="N1137" s="1">
        <v>1894867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2762167</v>
      </c>
      <c r="W1137" s="1">
        <v>4000000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1488824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1624172</v>
      </c>
      <c r="AM1137" s="1">
        <v>0</v>
      </c>
      <c r="AN1137" s="1">
        <v>0</v>
      </c>
      <c r="AO1137" s="1">
        <v>40366445</v>
      </c>
      <c r="AP1137" s="1">
        <v>4173331</v>
      </c>
      <c r="AQ1137" s="1">
        <v>36193114</v>
      </c>
      <c r="AR1137" s="1">
        <v>8073289</v>
      </c>
      <c r="AS1137" s="1">
        <v>1210993</v>
      </c>
      <c r="AT1137" s="3">
        <f t="shared" si="117"/>
        <v>49650727</v>
      </c>
    </row>
    <row r="1138" spans="1:46" x14ac:dyDescent="0.2">
      <c r="A1138" s="1" t="str">
        <f>"01447"</f>
        <v>01447</v>
      </c>
      <c r="B1138" s="1" t="str">
        <f>"سعيد"</f>
        <v>سعيد</v>
      </c>
      <c r="C1138" s="1" t="str">
        <f>"علي عسگري"</f>
        <v>علي عسگري</v>
      </c>
      <c r="D1138" s="1" t="str">
        <f t="shared" si="120"/>
        <v>قراردادي بهره بردار</v>
      </c>
      <c r="E1138" s="1" t="str">
        <f t="shared" si="121"/>
        <v>پروژه بهره برداري نيروگاه بوشهر</v>
      </c>
      <c r="F1138" s="1">
        <v>18966079</v>
      </c>
      <c r="G1138" s="1">
        <v>0</v>
      </c>
      <c r="H1138" s="1">
        <v>0</v>
      </c>
      <c r="I1138" s="1">
        <v>0</v>
      </c>
      <c r="J1138" s="1">
        <v>0</v>
      </c>
      <c r="K1138" s="1">
        <v>3465000</v>
      </c>
      <c r="L1138" s="1">
        <v>0</v>
      </c>
      <c r="M1138" s="1">
        <v>1000000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4000000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27431079</v>
      </c>
      <c r="AP1138" s="1">
        <v>3024176</v>
      </c>
      <c r="AQ1138" s="1">
        <v>24406903</v>
      </c>
      <c r="AR1138" s="1">
        <v>5486216</v>
      </c>
      <c r="AS1138" s="1">
        <v>822932</v>
      </c>
      <c r="AT1138" s="3">
        <f t="shared" si="117"/>
        <v>33740227</v>
      </c>
    </row>
    <row r="1139" spans="1:46" x14ac:dyDescent="0.2">
      <c r="A1139" s="1" t="str">
        <f>"01448"</f>
        <v>01448</v>
      </c>
      <c r="B1139" s="1" t="str">
        <f>"سعيد"</f>
        <v>سعيد</v>
      </c>
      <c r="C1139" s="1" t="str">
        <f>"قائدي قره ميرشاملو"</f>
        <v>قائدي قره ميرشاملو</v>
      </c>
      <c r="D1139" s="1" t="str">
        <f t="shared" si="120"/>
        <v>قراردادي بهره بردار</v>
      </c>
      <c r="E1139" s="1" t="str">
        <f t="shared" si="121"/>
        <v>پروژه بهره برداري نيروگاه بوشهر</v>
      </c>
      <c r="F1139" s="1">
        <v>18966079</v>
      </c>
      <c r="G1139" s="1">
        <v>0</v>
      </c>
      <c r="H1139" s="1">
        <v>0</v>
      </c>
      <c r="I1139" s="1">
        <v>0</v>
      </c>
      <c r="J1139" s="1">
        <v>0</v>
      </c>
      <c r="K1139" s="1">
        <v>3465000</v>
      </c>
      <c r="L1139" s="1">
        <v>0</v>
      </c>
      <c r="M1139" s="1">
        <v>1000000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4000000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27431079</v>
      </c>
      <c r="AP1139" s="1">
        <v>3024176</v>
      </c>
      <c r="AQ1139" s="1">
        <v>24406903</v>
      </c>
      <c r="AR1139" s="1">
        <v>5486216</v>
      </c>
      <c r="AS1139" s="1">
        <v>822932</v>
      </c>
      <c r="AT1139" s="3">
        <f t="shared" si="117"/>
        <v>33740227</v>
      </c>
    </row>
    <row r="1140" spans="1:46" x14ac:dyDescent="0.2">
      <c r="A1140" s="1" t="str">
        <f>"01449"</f>
        <v>01449</v>
      </c>
      <c r="B1140" s="1" t="str">
        <f>"عبداله"</f>
        <v>عبداله</v>
      </c>
      <c r="C1140" s="1" t="str">
        <f>"نگهبان"</f>
        <v>نگهبان</v>
      </c>
      <c r="D1140" s="1" t="str">
        <f t="shared" si="120"/>
        <v>قراردادي بهره بردار</v>
      </c>
      <c r="E1140" s="1" t="str">
        <f t="shared" si="121"/>
        <v>پروژه بهره برداري نيروگاه بوشهر</v>
      </c>
      <c r="F1140" s="1">
        <v>13843370</v>
      </c>
      <c r="G1140" s="1">
        <v>0</v>
      </c>
      <c r="H1140" s="1">
        <v>0</v>
      </c>
      <c r="I1140" s="1">
        <v>6170650</v>
      </c>
      <c r="J1140" s="1">
        <v>0</v>
      </c>
      <c r="K1140" s="1">
        <v>4125000</v>
      </c>
      <c r="L1140" s="1">
        <v>0</v>
      </c>
      <c r="M1140" s="1">
        <v>1000000</v>
      </c>
      <c r="N1140" s="1">
        <v>1393154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2369592</v>
      </c>
      <c r="W1140" s="1">
        <v>4000000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1094621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1194132</v>
      </c>
      <c r="AM1140" s="1">
        <v>0</v>
      </c>
      <c r="AN1140" s="1">
        <v>0</v>
      </c>
      <c r="AO1140" s="1">
        <v>35190519</v>
      </c>
      <c r="AP1140" s="1">
        <v>6255336</v>
      </c>
      <c r="AQ1140" s="1">
        <v>28935183</v>
      </c>
      <c r="AR1140" s="1">
        <v>7038104</v>
      </c>
      <c r="AS1140" s="1">
        <v>1055716</v>
      </c>
      <c r="AT1140" s="3">
        <f t="shared" si="117"/>
        <v>43284339</v>
      </c>
    </row>
    <row r="1141" spans="1:46" x14ac:dyDescent="0.2">
      <c r="A1141" s="1" t="str">
        <f>"01450"</f>
        <v>01450</v>
      </c>
      <c r="B1141" s="1" t="str">
        <f>"فردين"</f>
        <v>فردين</v>
      </c>
      <c r="C1141" s="1" t="str">
        <f>"نوروزي طيبي"</f>
        <v>نوروزي طيبي</v>
      </c>
      <c r="D1141" s="1" t="str">
        <f t="shared" si="120"/>
        <v>قراردادي بهره بردار</v>
      </c>
      <c r="E1141" s="1" t="str">
        <f t="shared" si="121"/>
        <v>پروژه بهره برداري نيروگاه بوشهر</v>
      </c>
      <c r="F1141" s="1">
        <v>18966079</v>
      </c>
      <c r="G1141" s="1">
        <v>267666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1000000</v>
      </c>
      <c r="N1141" s="1">
        <v>0</v>
      </c>
      <c r="O1141" s="1">
        <v>0</v>
      </c>
      <c r="P1141" s="1">
        <v>0</v>
      </c>
      <c r="Q1141" s="1">
        <v>0</v>
      </c>
      <c r="R1141" s="1">
        <v>81837</v>
      </c>
      <c r="S1141" s="1">
        <v>0</v>
      </c>
      <c r="T1141" s="1">
        <v>0</v>
      </c>
      <c r="U1141" s="1">
        <v>0</v>
      </c>
      <c r="V1141" s="1">
        <v>0</v>
      </c>
      <c r="W1141" s="1">
        <v>4000000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24315582</v>
      </c>
      <c r="AP1141" s="1">
        <v>2800362</v>
      </c>
      <c r="AQ1141" s="1">
        <v>21515220</v>
      </c>
      <c r="AR1141" s="1">
        <v>4846749</v>
      </c>
      <c r="AS1141" s="1">
        <v>727012</v>
      </c>
      <c r="AT1141" s="3">
        <f t="shared" si="117"/>
        <v>29889343</v>
      </c>
    </row>
    <row r="1142" spans="1:46" x14ac:dyDescent="0.2">
      <c r="A1142" s="1" t="str">
        <f>"01451"</f>
        <v>01451</v>
      </c>
      <c r="B1142" s="1" t="str">
        <f>"حميدرضا"</f>
        <v>حميدرضا</v>
      </c>
      <c r="C1142" s="1" t="str">
        <f>"نوروزي"</f>
        <v>نوروزي</v>
      </c>
      <c r="D1142" s="1" t="str">
        <f t="shared" si="120"/>
        <v>قراردادي بهره بردار</v>
      </c>
      <c r="E1142" s="1" t="str">
        <f t="shared" si="121"/>
        <v>پروژه بهره برداري نيروگاه بوشهر</v>
      </c>
      <c r="F1142" s="1">
        <v>18966079</v>
      </c>
      <c r="G1142" s="1">
        <v>3747330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1000000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4000000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27713409</v>
      </c>
      <c r="AP1142" s="1">
        <v>3835939</v>
      </c>
      <c r="AQ1142" s="1">
        <v>23877470</v>
      </c>
      <c r="AR1142" s="1">
        <v>5542682</v>
      </c>
      <c r="AS1142" s="1">
        <v>831402</v>
      </c>
      <c r="AT1142" s="3">
        <f t="shared" si="117"/>
        <v>34087493</v>
      </c>
    </row>
    <row r="1143" spans="1:46" x14ac:dyDescent="0.2">
      <c r="AT1143" s="3">
        <f>SUM(AT2:AT1142)</f>
        <v>112777577089</v>
      </c>
    </row>
  </sheetData>
  <sortState ref="A2:BC1142">
    <sortCondition ref="A2:A114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2020-07-02T07:24:28Z</dcterms:created>
  <dcterms:modified xsi:type="dcterms:W3CDTF">2020-07-02T08:16:37Z</dcterms:modified>
</cp:coreProperties>
</file>