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آقای طزری\صورت شهریور\"/>
    </mc:Choice>
  </mc:AlternateContent>
  <bookViews>
    <workbookView xWindow="0" yWindow="0" windowWidth="20400" windowHeight="9900" activeTab="2"/>
  </bookViews>
  <sheets>
    <sheet name="سنوات " sheetId="4" r:id="rId1"/>
    <sheet name="دارخوين شهريور 94 " sheetId="1" r:id="rId2"/>
    <sheet name="جدول  " sheetId="2" r:id="rId3"/>
  </sheets>
  <definedNames>
    <definedName name="_xlnm.Print_Area" localSheetId="2">'جدول  '!$A$1:$K$14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F6" i="2"/>
  <c r="G6" i="2"/>
  <c r="J6" i="2"/>
  <c r="I6" i="2"/>
  <c r="H6" i="2"/>
  <c r="H5" i="2"/>
  <c r="I5" i="2"/>
  <c r="G5" i="2"/>
  <c r="N36" i="4"/>
  <c r="O36" i="4"/>
  <c r="P36" i="4"/>
  <c r="M36" i="4"/>
  <c r="N6" i="4"/>
  <c r="O6" i="4" s="1"/>
  <c r="P6" i="4"/>
  <c r="N7" i="4"/>
  <c r="O7" i="4"/>
  <c r="P7" i="4"/>
  <c r="N8" i="4"/>
  <c r="O8" i="4" s="1"/>
  <c r="P8" i="4"/>
  <c r="N9" i="4"/>
  <c r="O9" i="4"/>
  <c r="P9" i="4"/>
  <c r="N10" i="4"/>
  <c r="O10" i="4" s="1"/>
  <c r="P10" i="4"/>
  <c r="N11" i="4"/>
  <c r="O11" i="4"/>
  <c r="P11" i="4"/>
  <c r="N12" i="4"/>
  <c r="O12" i="4" s="1"/>
  <c r="P12" i="4"/>
  <c r="N13" i="4"/>
  <c r="O13" i="4"/>
  <c r="P13" i="4"/>
  <c r="N14" i="4"/>
  <c r="O14" i="4" s="1"/>
  <c r="P14" i="4"/>
  <c r="N15" i="4"/>
  <c r="O15" i="4"/>
  <c r="P15" i="4"/>
  <c r="N16" i="4"/>
  <c r="O16" i="4" s="1"/>
  <c r="P16" i="4"/>
  <c r="N17" i="4"/>
  <c r="O17" i="4"/>
  <c r="P17" i="4"/>
  <c r="N18" i="4"/>
  <c r="O18" i="4" s="1"/>
  <c r="P18" i="4"/>
  <c r="N19" i="4"/>
  <c r="O19" i="4"/>
  <c r="P19" i="4"/>
  <c r="N20" i="4"/>
  <c r="O20" i="4" s="1"/>
  <c r="N21" i="4"/>
  <c r="O21" i="4"/>
  <c r="P21" i="4"/>
  <c r="N22" i="4"/>
  <c r="P22" i="4" s="1"/>
  <c r="N23" i="4"/>
  <c r="O23" i="4"/>
  <c r="P23" i="4"/>
  <c r="N24" i="4"/>
  <c r="O24" i="4" s="1"/>
  <c r="P24" i="4"/>
  <c r="N25" i="4"/>
  <c r="O25" i="4"/>
  <c r="P25" i="4"/>
  <c r="N26" i="4"/>
  <c r="O26" i="4" s="1"/>
  <c r="N27" i="4"/>
  <c r="O27" i="4"/>
  <c r="P27" i="4"/>
  <c r="N28" i="4"/>
  <c r="O28" i="4" s="1"/>
  <c r="N29" i="4"/>
  <c r="O29" i="4"/>
  <c r="P29" i="4"/>
  <c r="N30" i="4"/>
  <c r="O30" i="4" s="1"/>
  <c r="N31" i="4"/>
  <c r="O31" i="4"/>
  <c r="P31" i="4"/>
  <c r="N32" i="4"/>
  <c r="P32" i="4" s="1"/>
  <c r="N33" i="4"/>
  <c r="O33" i="4"/>
  <c r="P33" i="4"/>
  <c r="N34" i="4"/>
  <c r="O34" i="4" s="1"/>
  <c r="N35" i="4"/>
  <c r="O35" i="4"/>
  <c r="P35" i="4"/>
  <c r="P5" i="4"/>
  <c r="O5" i="4"/>
  <c r="N5" i="4"/>
  <c r="E36" i="4"/>
  <c r="F36" i="4"/>
  <c r="G36" i="4"/>
  <c r="H36" i="4"/>
  <c r="I36" i="4"/>
  <c r="J36" i="4"/>
  <c r="K36" i="4"/>
  <c r="L36" i="4"/>
  <c r="D36" i="4"/>
  <c r="F5" i="2"/>
  <c r="E5" i="2"/>
  <c r="P34" i="4" l="1"/>
  <c r="P30" i="4"/>
  <c r="P28" i="4"/>
  <c r="P26" i="4"/>
  <c r="P20" i="4"/>
  <c r="O32" i="4"/>
  <c r="O22" i="4"/>
  <c r="J5" i="2" l="1"/>
  <c r="J7" i="2" s="1"/>
  <c r="J8" i="2" s="1"/>
  <c r="J9" i="2" s="1"/>
  <c r="E33" i="1" l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D33" i="1"/>
  <c r="A32" i="1"/>
  <c r="B32" i="1"/>
  <c r="C32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" i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</calcChain>
</file>

<file path=xl/sharedStrings.xml><?xml version="1.0" encoding="utf-8"?>
<sst xmlns="http://schemas.openxmlformats.org/spreadsheetml/2006/main" count="168" uniqueCount="132">
  <si>
    <t>كد پرسنلي</t>
  </si>
  <si>
    <t>نام و نام خانوادگي</t>
  </si>
  <si>
    <t>مركز هزينه</t>
  </si>
  <si>
    <t>كاركرد اضافه كاري</t>
  </si>
  <si>
    <t>كاركرد عادي</t>
  </si>
  <si>
    <t>حق اولأد</t>
  </si>
  <si>
    <t>حق مسكن</t>
  </si>
  <si>
    <t>بن کارگري</t>
  </si>
  <si>
    <t>حق ناهار</t>
  </si>
  <si>
    <t>اياب وذهاب</t>
  </si>
  <si>
    <t>فوق العاده مهد کودک</t>
  </si>
  <si>
    <t>تفاوت تطبيق</t>
  </si>
  <si>
    <t>مزد شغل</t>
  </si>
  <si>
    <t>مزد رتبه</t>
  </si>
  <si>
    <t>مزد سنوات</t>
  </si>
  <si>
    <t>مزد پست</t>
  </si>
  <si>
    <t>بيمه تامين اجتماعي - سهم كارمند</t>
  </si>
  <si>
    <t>مساعده</t>
  </si>
  <si>
    <t>ماليات</t>
  </si>
  <si>
    <t>جمع اقساط وام</t>
  </si>
  <si>
    <t>عضويت رفاه پارسيان</t>
  </si>
  <si>
    <t>بيمه تامين اجتماعي سهم كارفرما</t>
  </si>
  <si>
    <t>بيمه بيكاري</t>
  </si>
  <si>
    <t>كاركرد موثر</t>
  </si>
  <si>
    <t>خالص پرداختي</t>
  </si>
  <si>
    <t>جمع حقوق و مزايا</t>
  </si>
  <si>
    <t>جمع كسور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</si>
  <si>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</si>
  <si>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</si>
  <si>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</si>
  <si>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</si>
  <si>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 xml:space="preserve"> مبلغ استقراروام صندوق رفاه و پس انداز کارکنان</t>
  </si>
  <si>
    <t>باقيمانده‌ عضويت صندوق رفاه وپس انداز کارکنان</t>
  </si>
  <si>
    <t>مجموع اقساط‌عضويت صندوق رفاه وپس انداز کارکنان</t>
  </si>
  <si>
    <t>مبلغ‌عضويت صندوق رفاه وپس انداز کارکنان</t>
  </si>
  <si>
    <t xml:space="preserve"> مبلغ استقرارعضويت صندوق رفاه وپس انداز کارکنان</t>
  </si>
  <si>
    <t xml:space="preserve"> مبلغ قسط بيمه ايران شرکت</t>
  </si>
  <si>
    <t>باقيمانده‌ بيمه ايران شرکت</t>
  </si>
  <si>
    <t>مجموع اقساط‌بيمه ايران شرکت</t>
  </si>
  <si>
    <t>مبلغ‌بيمه ايران شرکت</t>
  </si>
  <si>
    <t xml:space="preserve"> مبلغ استقراربيمه ايران شرکت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</si>
  <si>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</si>
  <si>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</si>
  <si>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</si>
  <si>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</si>
  <si>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</si>
  <si>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سنوات </t>
  </si>
  <si>
    <t xml:space="preserve">عیدی و پاداش </t>
  </si>
  <si>
    <t>سایر مزایا</t>
  </si>
  <si>
    <t xml:space="preserve">جمع کل </t>
  </si>
  <si>
    <t xml:space="preserve">جمع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</si>
  <si>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</si>
  <si>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</si>
  <si>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</si>
  <si>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</si>
  <si>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 xml:space="preserve">گزارش صورت وضعیت شهریور ماه 94پرسنل شرکت تولید توسعه انرژی اتمی (دارخوین) </t>
  </si>
  <si>
    <t xml:space="preserve">شهریور </t>
  </si>
  <si>
    <t xml:space="preserve"> مبلغ در حكم بن کارگري</t>
  </si>
  <si>
    <t xml:space="preserve"> مبلغ در حكم حق اولأد</t>
  </si>
  <si>
    <t xml:space="preserve"> مبلغ در حكم فوق العاده ايثارگري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</si>
  <si>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</si>
  <si>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</si>
  <si>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</si>
  <si>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حق پرتو کاري</t>
  </si>
  <si>
    <t xml:space="preserve"> مبلغ در حكم مزد پست</t>
  </si>
  <si>
    <t xml:space="preserve"> مبلغ در حكم مزد سنوات</t>
  </si>
  <si>
    <t xml:space="preserve"> مبلغ در حكم تفاوت تطبيق</t>
  </si>
  <si>
    <t>حکم حقوقی</t>
  </si>
  <si>
    <t xml:space="preserve">عیدی </t>
  </si>
  <si>
    <t>9157041</t>
  </si>
  <si>
    <t>عيد آسماني</t>
  </si>
  <si>
    <t>توليد توسعه - دارخوين</t>
  </si>
  <si>
    <t>9157042</t>
  </si>
  <si>
    <t>كاظم آل بالدي</t>
  </si>
  <si>
    <t>9157043</t>
  </si>
  <si>
    <t>عبداله البوبالد</t>
  </si>
  <si>
    <t>9157044</t>
  </si>
  <si>
    <t>سعيد ال بوبالدي</t>
  </si>
  <si>
    <t>9157045</t>
  </si>
  <si>
    <t>شريف آلبوبالدي</t>
  </si>
  <si>
    <t>9157046</t>
  </si>
  <si>
    <t>يعقوب آلبوبالدي</t>
  </si>
  <si>
    <t>9157047</t>
  </si>
  <si>
    <t>محمد البوغبيش</t>
  </si>
  <si>
    <t>9157049</t>
  </si>
  <si>
    <t>عبدالامام بالدي</t>
  </si>
  <si>
    <t>9157050</t>
  </si>
  <si>
    <t>حسين باوي</t>
  </si>
  <si>
    <t>9157053</t>
  </si>
  <si>
    <t>عظيم باوي سويره</t>
  </si>
  <si>
    <t>9157054</t>
  </si>
  <si>
    <t>عارف باوي فرد</t>
  </si>
  <si>
    <t>9157055</t>
  </si>
  <si>
    <t>نجم باوي فرد</t>
  </si>
  <si>
    <t>9157056</t>
  </si>
  <si>
    <t>سعيد بدوي</t>
  </si>
  <si>
    <t>9157057</t>
  </si>
  <si>
    <t>عباس بدوي</t>
  </si>
  <si>
    <t>9157058</t>
  </si>
  <si>
    <t>طاهر پورحزبه</t>
  </si>
  <si>
    <t>9157059</t>
  </si>
  <si>
    <t>رحمه سياحي</t>
  </si>
  <si>
    <t>9157060</t>
  </si>
  <si>
    <t>مرد سياحي</t>
  </si>
  <si>
    <t>9157065</t>
  </si>
  <si>
    <t>رحيم عقباوي</t>
  </si>
  <si>
    <t>9157066</t>
  </si>
  <si>
    <t>جمشيد فرحانيان</t>
  </si>
  <si>
    <t>9157068</t>
  </si>
  <si>
    <t>مجتبي قنواتي زاده</t>
  </si>
  <si>
    <t>9157069</t>
  </si>
  <si>
    <t>رضا محمدحسيني</t>
  </si>
  <si>
    <t>9157070</t>
  </si>
  <si>
    <t>فاضل مقدم</t>
  </si>
  <si>
    <t>9157072</t>
  </si>
  <si>
    <t>محمدامين نادري</t>
  </si>
  <si>
    <t>9157075</t>
  </si>
  <si>
    <t>علي پورحزبه</t>
  </si>
  <si>
    <t>9157077</t>
  </si>
  <si>
    <t>جاسم جامدي باوي</t>
  </si>
  <si>
    <t>9157079</t>
  </si>
  <si>
    <t>مزعل جليزي</t>
  </si>
  <si>
    <t>9157081</t>
  </si>
  <si>
    <t>فهد چاملي</t>
  </si>
  <si>
    <t>9157084</t>
  </si>
  <si>
    <t>ايوب حويزاوي</t>
  </si>
  <si>
    <t>9157089</t>
  </si>
  <si>
    <t>منصور خنفري راد</t>
  </si>
  <si>
    <t>9157090</t>
  </si>
  <si>
    <t>جميل زرگاني</t>
  </si>
  <si>
    <t>9157091</t>
  </si>
  <si>
    <t>علي ساري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</si>
</sst>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-* #,##0_-;_-* #,##0\-;_-* &quot;-&quot;??_-;_-@_-"/>
  </numFmts>
  <fonts count="1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b/>
      <sz val="12"/>
      <color rgb="FFFF0000"/>
      <name val="Tahoma"/>
      <family val="2"/>
    </font>
    <font>
      <sz val="14"/>
      <color theme="1"/>
      <name val="B Zar"/>
      <charset val="178"/>
    </font>
    <font>
      <b/>
      <sz val="16"/>
      <color theme="1"/>
      <name val="B Zar"/>
      <charset val="178"/>
    </font>
    <font>
      <b/>
      <sz val="14"/>
      <color theme="1"/>
      <name val="B Zar"/>
      <charset val="178"/>
    </font>
    <font>
      <b/>
      <sz val="16"/>
      <name val="B Zar"/>
      <charset val="178"/>
    </font>
    <font>
      <sz val="16"/>
      <color theme="1"/>
      <name val="B Zar"/>
      <charset val="178"/>
    </font>
    <font>
      <sz val="16"/>
      <name val="B Zar"/>
      <charset val="178"/>
    </font>
    <font>
      <b/>
      <sz val="16"/>
      <color rgb="FFFF0000"/>
      <name val="B Zar"/>
      <charset val="178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Arial"/>
      <family val="2"/>
      <scheme val="minor"/>
    </font>
    <font>
      <b/>
      <sz val="14"/>
      <color rgb="FFFF000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1" fillId="0" borderId="0" xfId="0" applyNumberFormat="1" applyFont="1" applyBorder="1" applyAlignment="1">
      <alignment horizontal="left" vertical="center"/>
    </xf>
    <xf numFmtId="3" fontId="11" fillId="0" borderId="0" xfId="0" applyNumberFormat="1" applyFont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164" fontId="12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2" borderId="0" xfId="1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2" applyFont="1"/>
    <xf numFmtId="164" fontId="16" fillId="0" borderId="0" xfId="1" applyNumberFormat="1" applyFont="1"/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left" vertical="center"/>
    </xf>
    <xf numFmtId="3" fontId="11" fillId="0" borderId="12" xfId="0" applyNumberFormat="1" applyFont="1" applyBorder="1" applyAlignment="1">
      <alignment horizontal="center" vertical="center"/>
    </xf>
    <xf numFmtId="3" fontId="11" fillId="2" borderId="12" xfId="0" applyNumberFormat="1" applyFont="1" applyFill="1" applyBorder="1" applyAlignment="1">
      <alignment horizontal="center" vertical="center"/>
    </xf>
    <xf numFmtId="3" fontId="11" fillId="2" borderId="13" xfId="0" applyNumberFormat="1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right" vertical="top" wrapText="1"/>
    </xf>
    <xf numFmtId="0" fontId="14" fillId="2" borderId="4" xfId="0" applyFont="1" applyFill="1" applyBorder="1" applyAlignment="1">
      <alignment horizontal="right" vertical="top" wrapText="1"/>
    </xf>
    <xf numFmtId="0" fontId="14" fillId="2" borderId="5" xfId="0" applyFont="1" applyFill="1" applyBorder="1" applyAlignment="1">
      <alignment horizontal="right" vertical="top" wrapText="1"/>
    </xf>
    <xf numFmtId="3" fontId="14" fillId="2" borderId="3" xfId="0" applyNumberFormat="1" applyFont="1" applyFill="1" applyBorder="1" applyAlignment="1">
      <alignment horizontal="right" vertical="top" wrapText="1"/>
    </xf>
    <xf numFmtId="3" fontId="14" fillId="2" borderId="4" xfId="0" applyNumberFormat="1" applyFont="1" applyFill="1" applyBorder="1" applyAlignment="1">
      <alignment horizontal="right" vertical="top" wrapText="1"/>
    </xf>
    <xf numFmtId="3" fontId="14" fillId="2" borderId="5" xfId="0" applyNumberFormat="1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6"/>
  <sheetViews>
    <sheetView rightToLeft="1" topLeftCell="I23" workbookViewId="0">
      <selection activeCell="C36" sqref="C36"/>
    </sheetView>
  </sheetViews>
  <sheetFormatPr defaultRowHeight="24.75" x14ac:dyDescent="0.7"/>
  <cols>
    <col min="1" max="1" width="8.625" style="35" bestFit="1" customWidth="1"/>
    <col min="2" max="2" width="14.75" style="35" bestFit="1" customWidth="1"/>
    <col min="3" max="3" width="17.625" style="35" bestFit="1" customWidth="1"/>
    <col min="4" max="4" width="19.875" style="35" bestFit="1" customWidth="1"/>
    <col min="5" max="5" width="18" style="35" bestFit="1" customWidth="1"/>
    <col min="6" max="6" width="25.75" style="35" bestFit="1" customWidth="1"/>
    <col min="7" max="7" width="19" style="35" bestFit="1" customWidth="1"/>
    <col min="8" max="8" width="17.75" style="35" bestFit="1" customWidth="1"/>
    <col min="9" max="9" width="17" style="35" bestFit="1" customWidth="1"/>
    <col min="10" max="10" width="22.25" style="35" bestFit="1" customWidth="1"/>
    <col min="11" max="11" width="17.875" style="35" bestFit="1" customWidth="1"/>
    <col min="12" max="12" width="19.25" style="35" bestFit="1" customWidth="1"/>
    <col min="13" max="13" width="20.625" style="35" bestFit="1" customWidth="1"/>
    <col min="14" max="14" width="17.75" style="5" bestFit="1" customWidth="1"/>
    <col min="15" max="16" width="16.5" style="5" bestFit="1" customWidth="1"/>
    <col min="17" max="16384" width="9" style="35"/>
  </cols>
  <sheetData>
    <row r="4" spans="1:16" x14ac:dyDescent="0.7">
      <c r="A4" s="35" t="s">
        <v>0</v>
      </c>
      <c r="B4" s="35" t="s">
        <v>1</v>
      </c>
      <c r="C4" s="35" t="s">
        <v>2</v>
      </c>
      <c r="D4" s="35" t="s">
        <v>57</v>
      </c>
      <c r="E4" s="35" t="s">
        <v>58</v>
      </c>
      <c r="F4" s="35" t="s">
        <v>59</v>
      </c>
      <c r="G4" s="35" t="s">
        <v>60</v>
      </c>
      <c r="H4" s="35" t="s">
        <v>61</v>
      </c>
      <c r="I4" s="35" t="s">
        <v>62</v>
      </c>
      <c r="J4" s="35" t="s">
        <v>63</v>
      </c>
      <c r="K4" s="35" t="s">
        <v>64</v>
      </c>
      <c r="L4" s="35" t="s">
        <v>65</v>
      </c>
      <c r="M4" s="35" t="s">
        <v>66</v>
      </c>
      <c r="N4" s="5" t="s">
        <v>67</v>
      </c>
      <c r="O4" s="5" t="s">
        <v>46</v>
      </c>
      <c r="P4" s="5" t="s">
        <v>68</v>
      </c>
    </row>
    <row r="5" spans="1:16" x14ac:dyDescent="0.7">
      <c r="A5" s="35" t="s">
        <v>69</v>
      </c>
      <c r="B5" s="35" t="s">
        <v>70</v>
      </c>
      <c r="C5" s="35" t="s">
        <v>71</v>
      </c>
      <c r="D5" s="35">
        <v>1100000</v>
      </c>
      <c r="E5" s="35">
        <v>0</v>
      </c>
      <c r="F5" s="35">
        <v>0</v>
      </c>
      <c r="G5" s="35">
        <v>200000</v>
      </c>
      <c r="H5" s="35">
        <v>8389590</v>
      </c>
      <c r="I5" s="35">
        <v>0</v>
      </c>
      <c r="J5" s="35">
        <v>0</v>
      </c>
      <c r="K5" s="35">
        <v>0</v>
      </c>
      <c r="L5" s="35">
        <v>587952</v>
      </c>
      <c r="M5" s="35">
        <v>161995</v>
      </c>
      <c r="N5" s="5">
        <f>SUM(D5:M5)</f>
        <v>10439537</v>
      </c>
      <c r="O5" s="5">
        <f>N5/12</f>
        <v>869961.41666666663</v>
      </c>
      <c r="P5" s="5">
        <f>IF(N5*2&gt;=21372750,21372750,N5*2)/12</f>
        <v>1739922.8333333333</v>
      </c>
    </row>
    <row r="6" spans="1:16" x14ac:dyDescent="0.7">
      <c r="A6" s="35" t="s">
        <v>72</v>
      </c>
      <c r="B6" s="35" t="s">
        <v>73</v>
      </c>
      <c r="C6" s="35" t="s">
        <v>71</v>
      </c>
      <c r="D6" s="35">
        <v>1100000</v>
      </c>
      <c r="E6" s="35">
        <v>2849700</v>
      </c>
      <c r="F6" s="35">
        <v>0</v>
      </c>
      <c r="G6" s="35">
        <v>200000</v>
      </c>
      <c r="H6" s="35">
        <v>10141620</v>
      </c>
      <c r="I6" s="35">
        <v>0</v>
      </c>
      <c r="J6" s="35">
        <v>0</v>
      </c>
      <c r="K6" s="35">
        <v>0</v>
      </c>
      <c r="L6" s="35">
        <v>611952</v>
      </c>
      <c r="M6" s="35">
        <v>0</v>
      </c>
      <c r="N6" s="5">
        <f t="shared" ref="N6:N35" si="0">SUM(D6:M6)</f>
        <v>14903272</v>
      </c>
      <c r="O6" s="5">
        <f t="shared" ref="O6:O35" si="1">N6/12</f>
        <v>1241939.3333333333</v>
      </c>
      <c r="P6" s="5">
        <f t="shared" ref="P6:P35" si="2">IF(N6*2&gt;=21372750,21372750,N6*2)/12</f>
        <v>1781062.5</v>
      </c>
    </row>
    <row r="7" spans="1:16" x14ac:dyDescent="0.7">
      <c r="A7" s="35" t="s">
        <v>74</v>
      </c>
      <c r="B7" s="35" t="s">
        <v>75</v>
      </c>
      <c r="C7" s="35" t="s">
        <v>71</v>
      </c>
      <c r="D7" s="35">
        <v>1100000</v>
      </c>
      <c r="E7" s="35">
        <v>1424850</v>
      </c>
      <c r="F7" s="35">
        <v>0</v>
      </c>
      <c r="G7" s="35">
        <v>200000</v>
      </c>
      <c r="H7" s="35">
        <v>10725600</v>
      </c>
      <c r="I7" s="35">
        <v>0</v>
      </c>
      <c r="J7" s="35">
        <v>0</v>
      </c>
      <c r="K7" s="35">
        <v>0</v>
      </c>
      <c r="L7" s="35">
        <v>617952</v>
      </c>
      <c r="M7" s="35">
        <v>0</v>
      </c>
      <c r="N7" s="5">
        <f t="shared" si="0"/>
        <v>14068402</v>
      </c>
      <c r="O7" s="5">
        <f t="shared" si="1"/>
        <v>1172366.8333333333</v>
      </c>
      <c r="P7" s="5">
        <f t="shared" si="2"/>
        <v>1781062.5</v>
      </c>
    </row>
    <row r="8" spans="1:16" x14ac:dyDescent="0.7">
      <c r="A8" s="35" t="s">
        <v>76</v>
      </c>
      <c r="B8" s="35" t="s">
        <v>77</v>
      </c>
      <c r="C8" s="35" t="s">
        <v>71</v>
      </c>
      <c r="D8" s="35">
        <v>1100000</v>
      </c>
      <c r="E8" s="35">
        <v>3562125</v>
      </c>
      <c r="F8" s="35">
        <v>0</v>
      </c>
      <c r="G8" s="35">
        <v>200000</v>
      </c>
      <c r="H8" s="35">
        <v>9168270</v>
      </c>
      <c r="I8" s="35">
        <v>0</v>
      </c>
      <c r="J8" s="35">
        <v>0</v>
      </c>
      <c r="K8" s="35">
        <v>0</v>
      </c>
      <c r="L8" s="35">
        <v>599952</v>
      </c>
      <c r="M8" s="35">
        <v>0</v>
      </c>
      <c r="N8" s="5">
        <f t="shared" si="0"/>
        <v>14630347</v>
      </c>
      <c r="O8" s="5">
        <f t="shared" si="1"/>
        <v>1219195.5833333333</v>
      </c>
      <c r="P8" s="5">
        <f t="shared" si="2"/>
        <v>1781062.5</v>
      </c>
    </row>
    <row r="9" spans="1:16" x14ac:dyDescent="0.7">
      <c r="A9" s="35" t="s">
        <v>78</v>
      </c>
      <c r="B9" s="35" t="s">
        <v>79</v>
      </c>
      <c r="C9" s="35" t="s">
        <v>71</v>
      </c>
      <c r="D9" s="35">
        <v>1100000</v>
      </c>
      <c r="E9" s="35">
        <v>1424850</v>
      </c>
      <c r="F9" s="35">
        <v>0</v>
      </c>
      <c r="G9" s="35">
        <v>200000</v>
      </c>
      <c r="H9" s="35">
        <v>9168270</v>
      </c>
      <c r="I9" s="35">
        <v>0</v>
      </c>
      <c r="J9" s="35">
        <v>0</v>
      </c>
      <c r="K9" s="35">
        <v>0</v>
      </c>
      <c r="L9" s="35">
        <v>599952</v>
      </c>
      <c r="M9" s="35">
        <v>0</v>
      </c>
      <c r="N9" s="5">
        <f t="shared" si="0"/>
        <v>12493072</v>
      </c>
      <c r="O9" s="5">
        <f t="shared" si="1"/>
        <v>1041089.3333333334</v>
      </c>
      <c r="P9" s="5">
        <f t="shared" si="2"/>
        <v>1781062.5</v>
      </c>
    </row>
    <row r="10" spans="1:16" x14ac:dyDescent="0.7">
      <c r="A10" s="35" t="s">
        <v>80</v>
      </c>
      <c r="B10" s="35" t="s">
        <v>81</v>
      </c>
      <c r="C10" s="35" t="s">
        <v>71</v>
      </c>
      <c r="D10" s="35">
        <v>1100000</v>
      </c>
      <c r="E10" s="35">
        <v>2137275</v>
      </c>
      <c r="F10" s="35">
        <v>0</v>
      </c>
      <c r="G10" s="35">
        <v>200000</v>
      </c>
      <c r="H10" s="35">
        <v>11893590</v>
      </c>
      <c r="I10" s="35">
        <v>0</v>
      </c>
      <c r="J10" s="35">
        <v>0</v>
      </c>
      <c r="K10" s="35">
        <v>0</v>
      </c>
      <c r="L10" s="35">
        <v>635952</v>
      </c>
      <c r="M10" s="35">
        <v>0</v>
      </c>
      <c r="N10" s="5">
        <f t="shared" si="0"/>
        <v>15966817</v>
      </c>
      <c r="O10" s="5">
        <f t="shared" si="1"/>
        <v>1330568.0833333333</v>
      </c>
      <c r="P10" s="5">
        <f t="shared" si="2"/>
        <v>1781062.5</v>
      </c>
    </row>
    <row r="11" spans="1:16" x14ac:dyDescent="0.7">
      <c r="A11" s="35" t="s">
        <v>82</v>
      </c>
      <c r="B11" s="35" t="s">
        <v>83</v>
      </c>
      <c r="C11" s="35" t="s">
        <v>71</v>
      </c>
      <c r="D11" s="35">
        <v>1100000</v>
      </c>
      <c r="E11" s="35">
        <v>0</v>
      </c>
      <c r="F11" s="35">
        <v>0</v>
      </c>
      <c r="G11" s="35">
        <v>200000</v>
      </c>
      <c r="H11" s="35">
        <v>11893590</v>
      </c>
      <c r="I11" s="35">
        <v>0</v>
      </c>
      <c r="J11" s="35">
        <v>0</v>
      </c>
      <c r="K11" s="35">
        <v>0</v>
      </c>
      <c r="L11" s="35">
        <v>635952</v>
      </c>
      <c r="M11" s="35">
        <v>0</v>
      </c>
      <c r="N11" s="5">
        <f t="shared" si="0"/>
        <v>13829542</v>
      </c>
      <c r="O11" s="5">
        <f t="shared" si="1"/>
        <v>1152461.8333333333</v>
      </c>
      <c r="P11" s="5">
        <f t="shared" si="2"/>
        <v>1781062.5</v>
      </c>
    </row>
    <row r="12" spans="1:16" x14ac:dyDescent="0.7">
      <c r="A12" s="35" t="s">
        <v>84</v>
      </c>
      <c r="B12" s="35" t="s">
        <v>85</v>
      </c>
      <c r="C12" s="35" t="s">
        <v>71</v>
      </c>
      <c r="D12" s="35">
        <v>1100000</v>
      </c>
      <c r="E12" s="35">
        <v>0</v>
      </c>
      <c r="F12" s="35">
        <v>0</v>
      </c>
      <c r="G12" s="35">
        <v>200000</v>
      </c>
      <c r="H12" s="35">
        <v>10725600</v>
      </c>
      <c r="I12" s="35">
        <v>0</v>
      </c>
      <c r="J12" s="35">
        <v>0</v>
      </c>
      <c r="K12" s="35">
        <v>1051200</v>
      </c>
      <c r="L12" s="35">
        <v>617952</v>
      </c>
      <c r="M12" s="35">
        <v>0</v>
      </c>
      <c r="N12" s="5">
        <f t="shared" si="0"/>
        <v>13694752</v>
      </c>
      <c r="O12" s="5">
        <f t="shared" si="1"/>
        <v>1141229.3333333333</v>
      </c>
      <c r="P12" s="5">
        <f t="shared" si="2"/>
        <v>1781062.5</v>
      </c>
    </row>
    <row r="13" spans="1:16" x14ac:dyDescent="0.7">
      <c r="A13" s="35" t="s">
        <v>86</v>
      </c>
      <c r="B13" s="35" t="s">
        <v>87</v>
      </c>
      <c r="C13" s="35" t="s">
        <v>71</v>
      </c>
      <c r="D13" s="35">
        <v>1100000</v>
      </c>
      <c r="E13" s="35">
        <v>2849700</v>
      </c>
      <c r="F13" s="35">
        <v>0</v>
      </c>
      <c r="G13" s="35">
        <v>200000</v>
      </c>
      <c r="H13" s="35">
        <v>10141620</v>
      </c>
      <c r="I13" s="35">
        <v>0</v>
      </c>
      <c r="J13" s="35">
        <v>0</v>
      </c>
      <c r="K13" s="35">
        <v>0</v>
      </c>
      <c r="L13" s="35">
        <v>611952</v>
      </c>
      <c r="M13" s="35">
        <v>0</v>
      </c>
      <c r="N13" s="5">
        <f t="shared" si="0"/>
        <v>14903272</v>
      </c>
      <c r="O13" s="5">
        <f t="shared" si="1"/>
        <v>1241939.3333333333</v>
      </c>
      <c r="P13" s="5">
        <f t="shared" si="2"/>
        <v>1781062.5</v>
      </c>
    </row>
    <row r="14" spans="1:16" x14ac:dyDescent="0.7">
      <c r="A14" s="35" t="s">
        <v>88</v>
      </c>
      <c r="B14" s="35" t="s">
        <v>89</v>
      </c>
      <c r="C14" s="35" t="s">
        <v>71</v>
      </c>
      <c r="D14" s="35">
        <v>1100000</v>
      </c>
      <c r="E14" s="35">
        <v>712425</v>
      </c>
      <c r="F14" s="35">
        <v>0</v>
      </c>
      <c r="G14" s="35">
        <v>200000</v>
      </c>
      <c r="H14" s="35">
        <v>8000250</v>
      </c>
      <c r="I14" s="35">
        <v>291990</v>
      </c>
      <c r="J14" s="35">
        <v>0</v>
      </c>
      <c r="K14" s="35">
        <v>0</v>
      </c>
      <c r="L14" s="35">
        <v>581952</v>
      </c>
      <c r="M14" s="35">
        <v>420358</v>
      </c>
      <c r="N14" s="5">
        <f t="shared" si="0"/>
        <v>11306975</v>
      </c>
      <c r="O14" s="5">
        <f t="shared" si="1"/>
        <v>942247.91666666663</v>
      </c>
      <c r="P14" s="5">
        <f t="shared" si="2"/>
        <v>1781062.5</v>
      </c>
    </row>
    <row r="15" spans="1:16" x14ac:dyDescent="0.7">
      <c r="A15" s="35" t="s">
        <v>90</v>
      </c>
      <c r="B15" s="35" t="s">
        <v>91</v>
      </c>
      <c r="C15" s="35" t="s">
        <v>71</v>
      </c>
      <c r="D15" s="35">
        <v>1100000</v>
      </c>
      <c r="E15" s="35">
        <v>0</v>
      </c>
      <c r="F15" s="35">
        <v>0</v>
      </c>
      <c r="G15" s="35">
        <v>200000</v>
      </c>
      <c r="H15" s="35">
        <v>8778930</v>
      </c>
      <c r="I15" s="35">
        <v>389340</v>
      </c>
      <c r="J15" s="35">
        <v>0</v>
      </c>
      <c r="K15" s="35">
        <v>0</v>
      </c>
      <c r="L15" s="35">
        <v>593952</v>
      </c>
      <c r="M15" s="35">
        <v>0</v>
      </c>
      <c r="N15" s="5">
        <f t="shared" si="0"/>
        <v>11062222</v>
      </c>
      <c r="O15" s="5">
        <f t="shared" si="1"/>
        <v>921851.83333333337</v>
      </c>
      <c r="P15" s="5">
        <f t="shared" si="2"/>
        <v>1781062.5</v>
      </c>
    </row>
    <row r="16" spans="1:16" x14ac:dyDescent="0.7">
      <c r="A16" s="35" t="s">
        <v>92</v>
      </c>
      <c r="B16" s="35" t="s">
        <v>93</v>
      </c>
      <c r="C16" s="35" t="s">
        <v>71</v>
      </c>
      <c r="D16" s="35">
        <v>1100000</v>
      </c>
      <c r="E16" s="35">
        <v>712425</v>
      </c>
      <c r="F16" s="35">
        <v>0</v>
      </c>
      <c r="G16" s="35">
        <v>200000</v>
      </c>
      <c r="H16" s="35">
        <v>9168270</v>
      </c>
      <c r="I16" s="35">
        <v>0</v>
      </c>
      <c r="J16" s="35">
        <v>0</v>
      </c>
      <c r="K16" s="35">
        <v>0</v>
      </c>
      <c r="L16" s="35">
        <v>599952</v>
      </c>
      <c r="M16" s="35">
        <v>0</v>
      </c>
      <c r="N16" s="5">
        <f t="shared" si="0"/>
        <v>11780647</v>
      </c>
      <c r="O16" s="5">
        <f t="shared" si="1"/>
        <v>981720.58333333337</v>
      </c>
      <c r="P16" s="5">
        <f t="shared" si="2"/>
        <v>1781062.5</v>
      </c>
    </row>
    <row r="17" spans="1:16" x14ac:dyDescent="0.7">
      <c r="A17" s="35" t="s">
        <v>94</v>
      </c>
      <c r="B17" s="35" t="s">
        <v>95</v>
      </c>
      <c r="C17" s="35" t="s">
        <v>71</v>
      </c>
      <c r="D17" s="35">
        <v>1100000</v>
      </c>
      <c r="E17" s="35">
        <v>1424850</v>
      </c>
      <c r="F17" s="35">
        <v>0</v>
      </c>
      <c r="G17" s="35">
        <v>200000</v>
      </c>
      <c r="H17" s="35">
        <v>8778930</v>
      </c>
      <c r="I17" s="35">
        <v>0</v>
      </c>
      <c r="J17" s="35">
        <v>0</v>
      </c>
      <c r="K17" s="35">
        <v>0</v>
      </c>
      <c r="L17" s="35">
        <v>593952</v>
      </c>
      <c r="M17" s="35">
        <v>243008</v>
      </c>
      <c r="N17" s="5">
        <f t="shared" si="0"/>
        <v>12340740</v>
      </c>
      <c r="O17" s="5">
        <f t="shared" si="1"/>
        <v>1028395</v>
      </c>
      <c r="P17" s="5">
        <f t="shared" si="2"/>
        <v>1781062.5</v>
      </c>
    </row>
    <row r="18" spans="1:16" x14ac:dyDescent="0.7">
      <c r="A18" s="35" t="s">
        <v>96</v>
      </c>
      <c r="B18" s="35" t="s">
        <v>97</v>
      </c>
      <c r="C18" s="35" t="s">
        <v>71</v>
      </c>
      <c r="D18" s="35">
        <v>1100000</v>
      </c>
      <c r="E18" s="35">
        <v>2849700</v>
      </c>
      <c r="F18" s="35">
        <v>0</v>
      </c>
      <c r="G18" s="35">
        <v>200000</v>
      </c>
      <c r="H18" s="35">
        <v>10141620</v>
      </c>
      <c r="I18" s="35">
        <v>0</v>
      </c>
      <c r="J18" s="35">
        <v>0</v>
      </c>
      <c r="K18" s="35">
        <v>0</v>
      </c>
      <c r="L18" s="35">
        <v>611952</v>
      </c>
      <c r="M18" s="35">
        <v>0</v>
      </c>
      <c r="N18" s="5">
        <f t="shared" si="0"/>
        <v>14903272</v>
      </c>
      <c r="O18" s="5">
        <f t="shared" si="1"/>
        <v>1241939.3333333333</v>
      </c>
      <c r="P18" s="5">
        <f t="shared" si="2"/>
        <v>1781062.5</v>
      </c>
    </row>
    <row r="19" spans="1:16" x14ac:dyDescent="0.7">
      <c r="A19" s="35" t="s">
        <v>98</v>
      </c>
      <c r="B19" s="35" t="s">
        <v>99</v>
      </c>
      <c r="C19" s="35" t="s">
        <v>71</v>
      </c>
      <c r="D19" s="35">
        <v>1100000</v>
      </c>
      <c r="E19" s="35">
        <v>0</v>
      </c>
      <c r="F19" s="35">
        <v>0</v>
      </c>
      <c r="G19" s="35">
        <v>200000</v>
      </c>
      <c r="H19" s="35">
        <v>10141620</v>
      </c>
      <c r="I19" s="35">
        <v>0</v>
      </c>
      <c r="J19" s="35">
        <v>0</v>
      </c>
      <c r="K19" s="35">
        <v>0</v>
      </c>
      <c r="L19" s="35">
        <v>611952</v>
      </c>
      <c r="M19" s="35">
        <v>0</v>
      </c>
      <c r="N19" s="5">
        <f t="shared" si="0"/>
        <v>12053572</v>
      </c>
      <c r="O19" s="5">
        <f t="shared" si="1"/>
        <v>1004464.3333333334</v>
      </c>
      <c r="P19" s="5">
        <f t="shared" si="2"/>
        <v>1781062.5</v>
      </c>
    </row>
    <row r="20" spans="1:16" x14ac:dyDescent="0.7">
      <c r="A20" s="35" t="s">
        <v>100</v>
      </c>
      <c r="B20" s="35" t="s">
        <v>101</v>
      </c>
      <c r="C20" s="35" t="s">
        <v>71</v>
      </c>
      <c r="D20" s="35">
        <v>1100000</v>
      </c>
      <c r="E20" s="35">
        <v>1424850</v>
      </c>
      <c r="F20" s="35">
        <v>0</v>
      </c>
      <c r="G20" s="35">
        <v>200000</v>
      </c>
      <c r="H20" s="35">
        <v>8000250</v>
      </c>
      <c r="I20" s="35">
        <v>291990</v>
      </c>
      <c r="J20" s="35">
        <v>0</v>
      </c>
      <c r="K20" s="35">
        <v>0</v>
      </c>
      <c r="L20" s="35">
        <v>581952</v>
      </c>
      <c r="M20" s="35">
        <v>194529</v>
      </c>
      <c r="N20" s="5">
        <f t="shared" si="0"/>
        <v>11793571</v>
      </c>
      <c r="O20" s="5">
        <f t="shared" si="1"/>
        <v>982797.58333333337</v>
      </c>
      <c r="P20" s="5">
        <f t="shared" si="2"/>
        <v>1781062.5</v>
      </c>
    </row>
    <row r="21" spans="1:16" x14ac:dyDescent="0.7">
      <c r="A21" s="35" t="s">
        <v>102</v>
      </c>
      <c r="B21" s="35" t="s">
        <v>103</v>
      </c>
      <c r="C21" s="35" t="s">
        <v>71</v>
      </c>
      <c r="D21" s="35">
        <v>1100000</v>
      </c>
      <c r="E21" s="35">
        <v>1424850</v>
      </c>
      <c r="F21" s="35">
        <v>0</v>
      </c>
      <c r="G21" s="35">
        <v>200000</v>
      </c>
      <c r="H21" s="35">
        <v>8000250</v>
      </c>
      <c r="I21" s="35">
        <v>0</v>
      </c>
      <c r="J21" s="35">
        <v>0</v>
      </c>
      <c r="K21" s="35">
        <v>0</v>
      </c>
      <c r="L21" s="35">
        <v>581952</v>
      </c>
      <c r="M21" s="35">
        <v>724813</v>
      </c>
      <c r="N21" s="5">
        <f t="shared" si="0"/>
        <v>12031865</v>
      </c>
      <c r="O21" s="5">
        <f t="shared" si="1"/>
        <v>1002655.4166666666</v>
      </c>
      <c r="P21" s="5">
        <f t="shared" si="2"/>
        <v>1781062.5</v>
      </c>
    </row>
    <row r="22" spans="1:16" x14ac:dyDescent="0.7">
      <c r="A22" s="35" t="s">
        <v>104</v>
      </c>
      <c r="B22" s="35" t="s">
        <v>105</v>
      </c>
      <c r="C22" s="35" t="s">
        <v>71</v>
      </c>
      <c r="D22" s="35">
        <v>1100000</v>
      </c>
      <c r="E22" s="35">
        <v>2137275</v>
      </c>
      <c r="F22" s="35">
        <v>0</v>
      </c>
      <c r="G22" s="35">
        <v>200000</v>
      </c>
      <c r="H22" s="35">
        <v>9168270</v>
      </c>
      <c r="I22" s="35">
        <v>0</v>
      </c>
      <c r="J22" s="35">
        <v>0</v>
      </c>
      <c r="K22" s="35">
        <v>0</v>
      </c>
      <c r="L22" s="35">
        <v>599952</v>
      </c>
      <c r="M22" s="35">
        <v>0</v>
      </c>
      <c r="N22" s="5">
        <f t="shared" si="0"/>
        <v>13205497</v>
      </c>
      <c r="O22" s="5">
        <f t="shared" si="1"/>
        <v>1100458.0833333333</v>
      </c>
      <c r="P22" s="5">
        <f t="shared" si="2"/>
        <v>1781062.5</v>
      </c>
    </row>
    <row r="23" spans="1:16" x14ac:dyDescent="0.7">
      <c r="A23" s="35" t="s">
        <v>106</v>
      </c>
      <c r="B23" s="35" t="s">
        <v>107</v>
      </c>
      <c r="C23" s="35" t="s">
        <v>71</v>
      </c>
      <c r="D23" s="35">
        <v>1100000</v>
      </c>
      <c r="E23" s="35">
        <v>2137275</v>
      </c>
      <c r="F23" s="35">
        <v>0</v>
      </c>
      <c r="G23" s="35">
        <v>200000</v>
      </c>
      <c r="H23" s="35">
        <v>10725600</v>
      </c>
      <c r="I23" s="35">
        <v>0</v>
      </c>
      <c r="J23" s="35">
        <v>0</v>
      </c>
      <c r="K23" s="35">
        <v>0</v>
      </c>
      <c r="L23" s="35">
        <v>605952</v>
      </c>
      <c r="M23" s="35">
        <v>0</v>
      </c>
      <c r="N23" s="5">
        <f t="shared" si="0"/>
        <v>14768827</v>
      </c>
      <c r="O23" s="5">
        <f t="shared" si="1"/>
        <v>1230735.5833333333</v>
      </c>
      <c r="P23" s="5">
        <f t="shared" si="2"/>
        <v>1781062.5</v>
      </c>
    </row>
    <row r="24" spans="1:16" x14ac:dyDescent="0.7">
      <c r="A24" s="35" t="s">
        <v>108</v>
      </c>
      <c r="B24" s="35" t="s">
        <v>109</v>
      </c>
      <c r="C24" s="35" t="s">
        <v>71</v>
      </c>
      <c r="D24" s="35">
        <v>1100000</v>
      </c>
      <c r="E24" s="35">
        <v>1424850</v>
      </c>
      <c r="F24" s="35">
        <v>0</v>
      </c>
      <c r="G24" s="35">
        <v>200000</v>
      </c>
      <c r="H24" s="35">
        <v>9168270</v>
      </c>
      <c r="I24" s="35">
        <v>0</v>
      </c>
      <c r="J24" s="35">
        <v>0</v>
      </c>
      <c r="K24" s="35">
        <v>0</v>
      </c>
      <c r="L24" s="35">
        <v>599952</v>
      </c>
      <c r="M24" s="35">
        <v>0</v>
      </c>
      <c r="N24" s="5">
        <f t="shared" si="0"/>
        <v>12493072</v>
      </c>
      <c r="O24" s="5">
        <f t="shared" si="1"/>
        <v>1041089.3333333334</v>
      </c>
      <c r="P24" s="5">
        <f t="shared" si="2"/>
        <v>1781062.5</v>
      </c>
    </row>
    <row r="25" spans="1:16" x14ac:dyDescent="0.7">
      <c r="A25" s="35" t="s">
        <v>110</v>
      </c>
      <c r="B25" s="35" t="s">
        <v>111</v>
      </c>
      <c r="C25" s="35" t="s">
        <v>71</v>
      </c>
      <c r="D25" s="35">
        <v>1100000</v>
      </c>
      <c r="E25" s="35">
        <v>712425</v>
      </c>
      <c r="F25" s="35">
        <v>0</v>
      </c>
      <c r="G25" s="35">
        <v>200000</v>
      </c>
      <c r="H25" s="35">
        <v>11893590</v>
      </c>
      <c r="I25" s="35">
        <v>0</v>
      </c>
      <c r="J25" s="35">
        <v>0</v>
      </c>
      <c r="K25" s="35">
        <v>0</v>
      </c>
      <c r="L25" s="35">
        <v>635952</v>
      </c>
      <c r="M25" s="35">
        <v>0</v>
      </c>
      <c r="N25" s="5">
        <f t="shared" si="0"/>
        <v>14541967</v>
      </c>
      <c r="O25" s="5">
        <f t="shared" si="1"/>
        <v>1211830.5833333333</v>
      </c>
      <c r="P25" s="5">
        <f t="shared" si="2"/>
        <v>1781062.5</v>
      </c>
    </row>
    <row r="26" spans="1:16" x14ac:dyDescent="0.7">
      <c r="A26" s="35" t="s">
        <v>112</v>
      </c>
      <c r="B26" s="35" t="s">
        <v>113</v>
      </c>
      <c r="C26" s="35" t="s">
        <v>71</v>
      </c>
      <c r="D26" s="35">
        <v>1100000</v>
      </c>
      <c r="E26" s="35">
        <v>2137275</v>
      </c>
      <c r="F26" s="35">
        <v>0</v>
      </c>
      <c r="G26" s="35">
        <v>200000</v>
      </c>
      <c r="H26" s="35">
        <v>9654930</v>
      </c>
      <c r="I26" s="35">
        <v>0</v>
      </c>
      <c r="J26" s="35">
        <v>0</v>
      </c>
      <c r="K26" s="35">
        <v>0</v>
      </c>
      <c r="L26" s="35">
        <v>605952</v>
      </c>
      <c r="M26" s="35">
        <v>0</v>
      </c>
      <c r="N26" s="5">
        <f t="shared" si="0"/>
        <v>13698157</v>
      </c>
      <c r="O26" s="5">
        <f t="shared" si="1"/>
        <v>1141513.0833333333</v>
      </c>
      <c r="P26" s="5">
        <f t="shared" si="2"/>
        <v>1781062.5</v>
      </c>
    </row>
    <row r="27" spans="1:16" x14ac:dyDescent="0.7">
      <c r="A27" s="35" t="s">
        <v>114</v>
      </c>
      <c r="B27" s="35" t="s">
        <v>115</v>
      </c>
      <c r="C27" s="35" t="s">
        <v>71</v>
      </c>
      <c r="D27" s="35">
        <v>1100000</v>
      </c>
      <c r="E27" s="35">
        <v>712425</v>
      </c>
      <c r="F27" s="35">
        <v>0</v>
      </c>
      <c r="G27" s="35">
        <v>200000</v>
      </c>
      <c r="H27" s="35">
        <v>9168270</v>
      </c>
      <c r="I27" s="35">
        <v>0</v>
      </c>
      <c r="J27" s="35">
        <v>0</v>
      </c>
      <c r="K27" s="35">
        <v>0</v>
      </c>
      <c r="L27" s="35">
        <v>599952</v>
      </c>
      <c r="M27" s="35">
        <v>0</v>
      </c>
      <c r="N27" s="5">
        <f t="shared" si="0"/>
        <v>11780647</v>
      </c>
      <c r="O27" s="5">
        <f t="shared" si="1"/>
        <v>981720.58333333337</v>
      </c>
      <c r="P27" s="5">
        <f t="shared" si="2"/>
        <v>1781062.5</v>
      </c>
    </row>
    <row r="28" spans="1:16" x14ac:dyDescent="0.7">
      <c r="A28" s="35" t="s">
        <v>116</v>
      </c>
      <c r="B28" s="35" t="s">
        <v>117</v>
      </c>
      <c r="C28" s="35" t="s">
        <v>71</v>
      </c>
      <c r="D28" s="35">
        <v>1100000</v>
      </c>
      <c r="E28" s="35">
        <v>712425</v>
      </c>
      <c r="F28" s="35">
        <v>0</v>
      </c>
      <c r="G28" s="35">
        <v>200000</v>
      </c>
      <c r="H28" s="35">
        <v>8778930</v>
      </c>
      <c r="I28" s="35">
        <v>0</v>
      </c>
      <c r="J28" s="35">
        <v>0</v>
      </c>
      <c r="K28" s="35">
        <v>0</v>
      </c>
      <c r="L28" s="35">
        <v>593952</v>
      </c>
      <c r="M28" s="35">
        <v>46155</v>
      </c>
      <c r="N28" s="5">
        <f t="shared" si="0"/>
        <v>11431462</v>
      </c>
      <c r="O28" s="5">
        <f t="shared" si="1"/>
        <v>952621.83333333337</v>
      </c>
      <c r="P28" s="5">
        <f t="shared" si="2"/>
        <v>1781062.5</v>
      </c>
    </row>
    <row r="29" spans="1:16" x14ac:dyDescent="0.7">
      <c r="A29" s="35" t="s">
        <v>118</v>
      </c>
      <c r="B29" s="35" t="s">
        <v>119</v>
      </c>
      <c r="C29" s="35" t="s">
        <v>71</v>
      </c>
      <c r="D29" s="35">
        <v>1100000</v>
      </c>
      <c r="E29" s="35">
        <v>1424850</v>
      </c>
      <c r="F29" s="35">
        <v>0</v>
      </c>
      <c r="G29" s="35">
        <v>200000</v>
      </c>
      <c r="H29" s="35">
        <v>8778930</v>
      </c>
      <c r="I29" s="35">
        <v>389340</v>
      </c>
      <c r="J29" s="35">
        <v>0</v>
      </c>
      <c r="K29" s="35">
        <v>0</v>
      </c>
      <c r="L29" s="35">
        <v>593952</v>
      </c>
      <c r="M29" s="35">
        <v>0</v>
      </c>
      <c r="N29" s="5">
        <f t="shared" si="0"/>
        <v>12487072</v>
      </c>
      <c r="O29" s="5">
        <f t="shared" si="1"/>
        <v>1040589.3333333334</v>
      </c>
      <c r="P29" s="5">
        <f t="shared" si="2"/>
        <v>1781062.5</v>
      </c>
    </row>
    <row r="30" spans="1:16" x14ac:dyDescent="0.7">
      <c r="A30" s="35" t="s">
        <v>120</v>
      </c>
      <c r="B30" s="35" t="s">
        <v>121</v>
      </c>
      <c r="C30" s="35" t="s">
        <v>71</v>
      </c>
      <c r="D30" s="35">
        <v>1100000</v>
      </c>
      <c r="E30" s="35">
        <v>2849700</v>
      </c>
      <c r="F30" s="35">
        <v>0</v>
      </c>
      <c r="G30" s="35">
        <v>200000</v>
      </c>
      <c r="H30" s="35">
        <v>10141620</v>
      </c>
      <c r="I30" s="35">
        <v>0</v>
      </c>
      <c r="J30" s="35">
        <v>0</v>
      </c>
      <c r="K30" s="35">
        <v>0</v>
      </c>
      <c r="L30" s="35">
        <v>611952</v>
      </c>
      <c r="M30" s="35">
        <v>0</v>
      </c>
      <c r="N30" s="5">
        <f t="shared" si="0"/>
        <v>14903272</v>
      </c>
      <c r="O30" s="5">
        <f t="shared" si="1"/>
        <v>1241939.3333333333</v>
      </c>
      <c r="P30" s="5">
        <f t="shared" si="2"/>
        <v>1781062.5</v>
      </c>
    </row>
    <row r="31" spans="1:16" x14ac:dyDescent="0.7">
      <c r="A31" s="35" t="s">
        <v>122</v>
      </c>
      <c r="B31" s="35" t="s">
        <v>123</v>
      </c>
      <c r="C31" s="35" t="s">
        <v>71</v>
      </c>
      <c r="D31" s="35">
        <v>1100000</v>
      </c>
      <c r="E31" s="35">
        <v>1424850</v>
      </c>
      <c r="F31" s="35">
        <v>0</v>
      </c>
      <c r="G31" s="35">
        <v>200000</v>
      </c>
      <c r="H31" s="35">
        <v>9168270</v>
      </c>
      <c r="I31" s="35">
        <v>0</v>
      </c>
      <c r="J31" s="35">
        <v>0</v>
      </c>
      <c r="K31" s="35">
        <v>0</v>
      </c>
      <c r="L31" s="35">
        <v>599952</v>
      </c>
      <c r="M31" s="35">
        <v>0</v>
      </c>
      <c r="N31" s="5">
        <f t="shared" si="0"/>
        <v>12493072</v>
      </c>
      <c r="O31" s="5">
        <f t="shared" si="1"/>
        <v>1041089.3333333334</v>
      </c>
      <c r="P31" s="5">
        <f t="shared" si="2"/>
        <v>1781062.5</v>
      </c>
    </row>
    <row r="32" spans="1:16" x14ac:dyDescent="0.7">
      <c r="A32" s="35" t="s">
        <v>124</v>
      </c>
      <c r="B32" s="35" t="s">
        <v>125</v>
      </c>
      <c r="C32" s="35" t="s">
        <v>71</v>
      </c>
      <c r="D32" s="35">
        <v>1100000</v>
      </c>
      <c r="E32" s="35">
        <v>1424850</v>
      </c>
      <c r="F32" s="35">
        <v>0</v>
      </c>
      <c r="G32" s="35">
        <v>200000</v>
      </c>
      <c r="H32" s="35">
        <v>9168270</v>
      </c>
      <c r="I32" s="35">
        <v>0</v>
      </c>
      <c r="J32" s="35">
        <v>0</v>
      </c>
      <c r="K32" s="35">
        <v>0</v>
      </c>
      <c r="L32" s="35">
        <v>585315</v>
      </c>
      <c r="M32" s="35">
        <v>0</v>
      </c>
      <c r="N32" s="5">
        <f t="shared" si="0"/>
        <v>12478435</v>
      </c>
      <c r="O32" s="5">
        <f t="shared" si="1"/>
        <v>1039869.5833333334</v>
      </c>
      <c r="P32" s="5">
        <f t="shared" si="2"/>
        <v>1781062.5</v>
      </c>
    </row>
    <row r="33" spans="1:16" x14ac:dyDescent="0.7">
      <c r="A33" s="35" t="s">
        <v>126</v>
      </c>
      <c r="B33" s="35" t="s">
        <v>127</v>
      </c>
      <c r="C33" s="35" t="s">
        <v>71</v>
      </c>
      <c r="D33" s="35">
        <v>1100000</v>
      </c>
      <c r="E33" s="35">
        <v>1424850</v>
      </c>
      <c r="F33" s="35">
        <v>0</v>
      </c>
      <c r="G33" s="35">
        <v>200000</v>
      </c>
      <c r="H33" s="35">
        <v>10725600</v>
      </c>
      <c r="I33" s="35">
        <v>0</v>
      </c>
      <c r="J33" s="35">
        <v>0</v>
      </c>
      <c r="K33" s="35">
        <v>0</v>
      </c>
      <c r="L33" s="35">
        <v>617952</v>
      </c>
      <c r="M33" s="35">
        <v>0</v>
      </c>
      <c r="N33" s="5">
        <f t="shared" si="0"/>
        <v>14068402</v>
      </c>
      <c r="O33" s="5">
        <f t="shared" si="1"/>
        <v>1172366.8333333333</v>
      </c>
      <c r="P33" s="5">
        <f t="shared" si="2"/>
        <v>1781062.5</v>
      </c>
    </row>
    <row r="34" spans="1:16" x14ac:dyDescent="0.7">
      <c r="A34" s="35" t="s">
        <v>128</v>
      </c>
      <c r="B34" s="35" t="s">
        <v>129</v>
      </c>
      <c r="C34" s="35" t="s">
        <v>71</v>
      </c>
      <c r="D34" s="35">
        <v>1100000</v>
      </c>
      <c r="E34" s="35">
        <v>1424850</v>
      </c>
      <c r="F34" s="35">
        <v>0</v>
      </c>
      <c r="G34" s="35">
        <v>200000</v>
      </c>
      <c r="H34" s="35">
        <v>10725600</v>
      </c>
      <c r="I34" s="35">
        <v>0</v>
      </c>
      <c r="J34" s="35">
        <v>0</v>
      </c>
      <c r="K34" s="35">
        <v>0</v>
      </c>
      <c r="L34" s="35">
        <v>617952</v>
      </c>
      <c r="M34" s="35">
        <v>0</v>
      </c>
      <c r="N34" s="5">
        <f t="shared" si="0"/>
        <v>14068402</v>
      </c>
      <c r="O34" s="5">
        <f t="shared" si="1"/>
        <v>1172366.8333333333</v>
      </c>
      <c r="P34" s="5">
        <f t="shared" si="2"/>
        <v>1781062.5</v>
      </c>
    </row>
    <row r="35" spans="1:16" x14ac:dyDescent="0.7">
      <c r="A35" s="35" t="s">
        <v>130</v>
      </c>
      <c r="B35" s="35" t="s">
        <v>131</v>
      </c>
      <c r="C35" s="35" t="s">
        <v>71</v>
      </c>
      <c r="D35" s="35">
        <v>1100000</v>
      </c>
      <c r="E35" s="35">
        <v>712425</v>
      </c>
      <c r="F35" s="35">
        <v>0</v>
      </c>
      <c r="G35" s="35">
        <v>200000</v>
      </c>
      <c r="H35" s="35">
        <v>8778930</v>
      </c>
      <c r="I35" s="35">
        <v>0</v>
      </c>
      <c r="J35" s="35">
        <v>0</v>
      </c>
      <c r="K35" s="35">
        <v>0</v>
      </c>
      <c r="L35" s="35">
        <v>593952</v>
      </c>
      <c r="M35" s="35">
        <v>16448</v>
      </c>
      <c r="N35" s="5">
        <f t="shared" si="0"/>
        <v>11401755</v>
      </c>
      <c r="O35" s="5">
        <f t="shared" si="1"/>
        <v>950146.25</v>
      </c>
      <c r="P35" s="5">
        <f t="shared" si="2"/>
        <v>1781062.5</v>
      </c>
    </row>
    <row r="36" spans="1:16" s="36" customFormat="1" ht="24" x14ac:dyDescent="0.6">
      <c r="D36" s="36">
        <f>SUM(D5:D35)</f>
        <v>34100000</v>
      </c>
      <c r="E36" s="36">
        <f t="shared" ref="E36:L36" si="3">SUM(E5:E35)</f>
        <v>43457925</v>
      </c>
      <c r="F36" s="36">
        <f t="shared" si="3"/>
        <v>0</v>
      </c>
      <c r="G36" s="36">
        <f t="shared" si="3"/>
        <v>6200000</v>
      </c>
      <c r="H36" s="36">
        <f t="shared" si="3"/>
        <v>299302950</v>
      </c>
      <c r="I36" s="36">
        <f t="shared" si="3"/>
        <v>1362660</v>
      </c>
      <c r="J36" s="36">
        <f t="shared" si="3"/>
        <v>0</v>
      </c>
      <c r="K36" s="36">
        <f t="shared" si="3"/>
        <v>1051200</v>
      </c>
      <c r="L36" s="36">
        <f t="shared" si="3"/>
        <v>18739875</v>
      </c>
      <c r="M36" s="36">
        <f>SUM(M5:M35)</f>
        <v>1807306</v>
      </c>
      <c r="N36" s="36">
        <f t="shared" ref="N36:P36" si="4">SUM(N5:N35)</f>
        <v>406021916</v>
      </c>
      <c r="O36" s="36">
        <f t="shared" si="4"/>
        <v>33835159.666666657</v>
      </c>
      <c r="P36" s="36">
        <f t="shared" si="4"/>
        <v>55171797.833333328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rightToLeft="1" topLeftCell="O1" zoomScale="70" zoomScaleNormal="70" workbookViewId="0">
      <selection activeCell="C2" sqref="C2:C32"/>
    </sheetView>
  </sheetViews>
  <sheetFormatPr defaultRowHeight="14.25" x14ac:dyDescent="0.2"/>
  <cols>
    <col min="1" max="1" width="11" style="1" bestFit="1" customWidth="1"/>
    <col min="2" max="2" width="17" style="1" bestFit="1" customWidth="1"/>
    <col min="3" max="3" width="18.375" style="1" bestFit="1" customWidth="1"/>
    <col min="4" max="4" width="17.75" style="1" bestFit="1" customWidth="1"/>
    <col min="5" max="5" width="14.25" style="1" bestFit="1" customWidth="1"/>
    <col min="6" max="6" width="17.5" style="1" bestFit="1" customWidth="1"/>
    <col min="7" max="7" width="16.125" style="1" bestFit="1" customWidth="1"/>
    <col min="8" max="10" width="17.5" style="1" bestFit="1" customWidth="1"/>
    <col min="11" max="11" width="20.25" style="1" bestFit="1" customWidth="1"/>
    <col min="12" max="12" width="16.125" style="1" bestFit="1" customWidth="1"/>
    <col min="13" max="13" width="18.75" style="1" bestFit="1" customWidth="1"/>
    <col min="14" max="14" width="16.125" style="1" bestFit="1" customWidth="1"/>
    <col min="15" max="15" width="17.5" style="1" bestFit="1" customWidth="1"/>
    <col min="16" max="16" width="16.125" style="1" bestFit="1" customWidth="1"/>
    <col min="17" max="17" width="31.875" style="1" bestFit="1" customWidth="1"/>
    <col min="18" max="18" width="8.75" style="1" bestFit="1" customWidth="1"/>
    <col min="19" max="19" width="16.125" style="1" bestFit="1" customWidth="1"/>
    <col min="20" max="20" width="17.5" style="1" bestFit="1" customWidth="1"/>
    <col min="21" max="21" width="19.875" style="1" bestFit="1" customWidth="1"/>
    <col min="22" max="22" width="31.375" style="1" bestFit="1" customWidth="1"/>
    <col min="23" max="23" width="17.5" style="1" bestFit="1" customWidth="1"/>
    <col min="24" max="24" width="14.25" style="1" bestFit="1" customWidth="1"/>
    <col min="25" max="26" width="18.75" style="1" bestFit="1" customWidth="1"/>
    <col min="27" max="27" width="17.5" style="1" bestFit="1" customWidth="1"/>
    <col min="28" max="28" width="42.75" style="1" bestFit="1" customWidth="1"/>
    <col min="29" max="29" width="40.625" style="1" bestFit="1" customWidth="1"/>
    <col min="30" max="30" width="44.875" style="1" bestFit="1" customWidth="1"/>
    <col min="31" max="31" width="36.25" style="1" bestFit="1" customWidth="1"/>
    <col min="32" max="32" width="44.25" style="1" bestFit="1" customWidth="1"/>
    <col min="33" max="33" width="44.125" style="1" bestFit="1" customWidth="1"/>
    <col min="34" max="34" width="48.375" style="1" bestFit="1" customWidth="1"/>
    <col min="35" max="35" width="39.75" style="1" bestFit="1" customWidth="1"/>
    <col min="36" max="36" width="47.75" style="1" bestFit="1" customWidth="1"/>
    <col min="37" max="37" width="27" style="1" bestFit="1" customWidth="1"/>
    <col min="38" max="38" width="24.875" style="1" bestFit="1" customWidth="1"/>
    <col min="39" max="39" width="29.125" style="1" bestFit="1" customWidth="1"/>
    <col min="40" max="40" width="20.5" style="1" bestFit="1" customWidth="1"/>
    <col min="41" max="41" width="28.5" style="1" bestFit="1" customWidth="1"/>
    <col min="42" max="16384" width="9" style="1"/>
  </cols>
  <sheetData>
    <row r="1" spans="1:4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</row>
    <row r="2" spans="1:41" x14ac:dyDescent="0.2">
      <c r="A2" s="1" t="str">
        <f>"9157041"</f>
        <v>9157041</v>
      </c>
      <c r="B2" s="1" t="str">
        <f>"عيد آسماني"</f>
        <v>عيد آسماني</v>
      </c>
      <c r="C2" s="1" t="str">
        <f t="shared" ref="C2:C32" si="0">"توليد توسعه - دارخوين"</f>
        <v>توليد توسعه - دارخوين</v>
      </c>
      <c r="D2" s="1">
        <v>0</v>
      </c>
      <c r="E2" s="1">
        <v>13640</v>
      </c>
      <c r="F2" s="1">
        <v>0</v>
      </c>
      <c r="G2" s="1">
        <v>200000</v>
      </c>
      <c r="H2" s="1">
        <v>1100000</v>
      </c>
      <c r="I2" s="1">
        <v>1320000</v>
      </c>
      <c r="J2" s="1">
        <v>1090000</v>
      </c>
      <c r="K2" s="1">
        <v>0</v>
      </c>
      <c r="L2" s="1">
        <v>167395</v>
      </c>
      <c r="M2" s="1">
        <v>8669243</v>
      </c>
      <c r="N2" s="1">
        <v>0</v>
      </c>
      <c r="O2" s="1">
        <v>607550</v>
      </c>
      <c r="P2" s="1">
        <v>0</v>
      </c>
      <c r="Q2" s="1">
        <v>752093</v>
      </c>
      <c r="R2" s="1">
        <v>0</v>
      </c>
      <c r="S2" s="1">
        <v>0</v>
      </c>
      <c r="T2" s="1">
        <v>0</v>
      </c>
      <c r="U2" s="1">
        <v>650000</v>
      </c>
      <c r="V2" s="1">
        <v>2148838</v>
      </c>
      <c r="W2" s="1">
        <v>322326</v>
      </c>
      <c r="X2" s="1">
        <v>13640</v>
      </c>
      <c r="Y2" s="1">
        <v>11752095</v>
      </c>
      <c r="Z2" s="1">
        <v>13154188</v>
      </c>
      <c r="AA2" s="1">
        <v>1402093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52800000</v>
      </c>
      <c r="AH2" s="1">
        <v>7200000</v>
      </c>
      <c r="AI2" s="1">
        <v>60000000</v>
      </c>
      <c r="AJ2" s="1">
        <v>60000000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</row>
    <row r="3" spans="1:41" x14ac:dyDescent="0.2">
      <c r="A3" s="1" t="str">
        <f>"9157042"</f>
        <v>9157042</v>
      </c>
      <c r="B3" s="1" t="str">
        <f>"كاظم آل بالدي"</f>
        <v>كاظم آل بالدي</v>
      </c>
      <c r="C3" s="1" t="str">
        <f t="shared" si="0"/>
        <v>توليد توسعه - دارخوين</v>
      </c>
      <c r="D3" s="1">
        <v>0</v>
      </c>
      <c r="E3" s="1">
        <v>13640</v>
      </c>
      <c r="F3" s="1">
        <v>2849700</v>
      </c>
      <c r="G3" s="1">
        <v>200000</v>
      </c>
      <c r="H3" s="1">
        <v>1100000</v>
      </c>
      <c r="I3" s="1">
        <v>1320000</v>
      </c>
      <c r="J3" s="1">
        <v>1090000</v>
      </c>
      <c r="K3" s="1">
        <v>0</v>
      </c>
      <c r="L3" s="1">
        <v>0</v>
      </c>
      <c r="M3" s="1">
        <v>10479674</v>
      </c>
      <c r="N3" s="1">
        <v>0</v>
      </c>
      <c r="O3" s="1">
        <v>632350</v>
      </c>
      <c r="P3" s="1">
        <v>0</v>
      </c>
      <c r="Q3" s="1">
        <v>868842</v>
      </c>
      <c r="R3" s="1">
        <v>0</v>
      </c>
      <c r="S3" s="1">
        <v>195674</v>
      </c>
      <c r="T3" s="1">
        <v>1388888</v>
      </c>
      <c r="U3" s="1">
        <v>650000</v>
      </c>
      <c r="V3" s="1">
        <v>2482405</v>
      </c>
      <c r="W3" s="1">
        <v>372361</v>
      </c>
      <c r="X3" s="1">
        <v>13640</v>
      </c>
      <c r="Y3" s="1">
        <v>14568320</v>
      </c>
      <c r="Z3" s="1">
        <v>17671724</v>
      </c>
      <c r="AA3" s="1">
        <v>3103404</v>
      </c>
      <c r="AB3" s="1">
        <v>1388888</v>
      </c>
      <c r="AC3" s="1">
        <v>38888864</v>
      </c>
      <c r="AD3" s="1">
        <v>11111136</v>
      </c>
      <c r="AE3" s="1">
        <v>50000000</v>
      </c>
      <c r="AF3" s="1">
        <v>50000000</v>
      </c>
      <c r="AG3" s="1">
        <v>52800000</v>
      </c>
      <c r="AH3" s="1">
        <v>7200000</v>
      </c>
      <c r="AI3" s="1">
        <v>60000000</v>
      </c>
      <c r="AJ3" s="1">
        <v>60000000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</row>
    <row r="4" spans="1:41" x14ac:dyDescent="0.2">
      <c r="A4" s="1" t="str">
        <f>"9157043"</f>
        <v>9157043</v>
      </c>
      <c r="B4" s="1" t="str">
        <f>"عبداله البوبالد"</f>
        <v>عبداله البوبالد</v>
      </c>
      <c r="C4" s="1" t="str">
        <f t="shared" si="0"/>
        <v>توليد توسعه - دارخوين</v>
      </c>
      <c r="D4" s="1">
        <v>0</v>
      </c>
      <c r="E4" s="1">
        <v>13640</v>
      </c>
      <c r="F4" s="1">
        <v>1424850</v>
      </c>
      <c r="G4" s="1">
        <v>200000</v>
      </c>
      <c r="H4" s="1">
        <v>1100000</v>
      </c>
      <c r="I4" s="1">
        <v>1320000</v>
      </c>
      <c r="J4" s="1">
        <v>1090000</v>
      </c>
      <c r="K4" s="1">
        <v>0</v>
      </c>
      <c r="L4" s="1">
        <v>0</v>
      </c>
      <c r="M4" s="1">
        <v>11083120</v>
      </c>
      <c r="N4" s="1">
        <v>0</v>
      </c>
      <c r="O4" s="1">
        <v>638550</v>
      </c>
      <c r="P4" s="1">
        <v>0</v>
      </c>
      <c r="Q4" s="1">
        <v>911517</v>
      </c>
      <c r="R4" s="1">
        <v>0</v>
      </c>
      <c r="S4" s="1">
        <v>154305</v>
      </c>
      <c r="T4" s="1">
        <v>1388888</v>
      </c>
      <c r="U4" s="1">
        <v>650000</v>
      </c>
      <c r="V4" s="1">
        <v>2604334</v>
      </c>
      <c r="W4" s="1">
        <v>390650</v>
      </c>
      <c r="X4" s="1">
        <v>13640</v>
      </c>
      <c r="Y4" s="1">
        <v>13751810</v>
      </c>
      <c r="Z4" s="1">
        <v>16856520</v>
      </c>
      <c r="AA4" s="1">
        <v>3104710</v>
      </c>
      <c r="AB4" s="1">
        <v>1388888</v>
      </c>
      <c r="AC4" s="1">
        <v>41666640</v>
      </c>
      <c r="AD4" s="1">
        <v>8333360</v>
      </c>
      <c r="AE4" s="1">
        <v>50000000</v>
      </c>
      <c r="AF4" s="1">
        <v>50000000</v>
      </c>
      <c r="AG4" s="1">
        <v>52800000</v>
      </c>
      <c r="AH4" s="1">
        <v>7200000</v>
      </c>
      <c r="AI4" s="1">
        <v>60000000</v>
      </c>
      <c r="AJ4" s="1">
        <v>60000000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</row>
    <row r="5" spans="1:41" x14ac:dyDescent="0.2">
      <c r="A5" s="1" t="str">
        <f>"9157044"</f>
        <v>9157044</v>
      </c>
      <c r="B5" s="1" t="str">
        <f>"سعيد ال بوبالدي"</f>
        <v>سعيد ال بوبالدي</v>
      </c>
      <c r="C5" s="1" t="str">
        <f t="shared" si="0"/>
        <v>توليد توسعه - دارخوين</v>
      </c>
      <c r="D5" s="1">
        <v>0</v>
      </c>
      <c r="E5" s="1">
        <v>13640</v>
      </c>
      <c r="F5" s="1">
        <v>3562125</v>
      </c>
      <c r="G5" s="1">
        <v>200000</v>
      </c>
      <c r="H5" s="1">
        <v>1100000</v>
      </c>
      <c r="I5" s="1">
        <v>1320000</v>
      </c>
      <c r="J5" s="1">
        <v>1090000</v>
      </c>
      <c r="K5" s="1">
        <v>0</v>
      </c>
      <c r="L5" s="1">
        <v>0</v>
      </c>
      <c r="M5" s="1">
        <v>9473879</v>
      </c>
      <c r="N5" s="1">
        <v>0</v>
      </c>
      <c r="O5" s="1">
        <v>619950</v>
      </c>
      <c r="P5" s="1">
        <v>0</v>
      </c>
      <c r="Q5" s="1">
        <v>797568</v>
      </c>
      <c r="R5" s="1">
        <v>0</v>
      </c>
      <c r="S5" s="1">
        <v>181404</v>
      </c>
      <c r="T5" s="1">
        <v>0</v>
      </c>
      <c r="U5" s="1">
        <v>0</v>
      </c>
      <c r="V5" s="1">
        <v>2278766</v>
      </c>
      <c r="W5" s="1">
        <v>341815</v>
      </c>
      <c r="X5" s="1">
        <v>13640</v>
      </c>
      <c r="Y5" s="1">
        <v>16386982</v>
      </c>
      <c r="Z5" s="1">
        <v>17365954</v>
      </c>
      <c r="AA5" s="1">
        <v>978972</v>
      </c>
    </row>
    <row r="6" spans="1:41" x14ac:dyDescent="0.2">
      <c r="A6" s="1" t="str">
        <f>"9157045"</f>
        <v>9157045</v>
      </c>
      <c r="B6" s="1" t="str">
        <f>"شريف آلبوبالدي"</f>
        <v>شريف آلبوبالدي</v>
      </c>
      <c r="C6" s="1" t="str">
        <f t="shared" si="0"/>
        <v>توليد توسعه - دارخوين</v>
      </c>
      <c r="D6" s="1">
        <v>0</v>
      </c>
      <c r="E6" s="1">
        <v>13640</v>
      </c>
      <c r="F6" s="1">
        <v>1424850</v>
      </c>
      <c r="G6" s="1">
        <v>200000</v>
      </c>
      <c r="H6" s="1">
        <v>1100000</v>
      </c>
      <c r="I6" s="1">
        <v>1320000</v>
      </c>
      <c r="J6" s="1">
        <v>1090000</v>
      </c>
      <c r="K6" s="1">
        <v>0</v>
      </c>
      <c r="L6" s="1">
        <v>0</v>
      </c>
      <c r="M6" s="1">
        <v>9473879</v>
      </c>
      <c r="N6" s="1">
        <v>0</v>
      </c>
      <c r="O6" s="1">
        <v>619950</v>
      </c>
      <c r="P6" s="1">
        <v>0</v>
      </c>
      <c r="Q6" s="1">
        <v>797568</v>
      </c>
      <c r="R6" s="1">
        <v>0</v>
      </c>
      <c r="S6" s="1">
        <v>74540</v>
      </c>
      <c r="T6" s="1">
        <v>0</v>
      </c>
      <c r="U6" s="1">
        <v>650000</v>
      </c>
      <c r="V6" s="1">
        <v>2278766</v>
      </c>
      <c r="W6" s="1">
        <v>341815</v>
      </c>
      <c r="X6" s="1">
        <v>13640</v>
      </c>
      <c r="Y6" s="1">
        <v>13706571</v>
      </c>
      <c r="Z6" s="1">
        <v>15228679</v>
      </c>
      <c r="AA6" s="1">
        <v>1522108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58800000</v>
      </c>
      <c r="AH6" s="1">
        <v>1200000</v>
      </c>
      <c r="AI6" s="1">
        <v>60000000</v>
      </c>
      <c r="AJ6" s="1">
        <v>60000000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</row>
    <row r="7" spans="1:41" x14ac:dyDescent="0.2">
      <c r="A7" s="1" t="str">
        <f>"9157046"</f>
        <v>9157046</v>
      </c>
      <c r="B7" s="1" t="str">
        <f>"يعقوب آلبوبالدي"</f>
        <v>يعقوب آلبوبالدي</v>
      </c>
      <c r="C7" s="1" t="str">
        <f t="shared" si="0"/>
        <v>توليد توسعه - دارخوين</v>
      </c>
      <c r="D7" s="1">
        <v>0</v>
      </c>
      <c r="E7" s="1">
        <v>13640</v>
      </c>
      <c r="F7" s="1">
        <v>2137275</v>
      </c>
      <c r="G7" s="1">
        <v>200000</v>
      </c>
      <c r="H7" s="1">
        <v>1100000</v>
      </c>
      <c r="I7" s="1">
        <v>1320000</v>
      </c>
      <c r="J7" s="1">
        <v>1090000</v>
      </c>
      <c r="K7" s="1">
        <v>0</v>
      </c>
      <c r="L7" s="1">
        <v>0</v>
      </c>
      <c r="M7" s="1">
        <v>12290043</v>
      </c>
      <c r="N7" s="1">
        <v>0</v>
      </c>
      <c r="O7" s="1">
        <v>657150</v>
      </c>
      <c r="P7" s="1">
        <v>0</v>
      </c>
      <c r="Q7" s="1">
        <v>997304</v>
      </c>
      <c r="R7" s="1">
        <v>0</v>
      </c>
      <c r="S7" s="1">
        <v>249976</v>
      </c>
      <c r="T7" s="1">
        <v>0</v>
      </c>
      <c r="U7" s="1">
        <v>650000</v>
      </c>
      <c r="V7" s="1">
        <v>2849439</v>
      </c>
      <c r="W7" s="1">
        <v>427416</v>
      </c>
      <c r="X7" s="1">
        <v>13640</v>
      </c>
      <c r="Y7" s="1">
        <v>16897188</v>
      </c>
      <c r="Z7" s="1">
        <v>18794468</v>
      </c>
      <c r="AA7" s="1">
        <v>1897280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52800000</v>
      </c>
      <c r="AH7" s="1">
        <v>7200000</v>
      </c>
      <c r="AI7" s="1">
        <v>60000000</v>
      </c>
      <c r="AJ7" s="1">
        <v>60000000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</row>
    <row r="8" spans="1:41" x14ac:dyDescent="0.2">
      <c r="A8" s="1" t="str">
        <f>"9157047"</f>
        <v>9157047</v>
      </c>
      <c r="B8" s="1" t="str">
        <f>"محمد البوغبيش"</f>
        <v>محمد البوغبيش</v>
      </c>
      <c r="C8" s="1" t="str">
        <f t="shared" si="0"/>
        <v>توليد توسعه - دارخوين</v>
      </c>
      <c r="D8" s="1">
        <v>0</v>
      </c>
      <c r="E8" s="1">
        <v>13640</v>
      </c>
      <c r="F8" s="1">
        <v>0</v>
      </c>
      <c r="G8" s="1">
        <v>200000</v>
      </c>
      <c r="H8" s="1">
        <v>1100000</v>
      </c>
      <c r="I8" s="1">
        <v>1320000</v>
      </c>
      <c r="J8" s="1">
        <v>1090000</v>
      </c>
      <c r="K8" s="1">
        <v>0</v>
      </c>
      <c r="L8" s="1">
        <v>0</v>
      </c>
      <c r="M8" s="1">
        <v>12290043</v>
      </c>
      <c r="N8" s="1">
        <v>0</v>
      </c>
      <c r="O8" s="1">
        <v>657150</v>
      </c>
      <c r="P8" s="1">
        <v>0</v>
      </c>
      <c r="Q8" s="1">
        <v>997304</v>
      </c>
      <c r="R8" s="1">
        <v>0</v>
      </c>
      <c r="S8" s="1">
        <v>143113</v>
      </c>
      <c r="T8" s="1">
        <v>1361111</v>
      </c>
      <c r="U8" s="1">
        <v>650000</v>
      </c>
      <c r="V8" s="1">
        <v>2849439</v>
      </c>
      <c r="W8" s="1">
        <v>427416</v>
      </c>
      <c r="X8" s="1">
        <v>13640</v>
      </c>
      <c r="Y8" s="1">
        <v>13505665</v>
      </c>
      <c r="Z8" s="1">
        <v>16657193</v>
      </c>
      <c r="AA8" s="1">
        <v>3151528</v>
      </c>
      <c r="AB8" s="1">
        <v>1361111</v>
      </c>
      <c r="AC8" s="1">
        <v>16333332</v>
      </c>
      <c r="AD8" s="1">
        <v>32666668</v>
      </c>
      <c r="AE8" s="1">
        <v>49000000</v>
      </c>
      <c r="AF8" s="1">
        <v>49000000</v>
      </c>
      <c r="AG8" s="1">
        <v>52800000</v>
      </c>
      <c r="AH8" s="1">
        <v>7200000</v>
      </c>
      <c r="AI8" s="1">
        <v>60000000</v>
      </c>
      <c r="AJ8" s="1">
        <v>60000000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</row>
    <row r="9" spans="1:41" x14ac:dyDescent="0.2">
      <c r="A9" s="1" t="str">
        <f>"9157049"</f>
        <v>9157049</v>
      </c>
      <c r="B9" s="1" t="str">
        <f>"عبدالامام بالدي"</f>
        <v>عبدالامام بالدي</v>
      </c>
      <c r="C9" s="1" t="str">
        <f t="shared" si="0"/>
        <v>توليد توسعه - دارخوين</v>
      </c>
      <c r="D9" s="1">
        <v>0</v>
      </c>
      <c r="E9" s="1">
        <v>13640</v>
      </c>
      <c r="F9" s="1">
        <v>0</v>
      </c>
      <c r="G9" s="1">
        <v>200000</v>
      </c>
      <c r="H9" s="1">
        <v>1100000</v>
      </c>
      <c r="I9" s="1">
        <v>1320000</v>
      </c>
      <c r="J9" s="1">
        <v>1090000</v>
      </c>
      <c r="K9" s="1">
        <v>0</v>
      </c>
      <c r="L9" s="1">
        <v>0</v>
      </c>
      <c r="M9" s="1">
        <v>11083120</v>
      </c>
      <c r="N9" s="1">
        <v>0</v>
      </c>
      <c r="O9" s="1">
        <v>638550</v>
      </c>
      <c r="P9" s="1">
        <v>1086240</v>
      </c>
      <c r="Q9" s="1">
        <v>987554</v>
      </c>
      <c r="R9" s="1">
        <v>0</v>
      </c>
      <c r="S9" s="1">
        <v>136287</v>
      </c>
      <c r="T9" s="1">
        <v>2258888</v>
      </c>
      <c r="U9" s="1">
        <v>650000</v>
      </c>
      <c r="V9" s="1">
        <v>2821582</v>
      </c>
      <c r="W9" s="1">
        <v>423237</v>
      </c>
      <c r="X9" s="1">
        <v>13640</v>
      </c>
      <c r="Y9" s="1">
        <v>12485181</v>
      </c>
      <c r="Z9" s="1">
        <v>16517910</v>
      </c>
      <c r="AA9" s="1">
        <v>4032729</v>
      </c>
      <c r="AB9" s="1">
        <v>1388888</v>
      </c>
      <c r="AC9" s="1">
        <v>16666656</v>
      </c>
      <c r="AD9" s="1">
        <v>33333344</v>
      </c>
      <c r="AE9" s="1">
        <v>50000000</v>
      </c>
      <c r="AF9" s="1">
        <v>50000000</v>
      </c>
      <c r="AG9" s="1">
        <v>52800000</v>
      </c>
      <c r="AH9" s="1">
        <v>7200000</v>
      </c>
      <c r="AI9" s="1">
        <v>60000000</v>
      </c>
      <c r="AJ9" s="1">
        <v>60000000</v>
      </c>
      <c r="AK9" s="1">
        <v>870000</v>
      </c>
      <c r="AL9" s="1">
        <v>6960000</v>
      </c>
      <c r="AM9" s="1">
        <v>3480000</v>
      </c>
      <c r="AN9" s="1">
        <v>10440000</v>
      </c>
      <c r="AO9" s="1">
        <v>10440000</v>
      </c>
    </row>
    <row r="10" spans="1:41" x14ac:dyDescent="0.2">
      <c r="A10" s="1" t="str">
        <f>"9157050"</f>
        <v>9157050</v>
      </c>
      <c r="B10" s="1" t="str">
        <f>"حسين باوي"</f>
        <v>حسين باوي</v>
      </c>
      <c r="C10" s="1" t="str">
        <f t="shared" si="0"/>
        <v>توليد توسعه - دارخوين</v>
      </c>
      <c r="D10" s="1">
        <v>0</v>
      </c>
      <c r="E10" s="1">
        <v>13640</v>
      </c>
      <c r="F10" s="1">
        <v>2849700</v>
      </c>
      <c r="G10" s="1">
        <v>200000</v>
      </c>
      <c r="H10" s="1">
        <v>1100000</v>
      </c>
      <c r="I10" s="1">
        <v>1320000</v>
      </c>
      <c r="J10" s="1">
        <v>1090000</v>
      </c>
      <c r="K10" s="1">
        <v>0</v>
      </c>
      <c r="L10" s="1">
        <v>0</v>
      </c>
      <c r="M10" s="1">
        <v>10479674</v>
      </c>
      <c r="N10" s="1">
        <v>0</v>
      </c>
      <c r="O10" s="1">
        <v>632350</v>
      </c>
      <c r="P10" s="1">
        <v>0</v>
      </c>
      <c r="Q10" s="1">
        <v>868842</v>
      </c>
      <c r="R10" s="1">
        <v>0</v>
      </c>
      <c r="S10" s="1">
        <v>195675</v>
      </c>
      <c r="T10" s="1">
        <v>0</v>
      </c>
      <c r="U10" s="1">
        <v>650000</v>
      </c>
      <c r="V10" s="1">
        <v>2482405</v>
      </c>
      <c r="W10" s="1">
        <v>372361</v>
      </c>
      <c r="X10" s="1">
        <v>13640</v>
      </c>
      <c r="Y10" s="1">
        <v>15957207</v>
      </c>
      <c r="Z10" s="1">
        <v>17671724</v>
      </c>
      <c r="AA10" s="1">
        <v>1714517</v>
      </c>
    </row>
    <row r="11" spans="1:41" x14ac:dyDescent="0.2">
      <c r="A11" s="1" t="str">
        <f>"9157053"</f>
        <v>9157053</v>
      </c>
      <c r="B11" s="1" t="str">
        <f>"عظيم باوي سويره"</f>
        <v>عظيم باوي سويره</v>
      </c>
      <c r="C11" s="1" t="str">
        <f t="shared" si="0"/>
        <v>توليد توسعه - دارخوين</v>
      </c>
      <c r="D11" s="1">
        <v>0</v>
      </c>
      <c r="E11" s="1">
        <v>13640</v>
      </c>
      <c r="F11" s="1">
        <v>712425</v>
      </c>
      <c r="G11" s="1">
        <v>200000</v>
      </c>
      <c r="H11" s="1">
        <v>1100000</v>
      </c>
      <c r="I11" s="1">
        <v>1320000</v>
      </c>
      <c r="J11" s="1">
        <v>1090000</v>
      </c>
      <c r="K11" s="1">
        <v>0</v>
      </c>
      <c r="L11" s="1">
        <v>434370</v>
      </c>
      <c r="M11" s="1">
        <v>8266925</v>
      </c>
      <c r="N11" s="1">
        <v>301723</v>
      </c>
      <c r="O11" s="1">
        <v>601350</v>
      </c>
      <c r="P11" s="1">
        <v>0</v>
      </c>
      <c r="Q11" s="1">
        <v>763306</v>
      </c>
      <c r="R11" s="1">
        <v>0</v>
      </c>
      <c r="S11" s="1">
        <v>14935</v>
      </c>
      <c r="T11" s="1">
        <v>0</v>
      </c>
      <c r="U11" s="1">
        <v>650000</v>
      </c>
      <c r="V11" s="1">
        <v>2180874</v>
      </c>
      <c r="W11" s="1">
        <v>327131</v>
      </c>
      <c r="X11" s="1">
        <v>13640</v>
      </c>
      <c r="Y11" s="1">
        <v>12598552</v>
      </c>
      <c r="Z11" s="1">
        <v>14026793</v>
      </c>
      <c r="AA11" s="1">
        <v>1428241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52800000</v>
      </c>
      <c r="AH11" s="1">
        <v>7200000</v>
      </c>
      <c r="AI11" s="1">
        <v>60000000</v>
      </c>
      <c r="AJ11" s="1">
        <v>60000000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</row>
    <row r="12" spans="1:41" x14ac:dyDescent="0.2">
      <c r="A12" s="1" t="str">
        <f>"9157054"</f>
        <v>9157054</v>
      </c>
      <c r="B12" s="1" t="str">
        <f>"عارف باوي فرد"</f>
        <v>عارف باوي فرد</v>
      </c>
      <c r="C12" s="1" t="str">
        <f t="shared" si="0"/>
        <v>توليد توسعه - دارخوين</v>
      </c>
      <c r="D12" s="1">
        <v>0</v>
      </c>
      <c r="E12" s="1">
        <v>13640</v>
      </c>
      <c r="F12" s="1">
        <v>0</v>
      </c>
      <c r="G12" s="1">
        <v>200000</v>
      </c>
      <c r="H12" s="1">
        <v>1100000</v>
      </c>
      <c r="I12" s="1">
        <v>1320000</v>
      </c>
      <c r="J12" s="1">
        <v>1090000</v>
      </c>
      <c r="K12" s="1">
        <v>0</v>
      </c>
      <c r="L12" s="1">
        <v>0</v>
      </c>
      <c r="M12" s="1">
        <v>9071561</v>
      </c>
      <c r="N12" s="1">
        <v>402318</v>
      </c>
      <c r="O12" s="1">
        <v>613750</v>
      </c>
      <c r="P12" s="1">
        <v>0</v>
      </c>
      <c r="Q12" s="1">
        <v>797134</v>
      </c>
      <c r="R12" s="1">
        <v>0</v>
      </c>
      <c r="S12" s="1">
        <v>2994</v>
      </c>
      <c r="T12" s="1">
        <v>1388888</v>
      </c>
      <c r="U12" s="1">
        <v>650000</v>
      </c>
      <c r="V12" s="1">
        <v>2277526</v>
      </c>
      <c r="W12" s="1">
        <v>341629</v>
      </c>
      <c r="X12" s="1">
        <v>13640</v>
      </c>
      <c r="Y12" s="1">
        <v>10958613</v>
      </c>
      <c r="Z12" s="1">
        <v>13797629</v>
      </c>
      <c r="AA12" s="1">
        <v>2839016</v>
      </c>
      <c r="AB12" s="1">
        <v>1388888</v>
      </c>
      <c r="AC12" s="1">
        <v>38888864</v>
      </c>
      <c r="AD12" s="1">
        <v>11111136</v>
      </c>
      <c r="AE12" s="1">
        <v>50000000</v>
      </c>
      <c r="AF12" s="1">
        <v>50000000</v>
      </c>
      <c r="AG12" s="1">
        <v>52800000</v>
      </c>
      <c r="AH12" s="1">
        <v>7200000</v>
      </c>
      <c r="AI12" s="1">
        <v>60000000</v>
      </c>
      <c r="AJ12" s="1">
        <v>60000000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</row>
    <row r="13" spans="1:41" x14ac:dyDescent="0.2">
      <c r="A13" s="1" t="str">
        <f>"9157055"</f>
        <v>9157055</v>
      </c>
      <c r="B13" s="1" t="str">
        <f>"نجم باوي فرد"</f>
        <v>نجم باوي فرد</v>
      </c>
      <c r="C13" s="1" t="str">
        <f t="shared" si="0"/>
        <v>توليد توسعه - دارخوين</v>
      </c>
      <c r="D13" s="1">
        <v>0</v>
      </c>
      <c r="E13" s="1">
        <v>13640</v>
      </c>
      <c r="F13" s="1">
        <v>712425</v>
      </c>
      <c r="G13" s="1">
        <v>200000</v>
      </c>
      <c r="H13" s="1">
        <v>1100000</v>
      </c>
      <c r="I13" s="1">
        <v>1320000</v>
      </c>
      <c r="J13" s="1">
        <v>1090000</v>
      </c>
      <c r="K13" s="1">
        <v>0</v>
      </c>
      <c r="L13" s="1">
        <v>0</v>
      </c>
      <c r="M13" s="1">
        <v>9473879</v>
      </c>
      <c r="N13" s="1">
        <v>0</v>
      </c>
      <c r="O13" s="1">
        <v>619950</v>
      </c>
      <c r="P13" s="1">
        <v>0</v>
      </c>
      <c r="Q13" s="1">
        <v>797568</v>
      </c>
      <c r="R13" s="1">
        <v>0</v>
      </c>
      <c r="S13" s="1">
        <v>38919</v>
      </c>
      <c r="T13" s="1">
        <v>1388888</v>
      </c>
      <c r="U13" s="1">
        <v>650000</v>
      </c>
      <c r="V13" s="1">
        <v>2278766</v>
      </c>
      <c r="W13" s="1">
        <v>341815</v>
      </c>
      <c r="X13" s="1">
        <v>13640</v>
      </c>
      <c r="Y13" s="1">
        <v>11640879</v>
      </c>
      <c r="Z13" s="1">
        <v>14516254</v>
      </c>
      <c r="AA13" s="1">
        <v>2875375</v>
      </c>
      <c r="AB13" s="1">
        <v>1388888</v>
      </c>
      <c r="AC13" s="1">
        <v>37499976</v>
      </c>
      <c r="AD13" s="1">
        <v>12500024</v>
      </c>
      <c r="AE13" s="1">
        <v>50000000</v>
      </c>
      <c r="AF13" s="1">
        <v>50000000</v>
      </c>
      <c r="AG13" s="1">
        <v>52800000</v>
      </c>
      <c r="AH13" s="1">
        <v>7200000</v>
      </c>
      <c r="AI13" s="1">
        <v>60000000</v>
      </c>
      <c r="AJ13" s="1">
        <v>60000000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</row>
    <row r="14" spans="1:41" x14ac:dyDescent="0.2">
      <c r="A14" s="1" t="str">
        <f>"9157056"</f>
        <v>9157056</v>
      </c>
      <c r="B14" s="1" t="str">
        <f>"سعيد بدوي"</f>
        <v>سعيد بدوي</v>
      </c>
      <c r="C14" s="1" t="str">
        <f t="shared" si="0"/>
        <v>توليد توسعه - دارخوين</v>
      </c>
      <c r="D14" s="1">
        <v>0</v>
      </c>
      <c r="E14" s="1">
        <v>13640</v>
      </c>
      <c r="F14" s="1">
        <v>1424850</v>
      </c>
      <c r="G14" s="1">
        <v>200000</v>
      </c>
      <c r="H14" s="1">
        <v>1100000</v>
      </c>
      <c r="I14" s="1">
        <v>1320000</v>
      </c>
      <c r="J14" s="1">
        <v>1090000</v>
      </c>
      <c r="K14" s="1">
        <v>0</v>
      </c>
      <c r="L14" s="1">
        <v>251108</v>
      </c>
      <c r="M14" s="1">
        <v>9071561</v>
      </c>
      <c r="N14" s="1">
        <v>0</v>
      </c>
      <c r="O14" s="1">
        <v>613750</v>
      </c>
      <c r="P14" s="1">
        <v>0</v>
      </c>
      <c r="Q14" s="1">
        <v>786549</v>
      </c>
      <c r="R14" s="1">
        <v>0</v>
      </c>
      <c r="S14" s="1">
        <v>66827</v>
      </c>
      <c r="T14" s="1">
        <v>0</v>
      </c>
      <c r="U14" s="1">
        <v>650000</v>
      </c>
      <c r="V14" s="1">
        <v>2247284</v>
      </c>
      <c r="W14" s="1">
        <v>337093</v>
      </c>
      <c r="X14" s="1">
        <v>13640</v>
      </c>
      <c r="Y14" s="1">
        <v>13567893</v>
      </c>
      <c r="Z14" s="1">
        <v>15071269</v>
      </c>
      <c r="AA14" s="1">
        <v>1503376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58800000</v>
      </c>
      <c r="AH14" s="1">
        <v>1200000</v>
      </c>
      <c r="AI14" s="1">
        <v>60000000</v>
      </c>
      <c r="AJ14" s="1">
        <v>60000000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</row>
    <row r="15" spans="1:41" x14ac:dyDescent="0.2">
      <c r="A15" s="1" t="str">
        <f>"9157057"</f>
        <v>9157057</v>
      </c>
      <c r="B15" s="1" t="str">
        <f>"عباس بدوي"</f>
        <v>عباس بدوي</v>
      </c>
      <c r="C15" s="1" t="str">
        <f t="shared" si="0"/>
        <v>توليد توسعه - دارخوين</v>
      </c>
      <c r="D15" s="1">
        <v>0</v>
      </c>
      <c r="E15" s="1">
        <v>13640</v>
      </c>
      <c r="F15" s="1">
        <v>2849700</v>
      </c>
      <c r="G15" s="1">
        <v>200000</v>
      </c>
      <c r="H15" s="1">
        <v>1100000</v>
      </c>
      <c r="I15" s="1">
        <v>1320000</v>
      </c>
      <c r="J15" s="1">
        <v>1090000</v>
      </c>
      <c r="K15" s="1">
        <v>0</v>
      </c>
      <c r="L15" s="1">
        <v>0</v>
      </c>
      <c r="M15" s="1">
        <v>10479674</v>
      </c>
      <c r="N15" s="1">
        <v>0</v>
      </c>
      <c r="O15" s="1">
        <v>632350</v>
      </c>
      <c r="P15" s="1">
        <v>0</v>
      </c>
      <c r="Q15" s="1">
        <v>868842</v>
      </c>
      <c r="R15" s="1">
        <v>0</v>
      </c>
      <c r="S15" s="1">
        <v>195674</v>
      </c>
      <c r="T15" s="1">
        <v>0</v>
      </c>
      <c r="U15" s="1">
        <v>650000</v>
      </c>
      <c r="V15" s="1">
        <v>2482405</v>
      </c>
      <c r="W15" s="1">
        <v>372361</v>
      </c>
      <c r="X15" s="1">
        <v>13640</v>
      </c>
      <c r="Y15" s="1">
        <v>15957208</v>
      </c>
      <c r="Z15" s="1">
        <v>17671724</v>
      </c>
      <c r="AA15" s="1">
        <v>1714516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52800000</v>
      </c>
      <c r="AH15" s="1">
        <v>7200000</v>
      </c>
      <c r="AI15" s="1">
        <v>60000000</v>
      </c>
      <c r="AJ15" s="1">
        <v>60000000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</row>
    <row r="16" spans="1:41" x14ac:dyDescent="0.2">
      <c r="A16" s="1" t="str">
        <f>"9157058"</f>
        <v>9157058</v>
      </c>
      <c r="B16" s="1" t="str">
        <f>"طاهر پورحزبه"</f>
        <v>طاهر پورحزبه</v>
      </c>
      <c r="C16" s="1" t="str">
        <f t="shared" si="0"/>
        <v>توليد توسعه - دارخوين</v>
      </c>
      <c r="D16" s="1">
        <v>0</v>
      </c>
      <c r="E16" s="1">
        <v>13640</v>
      </c>
      <c r="F16" s="1">
        <v>0</v>
      </c>
      <c r="G16" s="1">
        <v>200000</v>
      </c>
      <c r="H16" s="1">
        <v>1100000</v>
      </c>
      <c r="I16" s="1">
        <v>1320000</v>
      </c>
      <c r="J16" s="1">
        <v>1090000</v>
      </c>
      <c r="K16" s="1">
        <v>0</v>
      </c>
      <c r="L16" s="1">
        <v>0</v>
      </c>
      <c r="M16" s="1">
        <v>10479674</v>
      </c>
      <c r="N16" s="1">
        <v>0</v>
      </c>
      <c r="O16" s="1">
        <v>632350</v>
      </c>
      <c r="P16" s="1">
        <v>0</v>
      </c>
      <c r="Q16" s="1">
        <v>868842</v>
      </c>
      <c r="R16" s="1">
        <v>0</v>
      </c>
      <c r="S16" s="1">
        <v>53189</v>
      </c>
      <c r="T16" s="1">
        <v>0</v>
      </c>
      <c r="U16" s="1">
        <v>0</v>
      </c>
      <c r="V16" s="1">
        <v>2482405</v>
      </c>
      <c r="W16" s="1">
        <v>372361</v>
      </c>
      <c r="X16" s="1">
        <v>13640</v>
      </c>
      <c r="Y16" s="1">
        <v>13899993</v>
      </c>
      <c r="Z16" s="1">
        <v>14822024</v>
      </c>
      <c r="AA16" s="1">
        <v>922031</v>
      </c>
    </row>
    <row r="17" spans="1:41" x14ac:dyDescent="0.2">
      <c r="A17" s="1" t="str">
        <f>"9157059"</f>
        <v>9157059</v>
      </c>
      <c r="B17" s="1" t="str">
        <f>"رحمه سياحي"</f>
        <v>رحمه سياحي</v>
      </c>
      <c r="C17" s="1" t="str">
        <f t="shared" si="0"/>
        <v>توليد توسعه - دارخوين</v>
      </c>
      <c r="D17" s="1">
        <v>0</v>
      </c>
      <c r="E17" s="1">
        <v>13640</v>
      </c>
      <c r="F17" s="1">
        <v>1424850</v>
      </c>
      <c r="G17" s="1">
        <v>200000</v>
      </c>
      <c r="H17" s="1">
        <v>1100000</v>
      </c>
      <c r="I17" s="1">
        <v>1320000</v>
      </c>
      <c r="J17" s="1">
        <v>1090000</v>
      </c>
      <c r="K17" s="1">
        <v>0</v>
      </c>
      <c r="L17" s="1">
        <v>201013</v>
      </c>
      <c r="M17" s="1">
        <v>8266925</v>
      </c>
      <c r="N17" s="1">
        <v>301723</v>
      </c>
      <c r="O17" s="1">
        <v>601350</v>
      </c>
      <c r="P17" s="1">
        <v>0</v>
      </c>
      <c r="Q17" s="1">
        <v>746971</v>
      </c>
      <c r="R17" s="1">
        <v>0</v>
      </c>
      <c r="S17" s="1">
        <v>39122</v>
      </c>
      <c r="T17" s="1">
        <v>1388888</v>
      </c>
      <c r="U17" s="1">
        <v>650000</v>
      </c>
      <c r="V17" s="1">
        <v>2134202</v>
      </c>
      <c r="W17" s="1">
        <v>320130</v>
      </c>
      <c r="X17" s="1">
        <v>13640</v>
      </c>
      <c r="Y17" s="1">
        <v>11680880</v>
      </c>
      <c r="Z17" s="1">
        <v>14505861</v>
      </c>
      <c r="AA17" s="1">
        <v>2824981</v>
      </c>
      <c r="AB17" s="1">
        <v>1388888</v>
      </c>
      <c r="AC17" s="1">
        <v>16666656</v>
      </c>
      <c r="AD17" s="1">
        <v>33333344</v>
      </c>
      <c r="AE17" s="1">
        <v>50000000</v>
      </c>
      <c r="AF17" s="1">
        <v>50000000</v>
      </c>
      <c r="AG17" s="1">
        <v>52800000</v>
      </c>
      <c r="AH17" s="1">
        <v>7200000</v>
      </c>
      <c r="AI17" s="1">
        <v>60000000</v>
      </c>
      <c r="AJ17" s="1">
        <v>60000000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</row>
    <row r="18" spans="1:41" x14ac:dyDescent="0.2">
      <c r="A18" s="1" t="str">
        <f>"9157060"</f>
        <v>9157060</v>
      </c>
      <c r="B18" s="1" t="str">
        <f>"مرد سياحي"</f>
        <v>مرد سياحي</v>
      </c>
      <c r="C18" s="1" t="str">
        <f t="shared" si="0"/>
        <v>توليد توسعه - دارخوين</v>
      </c>
      <c r="D18" s="1">
        <v>0</v>
      </c>
      <c r="E18" s="1">
        <v>13640</v>
      </c>
      <c r="F18" s="1">
        <v>1424850</v>
      </c>
      <c r="G18" s="1">
        <v>200000</v>
      </c>
      <c r="H18" s="1">
        <v>1100000</v>
      </c>
      <c r="I18" s="1">
        <v>1320000</v>
      </c>
      <c r="J18" s="1">
        <v>1090000</v>
      </c>
      <c r="K18" s="1">
        <v>0</v>
      </c>
      <c r="L18" s="1">
        <v>748973</v>
      </c>
      <c r="M18" s="1">
        <v>8266925</v>
      </c>
      <c r="N18" s="1">
        <v>0</v>
      </c>
      <c r="O18" s="1">
        <v>601350</v>
      </c>
      <c r="P18" s="1">
        <v>0</v>
      </c>
      <c r="Q18" s="1">
        <v>764207</v>
      </c>
      <c r="R18" s="1">
        <v>0</v>
      </c>
      <c r="S18" s="1">
        <v>51188</v>
      </c>
      <c r="T18" s="1">
        <v>1388888</v>
      </c>
      <c r="U18" s="1">
        <v>650000</v>
      </c>
      <c r="V18" s="1">
        <v>2183450</v>
      </c>
      <c r="W18" s="1">
        <v>327517</v>
      </c>
      <c r="X18" s="1">
        <v>13640</v>
      </c>
      <c r="Y18" s="1">
        <v>11897815</v>
      </c>
      <c r="Z18" s="1">
        <v>14752098</v>
      </c>
      <c r="AA18" s="1">
        <v>2854283</v>
      </c>
      <c r="AB18" s="1">
        <v>1388888</v>
      </c>
      <c r="AC18" s="1">
        <v>22222240</v>
      </c>
      <c r="AD18" s="1">
        <v>27777760</v>
      </c>
      <c r="AE18" s="1">
        <v>50000000</v>
      </c>
      <c r="AF18" s="1">
        <v>50000000</v>
      </c>
      <c r="AG18" s="1">
        <v>52800000</v>
      </c>
      <c r="AH18" s="1">
        <v>7200000</v>
      </c>
      <c r="AI18" s="1">
        <v>60000000</v>
      </c>
      <c r="AJ18" s="1">
        <v>60000000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</row>
    <row r="19" spans="1:41" x14ac:dyDescent="0.2">
      <c r="A19" s="1" t="str">
        <f>"9157065"</f>
        <v>9157065</v>
      </c>
      <c r="B19" s="1" t="str">
        <f>"رحيم عقباوي"</f>
        <v>رحيم عقباوي</v>
      </c>
      <c r="C19" s="1" t="str">
        <f t="shared" si="0"/>
        <v>توليد توسعه - دارخوين</v>
      </c>
      <c r="D19" s="1">
        <v>0</v>
      </c>
      <c r="E19" s="1">
        <v>13640</v>
      </c>
      <c r="F19" s="1">
        <v>2137275</v>
      </c>
      <c r="G19" s="1">
        <v>200000</v>
      </c>
      <c r="H19" s="1">
        <v>1100000</v>
      </c>
      <c r="I19" s="1">
        <v>1320000</v>
      </c>
      <c r="J19" s="1">
        <v>1090000</v>
      </c>
      <c r="K19" s="1">
        <v>0</v>
      </c>
      <c r="L19" s="1">
        <v>0</v>
      </c>
      <c r="M19" s="1">
        <v>9473879</v>
      </c>
      <c r="N19" s="1">
        <v>0</v>
      </c>
      <c r="O19" s="1">
        <v>619950</v>
      </c>
      <c r="P19" s="1">
        <v>0</v>
      </c>
      <c r="Q19" s="1">
        <v>797568</v>
      </c>
      <c r="R19" s="1">
        <v>0</v>
      </c>
      <c r="S19" s="1">
        <v>110162</v>
      </c>
      <c r="T19" s="1">
        <v>0</v>
      </c>
      <c r="U19" s="1">
        <v>650000</v>
      </c>
      <c r="V19" s="1">
        <v>2278766</v>
      </c>
      <c r="W19" s="1">
        <v>341815</v>
      </c>
      <c r="X19" s="1">
        <v>13640</v>
      </c>
      <c r="Y19" s="1">
        <v>14383374</v>
      </c>
      <c r="Z19" s="1">
        <v>15941104</v>
      </c>
      <c r="AA19" s="1">
        <v>1557730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52800000</v>
      </c>
      <c r="AH19" s="1">
        <v>7200000</v>
      </c>
      <c r="AI19" s="1">
        <v>60000000</v>
      </c>
      <c r="AJ19" s="1">
        <v>60000000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</row>
    <row r="20" spans="1:41" x14ac:dyDescent="0.2">
      <c r="A20" s="1" t="str">
        <f>"9157066"</f>
        <v>9157066</v>
      </c>
      <c r="B20" s="1" t="str">
        <f>"جمشيد فرحانيان"</f>
        <v>جمشيد فرحانيان</v>
      </c>
      <c r="C20" s="1" t="str">
        <f t="shared" si="0"/>
        <v>توليد توسعه - دارخوين</v>
      </c>
      <c r="D20" s="1">
        <v>0</v>
      </c>
      <c r="E20" s="1">
        <v>13640</v>
      </c>
      <c r="F20" s="1">
        <v>2137275</v>
      </c>
      <c r="G20" s="1">
        <v>200000</v>
      </c>
      <c r="H20" s="1">
        <v>1100000</v>
      </c>
      <c r="I20" s="1">
        <v>1320000</v>
      </c>
      <c r="J20" s="1">
        <v>1090000</v>
      </c>
      <c r="K20" s="1">
        <v>0</v>
      </c>
      <c r="L20" s="1">
        <v>0</v>
      </c>
      <c r="M20" s="1">
        <v>11083120</v>
      </c>
      <c r="N20" s="1">
        <v>0</v>
      </c>
      <c r="O20" s="1">
        <v>626150</v>
      </c>
      <c r="P20" s="1">
        <v>0</v>
      </c>
      <c r="Q20" s="1">
        <v>910649</v>
      </c>
      <c r="R20" s="1">
        <v>0</v>
      </c>
      <c r="S20" s="1">
        <v>189318</v>
      </c>
      <c r="T20" s="1">
        <v>0</v>
      </c>
      <c r="U20" s="1">
        <v>650000</v>
      </c>
      <c r="V20" s="1">
        <v>2601854</v>
      </c>
      <c r="W20" s="1">
        <v>390278</v>
      </c>
      <c r="X20" s="1">
        <v>13640</v>
      </c>
      <c r="Y20" s="1">
        <v>15806578</v>
      </c>
      <c r="Z20" s="1">
        <v>17556545</v>
      </c>
      <c r="AA20" s="1">
        <v>1749967</v>
      </c>
    </row>
    <row r="21" spans="1:41" x14ac:dyDescent="0.2">
      <c r="A21" s="1" t="str">
        <f>"9157068"</f>
        <v>9157068</v>
      </c>
      <c r="B21" s="1" t="str">
        <f>"مجتبي قنواتي زاده"</f>
        <v>مجتبي قنواتي زاده</v>
      </c>
      <c r="C21" s="1" t="str">
        <f t="shared" si="0"/>
        <v>توليد توسعه - دارخوين</v>
      </c>
      <c r="D21" s="1">
        <v>0</v>
      </c>
      <c r="E21" s="1">
        <v>13640</v>
      </c>
      <c r="F21" s="1">
        <v>1424850</v>
      </c>
      <c r="G21" s="1">
        <v>200000</v>
      </c>
      <c r="H21" s="1">
        <v>1100000</v>
      </c>
      <c r="I21" s="1">
        <v>1320000</v>
      </c>
      <c r="J21" s="1">
        <v>1090000</v>
      </c>
      <c r="K21" s="1">
        <v>0</v>
      </c>
      <c r="L21" s="1">
        <v>0</v>
      </c>
      <c r="M21" s="1">
        <v>9473879</v>
      </c>
      <c r="N21" s="1">
        <v>0</v>
      </c>
      <c r="O21" s="1">
        <v>619950</v>
      </c>
      <c r="P21" s="1">
        <v>0</v>
      </c>
      <c r="Q21" s="1">
        <v>797568</v>
      </c>
      <c r="R21" s="1">
        <v>0</v>
      </c>
      <c r="S21" s="1">
        <v>74540</v>
      </c>
      <c r="T21" s="1">
        <v>1388888</v>
      </c>
      <c r="U21" s="1">
        <v>650000</v>
      </c>
      <c r="V21" s="1">
        <v>2278766</v>
      </c>
      <c r="W21" s="1">
        <v>341815</v>
      </c>
      <c r="X21" s="1">
        <v>13640</v>
      </c>
      <c r="Y21" s="1">
        <v>12317683</v>
      </c>
      <c r="Z21" s="1">
        <v>15228679</v>
      </c>
      <c r="AA21" s="1">
        <v>2910996</v>
      </c>
      <c r="AB21" s="1">
        <v>1388888</v>
      </c>
      <c r="AC21" s="1">
        <v>41666640</v>
      </c>
      <c r="AD21" s="1">
        <v>8333360</v>
      </c>
      <c r="AE21" s="1">
        <v>50000000</v>
      </c>
      <c r="AF21" s="1">
        <v>50000000</v>
      </c>
      <c r="AG21" s="1">
        <v>52800000</v>
      </c>
      <c r="AH21" s="1">
        <v>7200000</v>
      </c>
      <c r="AI21" s="1">
        <v>60000000</v>
      </c>
      <c r="AJ21" s="1">
        <v>60000000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</row>
    <row r="22" spans="1:41" x14ac:dyDescent="0.2">
      <c r="A22" s="1" t="str">
        <f>"9157069"</f>
        <v>9157069</v>
      </c>
      <c r="B22" s="1" t="str">
        <f>"رضا محمدحسيني"</f>
        <v>رضا محمدحسيني</v>
      </c>
      <c r="C22" s="1" t="str">
        <f t="shared" si="0"/>
        <v>توليد توسعه - دارخوين</v>
      </c>
      <c r="D22" s="1">
        <v>0</v>
      </c>
      <c r="E22" s="1">
        <v>13640</v>
      </c>
      <c r="F22" s="1">
        <v>712425</v>
      </c>
      <c r="G22" s="1">
        <v>200000</v>
      </c>
      <c r="H22" s="1">
        <v>1100000</v>
      </c>
      <c r="I22" s="1">
        <v>1320000</v>
      </c>
      <c r="J22" s="1">
        <v>1090000</v>
      </c>
      <c r="K22" s="1">
        <v>0</v>
      </c>
      <c r="L22" s="1">
        <v>0</v>
      </c>
      <c r="M22" s="1">
        <v>12290043</v>
      </c>
      <c r="N22" s="1">
        <v>0</v>
      </c>
      <c r="O22" s="1">
        <v>657150</v>
      </c>
      <c r="P22" s="1">
        <v>0</v>
      </c>
      <c r="Q22" s="1">
        <v>997304</v>
      </c>
      <c r="R22" s="1">
        <v>0</v>
      </c>
      <c r="S22" s="1">
        <v>178734</v>
      </c>
      <c r="T22" s="1">
        <v>435000</v>
      </c>
      <c r="U22" s="1">
        <v>650000</v>
      </c>
      <c r="V22" s="1">
        <v>2849439</v>
      </c>
      <c r="W22" s="1">
        <v>427416</v>
      </c>
      <c r="X22" s="1">
        <v>13640</v>
      </c>
      <c r="Y22" s="1">
        <v>15108580</v>
      </c>
      <c r="Z22" s="1">
        <v>17369618</v>
      </c>
      <c r="AA22" s="1">
        <v>2261038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52800000</v>
      </c>
      <c r="AH22" s="1">
        <v>7200000</v>
      </c>
      <c r="AI22" s="1">
        <v>60000000</v>
      </c>
      <c r="AJ22" s="1">
        <v>60000000</v>
      </c>
      <c r="AK22" s="1">
        <v>435000</v>
      </c>
      <c r="AL22" s="1">
        <v>3480000</v>
      </c>
      <c r="AM22" s="1">
        <v>1740000</v>
      </c>
      <c r="AN22" s="1">
        <v>5220000</v>
      </c>
      <c r="AO22" s="1">
        <v>5220000</v>
      </c>
    </row>
    <row r="23" spans="1:41" x14ac:dyDescent="0.2">
      <c r="A23" s="1" t="str">
        <f>"9157070"</f>
        <v>9157070</v>
      </c>
      <c r="B23" s="1" t="str">
        <f>"فاضل مقدم"</f>
        <v>فاضل مقدم</v>
      </c>
      <c r="C23" s="1" t="str">
        <f t="shared" si="0"/>
        <v>توليد توسعه - دارخوين</v>
      </c>
      <c r="D23" s="1">
        <v>0</v>
      </c>
      <c r="E23" s="1">
        <v>13640</v>
      </c>
      <c r="F23" s="1">
        <v>2137275</v>
      </c>
      <c r="G23" s="1">
        <v>200000</v>
      </c>
      <c r="H23" s="1">
        <v>1100000</v>
      </c>
      <c r="I23" s="1">
        <v>1320000</v>
      </c>
      <c r="J23" s="1">
        <v>1090000</v>
      </c>
      <c r="K23" s="1">
        <v>0</v>
      </c>
      <c r="L23" s="1">
        <v>0</v>
      </c>
      <c r="M23" s="1">
        <v>9976761</v>
      </c>
      <c r="N23" s="1">
        <v>0</v>
      </c>
      <c r="O23" s="1">
        <v>626150</v>
      </c>
      <c r="P23" s="1">
        <v>0</v>
      </c>
      <c r="Q23" s="1">
        <v>833204</v>
      </c>
      <c r="R23" s="1">
        <v>0</v>
      </c>
      <c r="S23" s="1">
        <v>135106</v>
      </c>
      <c r="T23" s="1">
        <v>0</v>
      </c>
      <c r="U23" s="1">
        <v>0</v>
      </c>
      <c r="V23" s="1">
        <v>2380582</v>
      </c>
      <c r="W23" s="1">
        <v>357087</v>
      </c>
      <c r="X23" s="1">
        <v>13640</v>
      </c>
      <c r="Y23" s="1">
        <v>15481876</v>
      </c>
      <c r="Z23" s="1">
        <v>16450186</v>
      </c>
      <c r="AA23" s="1">
        <v>968310</v>
      </c>
    </row>
    <row r="24" spans="1:41" x14ac:dyDescent="0.2">
      <c r="A24" s="1" t="str">
        <f>"9157072"</f>
        <v>9157072</v>
      </c>
      <c r="B24" s="1" t="str">
        <f>"محمدامين نادري"</f>
        <v>محمدامين نادري</v>
      </c>
      <c r="C24" s="1" t="str">
        <f t="shared" si="0"/>
        <v>توليد توسعه - دارخوين</v>
      </c>
      <c r="D24" s="1">
        <v>0</v>
      </c>
      <c r="E24" s="1">
        <v>13640</v>
      </c>
      <c r="F24" s="1">
        <v>712425</v>
      </c>
      <c r="G24" s="1">
        <v>200000</v>
      </c>
      <c r="H24" s="1">
        <v>1100000</v>
      </c>
      <c r="I24" s="1">
        <v>1320000</v>
      </c>
      <c r="J24" s="1">
        <v>1090000</v>
      </c>
      <c r="K24" s="1">
        <v>0</v>
      </c>
      <c r="L24" s="1">
        <v>0</v>
      </c>
      <c r="M24" s="1">
        <v>9473879</v>
      </c>
      <c r="N24" s="1">
        <v>0</v>
      </c>
      <c r="O24" s="1">
        <v>619950</v>
      </c>
      <c r="P24" s="1">
        <v>0</v>
      </c>
      <c r="Q24" s="1">
        <v>797568</v>
      </c>
      <c r="R24" s="1">
        <v>0</v>
      </c>
      <c r="S24" s="1">
        <v>38919</v>
      </c>
      <c r="T24" s="1">
        <v>1388888</v>
      </c>
      <c r="U24" s="1">
        <v>650000</v>
      </c>
      <c r="V24" s="1">
        <v>2278766</v>
      </c>
      <c r="W24" s="1">
        <v>341815</v>
      </c>
      <c r="X24" s="1">
        <v>13640</v>
      </c>
      <c r="Y24" s="1">
        <v>11640879</v>
      </c>
      <c r="Z24" s="1">
        <v>14516254</v>
      </c>
      <c r="AA24" s="1">
        <v>2875375</v>
      </c>
      <c r="AB24" s="1">
        <v>1388888</v>
      </c>
      <c r="AC24" s="1">
        <v>23611096</v>
      </c>
      <c r="AD24" s="1">
        <v>26388904</v>
      </c>
      <c r="AE24" s="1">
        <v>50000000</v>
      </c>
      <c r="AF24" s="1">
        <v>50000000</v>
      </c>
      <c r="AG24" s="1">
        <v>52800000</v>
      </c>
      <c r="AH24" s="1">
        <v>7200000</v>
      </c>
      <c r="AI24" s="1">
        <v>60000000</v>
      </c>
      <c r="AJ24" s="1">
        <v>60000000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</row>
    <row r="25" spans="1:41" x14ac:dyDescent="0.2">
      <c r="A25" s="1" t="str">
        <f>"9157075"</f>
        <v>9157075</v>
      </c>
      <c r="B25" s="1" t="str">
        <f>"علي پورحزبه"</f>
        <v>علي پورحزبه</v>
      </c>
      <c r="C25" s="1" t="str">
        <f t="shared" si="0"/>
        <v>توليد توسعه - دارخوين</v>
      </c>
      <c r="D25" s="1">
        <v>0</v>
      </c>
      <c r="E25" s="1">
        <v>13640</v>
      </c>
      <c r="F25" s="1">
        <v>712425</v>
      </c>
      <c r="G25" s="1">
        <v>200000</v>
      </c>
      <c r="H25" s="1">
        <v>1100000</v>
      </c>
      <c r="I25" s="1">
        <v>1320000</v>
      </c>
      <c r="J25" s="1">
        <v>1090000</v>
      </c>
      <c r="K25" s="1">
        <v>0</v>
      </c>
      <c r="L25" s="1">
        <v>47694</v>
      </c>
      <c r="M25" s="1">
        <v>9071561</v>
      </c>
      <c r="N25" s="1">
        <v>0</v>
      </c>
      <c r="O25" s="1">
        <v>613750</v>
      </c>
      <c r="P25" s="1">
        <v>0</v>
      </c>
      <c r="Q25" s="1">
        <v>772310</v>
      </c>
      <c r="R25" s="1">
        <v>0</v>
      </c>
      <c r="S25" s="1">
        <v>21238</v>
      </c>
      <c r="T25" s="1">
        <v>1388888</v>
      </c>
      <c r="U25" s="1">
        <v>650000</v>
      </c>
      <c r="V25" s="1">
        <v>2206601</v>
      </c>
      <c r="W25" s="1">
        <v>330990</v>
      </c>
      <c r="X25" s="1">
        <v>13640</v>
      </c>
      <c r="Y25" s="1">
        <v>11322994</v>
      </c>
      <c r="Z25" s="1">
        <v>14155430</v>
      </c>
      <c r="AA25" s="1">
        <v>2832436</v>
      </c>
      <c r="AB25" s="1">
        <v>1388888</v>
      </c>
      <c r="AC25" s="1">
        <v>31944424</v>
      </c>
      <c r="AD25" s="1">
        <v>18055576</v>
      </c>
      <c r="AE25" s="1">
        <v>50000000</v>
      </c>
      <c r="AF25" s="1">
        <v>50000000</v>
      </c>
      <c r="AG25" s="1">
        <v>52800000</v>
      </c>
      <c r="AH25" s="1">
        <v>7200000</v>
      </c>
      <c r="AI25" s="1">
        <v>60000000</v>
      </c>
      <c r="AJ25" s="1">
        <v>60000000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</row>
    <row r="26" spans="1:41" x14ac:dyDescent="0.2">
      <c r="A26" s="1" t="str">
        <f>"9157077"</f>
        <v>9157077</v>
      </c>
      <c r="B26" s="1" t="str">
        <f>"جاسم جامدي باوي"</f>
        <v>جاسم جامدي باوي</v>
      </c>
      <c r="C26" s="1" t="str">
        <f t="shared" si="0"/>
        <v>توليد توسعه - دارخوين</v>
      </c>
      <c r="D26" s="1">
        <v>0</v>
      </c>
      <c r="E26" s="1">
        <v>13640</v>
      </c>
      <c r="F26" s="1">
        <v>1424850</v>
      </c>
      <c r="G26" s="1">
        <v>200000</v>
      </c>
      <c r="H26" s="1">
        <v>1100000</v>
      </c>
      <c r="I26" s="1">
        <v>1320000</v>
      </c>
      <c r="J26" s="1">
        <v>1090000</v>
      </c>
      <c r="K26" s="1">
        <v>0</v>
      </c>
      <c r="L26" s="1">
        <v>0</v>
      </c>
      <c r="M26" s="1">
        <v>9071561</v>
      </c>
      <c r="N26" s="1">
        <v>402318</v>
      </c>
      <c r="O26" s="1">
        <v>613750</v>
      </c>
      <c r="P26" s="1">
        <v>0</v>
      </c>
      <c r="Q26" s="1">
        <v>797134</v>
      </c>
      <c r="R26" s="1">
        <v>0</v>
      </c>
      <c r="S26" s="1">
        <v>74236</v>
      </c>
      <c r="T26" s="1">
        <v>1388888</v>
      </c>
      <c r="U26" s="1">
        <v>650000</v>
      </c>
      <c r="V26" s="1">
        <v>2277526</v>
      </c>
      <c r="W26" s="1">
        <v>341629</v>
      </c>
      <c r="X26" s="1">
        <v>13640</v>
      </c>
      <c r="Y26" s="1">
        <v>12312221</v>
      </c>
      <c r="Z26" s="1">
        <v>15222479</v>
      </c>
      <c r="AA26" s="1">
        <v>2910258</v>
      </c>
      <c r="AB26" s="1">
        <v>1388888</v>
      </c>
      <c r="AC26" s="1">
        <v>23611096</v>
      </c>
      <c r="AD26" s="1">
        <v>26388904</v>
      </c>
      <c r="AE26" s="1">
        <v>50000000</v>
      </c>
      <c r="AF26" s="1">
        <v>50000000</v>
      </c>
      <c r="AG26" s="1">
        <v>52800000</v>
      </c>
      <c r="AH26" s="1">
        <v>7200000</v>
      </c>
      <c r="AI26" s="1">
        <v>60000000</v>
      </c>
      <c r="AJ26" s="1">
        <v>60000000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</row>
    <row r="27" spans="1:41" x14ac:dyDescent="0.2">
      <c r="A27" s="1" t="str">
        <f>"9157079"</f>
        <v>9157079</v>
      </c>
      <c r="B27" s="1" t="str">
        <f>"مزعل جليزي"</f>
        <v>مزعل جليزي</v>
      </c>
      <c r="C27" s="1" t="str">
        <f t="shared" si="0"/>
        <v>توليد توسعه - دارخوين</v>
      </c>
      <c r="D27" s="1">
        <v>0</v>
      </c>
      <c r="E27" s="1">
        <v>13640</v>
      </c>
      <c r="F27" s="1">
        <v>2849700</v>
      </c>
      <c r="G27" s="1">
        <v>200000</v>
      </c>
      <c r="H27" s="1">
        <v>1100000</v>
      </c>
      <c r="I27" s="1">
        <v>1320000</v>
      </c>
      <c r="J27" s="1">
        <v>1090000</v>
      </c>
      <c r="K27" s="1">
        <v>0</v>
      </c>
      <c r="L27" s="1">
        <v>0</v>
      </c>
      <c r="M27" s="1">
        <v>10479674</v>
      </c>
      <c r="N27" s="1">
        <v>0</v>
      </c>
      <c r="O27" s="1">
        <v>632350</v>
      </c>
      <c r="P27" s="1">
        <v>0</v>
      </c>
      <c r="Q27" s="1">
        <v>868842</v>
      </c>
      <c r="R27" s="1">
        <v>0</v>
      </c>
      <c r="S27" s="1">
        <v>195674</v>
      </c>
      <c r="T27" s="1">
        <v>0</v>
      </c>
      <c r="U27" s="1">
        <v>650000</v>
      </c>
      <c r="V27" s="1">
        <v>2482405</v>
      </c>
      <c r="W27" s="1">
        <v>372361</v>
      </c>
      <c r="X27" s="1">
        <v>13640</v>
      </c>
      <c r="Y27" s="1">
        <v>15957208</v>
      </c>
      <c r="Z27" s="1">
        <v>17671724</v>
      </c>
      <c r="AA27" s="1">
        <v>1714516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52800000</v>
      </c>
      <c r="AH27" s="1">
        <v>7200000</v>
      </c>
      <c r="AI27" s="1">
        <v>60000000</v>
      </c>
      <c r="AJ27" s="1">
        <v>60000000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</row>
    <row r="28" spans="1:41" x14ac:dyDescent="0.2">
      <c r="A28" s="1" t="str">
        <f>"9157081"</f>
        <v>9157081</v>
      </c>
      <c r="B28" s="1" t="str">
        <f>"فهد چاملي"</f>
        <v>فهد چاملي</v>
      </c>
      <c r="C28" s="1" t="str">
        <f t="shared" si="0"/>
        <v>توليد توسعه - دارخوين</v>
      </c>
      <c r="D28" s="1">
        <v>0</v>
      </c>
      <c r="E28" s="1">
        <v>13640</v>
      </c>
      <c r="F28" s="1">
        <v>1424850</v>
      </c>
      <c r="G28" s="1">
        <v>200000</v>
      </c>
      <c r="H28" s="1">
        <v>1100000</v>
      </c>
      <c r="I28" s="1">
        <v>1320000</v>
      </c>
      <c r="J28" s="1">
        <v>1090000</v>
      </c>
      <c r="K28" s="1">
        <v>0</v>
      </c>
      <c r="L28" s="1">
        <v>0</v>
      </c>
      <c r="M28" s="1">
        <v>9473879</v>
      </c>
      <c r="N28" s="1">
        <v>0</v>
      </c>
      <c r="O28" s="1">
        <v>619950</v>
      </c>
      <c r="P28" s="1">
        <v>0</v>
      </c>
      <c r="Q28" s="1">
        <v>797568</v>
      </c>
      <c r="R28" s="1">
        <v>0</v>
      </c>
      <c r="S28" s="1">
        <v>74540</v>
      </c>
      <c r="T28" s="1">
        <v>435000</v>
      </c>
      <c r="U28" s="1">
        <v>0</v>
      </c>
      <c r="V28" s="1">
        <v>2278766</v>
      </c>
      <c r="W28" s="1">
        <v>341815</v>
      </c>
      <c r="X28" s="1">
        <v>13640</v>
      </c>
      <c r="Y28" s="1">
        <v>13921571</v>
      </c>
      <c r="Z28" s="1">
        <v>15228679</v>
      </c>
      <c r="AA28" s="1">
        <v>1307108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435000</v>
      </c>
      <c r="AL28" s="1">
        <v>3480000</v>
      </c>
      <c r="AM28" s="1">
        <v>1740000</v>
      </c>
      <c r="AN28" s="1">
        <v>5220000</v>
      </c>
      <c r="AO28" s="1">
        <v>5220000</v>
      </c>
    </row>
    <row r="29" spans="1:41" x14ac:dyDescent="0.2">
      <c r="A29" s="1" t="str">
        <f>"9157084"</f>
        <v>9157084</v>
      </c>
      <c r="B29" s="1" t="str">
        <f>"ايوب حويزاوي"</f>
        <v>ايوب حويزاوي</v>
      </c>
      <c r="C29" s="1" t="str">
        <f t="shared" si="0"/>
        <v>توليد توسعه - دارخوين</v>
      </c>
      <c r="D29" s="1">
        <v>0</v>
      </c>
      <c r="E29" s="1">
        <v>13640</v>
      </c>
      <c r="F29" s="1">
        <v>1424850</v>
      </c>
      <c r="G29" s="1">
        <v>200000</v>
      </c>
      <c r="H29" s="1">
        <v>1100000</v>
      </c>
      <c r="I29" s="1">
        <v>1320000</v>
      </c>
      <c r="J29" s="1">
        <v>1090000</v>
      </c>
      <c r="K29" s="1">
        <v>0</v>
      </c>
      <c r="L29" s="1">
        <v>0</v>
      </c>
      <c r="M29" s="1">
        <v>9473879</v>
      </c>
      <c r="N29" s="1">
        <v>0</v>
      </c>
      <c r="O29" s="1">
        <v>604826</v>
      </c>
      <c r="P29" s="1">
        <v>0</v>
      </c>
      <c r="Q29" s="1">
        <v>796509</v>
      </c>
      <c r="R29" s="1">
        <v>0</v>
      </c>
      <c r="S29" s="1">
        <v>73799</v>
      </c>
      <c r="T29" s="1">
        <v>0</v>
      </c>
      <c r="U29" s="1">
        <v>650000</v>
      </c>
      <c r="V29" s="1">
        <v>2275741</v>
      </c>
      <c r="W29" s="1">
        <v>341361</v>
      </c>
      <c r="X29" s="1">
        <v>13640</v>
      </c>
      <c r="Y29" s="1">
        <v>13693247</v>
      </c>
      <c r="Z29" s="1">
        <v>15213555</v>
      </c>
      <c r="AA29" s="1">
        <v>1520308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52800000</v>
      </c>
      <c r="AH29" s="1">
        <v>7200000</v>
      </c>
      <c r="AI29" s="1">
        <v>60000000</v>
      </c>
      <c r="AJ29" s="1">
        <v>60000000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</row>
    <row r="30" spans="1:41" x14ac:dyDescent="0.2">
      <c r="A30" s="1" t="str">
        <f>"9157089"</f>
        <v>9157089</v>
      </c>
      <c r="B30" s="1" t="str">
        <f>"منصور خنفري راد"</f>
        <v>منصور خنفري راد</v>
      </c>
      <c r="C30" s="1" t="str">
        <f t="shared" si="0"/>
        <v>توليد توسعه - دارخوين</v>
      </c>
      <c r="D30" s="1">
        <v>0</v>
      </c>
      <c r="E30" s="1">
        <v>13640</v>
      </c>
      <c r="F30" s="1">
        <v>1424850</v>
      </c>
      <c r="G30" s="1">
        <v>200000</v>
      </c>
      <c r="H30" s="1">
        <v>1100000</v>
      </c>
      <c r="I30" s="1">
        <v>1320000</v>
      </c>
      <c r="J30" s="1">
        <v>1090000</v>
      </c>
      <c r="K30" s="1">
        <v>0</v>
      </c>
      <c r="L30" s="1">
        <v>0</v>
      </c>
      <c r="M30" s="1">
        <v>11083120</v>
      </c>
      <c r="N30" s="1">
        <v>0</v>
      </c>
      <c r="O30" s="1">
        <v>638550</v>
      </c>
      <c r="P30" s="1">
        <v>0</v>
      </c>
      <c r="Q30" s="1">
        <v>911517</v>
      </c>
      <c r="R30" s="1">
        <v>0</v>
      </c>
      <c r="S30" s="1">
        <v>154304</v>
      </c>
      <c r="T30" s="1">
        <v>2693888</v>
      </c>
      <c r="U30" s="1">
        <v>650000</v>
      </c>
      <c r="V30" s="1">
        <v>2604334</v>
      </c>
      <c r="W30" s="1">
        <v>390650</v>
      </c>
      <c r="X30" s="1">
        <v>13640</v>
      </c>
      <c r="Y30" s="1">
        <v>12446811</v>
      </c>
      <c r="Z30" s="1">
        <v>16856520</v>
      </c>
      <c r="AA30" s="1">
        <v>4409709</v>
      </c>
      <c r="AB30" s="1">
        <v>1388888</v>
      </c>
      <c r="AC30" s="1">
        <v>16666656</v>
      </c>
      <c r="AD30" s="1">
        <v>33333344</v>
      </c>
      <c r="AE30" s="1">
        <v>50000000</v>
      </c>
      <c r="AF30" s="1">
        <v>50000000</v>
      </c>
      <c r="AG30" s="1">
        <v>52800000</v>
      </c>
      <c r="AH30" s="1">
        <v>7200000</v>
      </c>
      <c r="AI30" s="1">
        <v>60000000</v>
      </c>
      <c r="AJ30" s="1">
        <v>60000000</v>
      </c>
      <c r="AK30" s="1">
        <v>1305000</v>
      </c>
      <c r="AL30" s="1">
        <v>10440000</v>
      </c>
      <c r="AM30" s="1">
        <v>5220000</v>
      </c>
      <c r="AN30" s="1">
        <v>15660000</v>
      </c>
      <c r="AO30" s="1">
        <v>15660000</v>
      </c>
    </row>
    <row r="31" spans="1:41" x14ac:dyDescent="0.2">
      <c r="A31" s="1" t="str">
        <f>"9157090"</f>
        <v>9157090</v>
      </c>
      <c r="B31" s="1" t="str">
        <f>"جميل زرگاني"</f>
        <v>جميل زرگاني</v>
      </c>
      <c r="C31" s="1" t="str">
        <f t="shared" si="0"/>
        <v>توليد توسعه - دارخوين</v>
      </c>
      <c r="D31" s="1">
        <v>0</v>
      </c>
      <c r="E31" s="1">
        <v>13640</v>
      </c>
      <c r="F31" s="1">
        <v>1424850</v>
      </c>
      <c r="G31" s="1">
        <v>200000</v>
      </c>
      <c r="H31" s="1">
        <v>1100000</v>
      </c>
      <c r="I31" s="1">
        <v>1320000</v>
      </c>
      <c r="J31" s="1">
        <v>1090000</v>
      </c>
      <c r="K31" s="1">
        <v>0</v>
      </c>
      <c r="L31" s="1">
        <v>0</v>
      </c>
      <c r="M31" s="1">
        <v>11083120</v>
      </c>
      <c r="N31" s="1">
        <v>0</v>
      </c>
      <c r="O31" s="1">
        <v>638550</v>
      </c>
      <c r="P31" s="1">
        <v>0</v>
      </c>
      <c r="Q31" s="1">
        <v>911517</v>
      </c>
      <c r="R31" s="1">
        <v>0</v>
      </c>
      <c r="S31" s="1">
        <v>154304</v>
      </c>
      <c r="T31" s="1">
        <v>1305000</v>
      </c>
      <c r="U31" s="1">
        <v>650000</v>
      </c>
      <c r="V31" s="1">
        <v>2604334</v>
      </c>
      <c r="W31" s="1">
        <v>390650</v>
      </c>
      <c r="X31" s="1">
        <v>13640</v>
      </c>
      <c r="Y31" s="1">
        <v>13835699</v>
      </c>
      <c r="Z31" s="1">
        <v>16856520</v>
      </c>
      <c r="AA31" s="1">
        <v>3020821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52800000</v>
      </c>
      <c r="AH31" s="1">
        <v>7200000</v>
      </c>
      <c r="AI31" s="1">
        <v>60000000</v>
      </c>
      <c r="AJ31" s="1">
        <v>60000000</v>
      </c>
      <c r="AK31" s="1">
        <v>1305000</v>
      </c>
      <c r="AL31" s="1">
        <v>10440000</v>
      </c>
      <c r="AM31" s="1">
        <v>1305000</v>
      </c>
      <c r="AN31" s="1">
        <v>11745000</v>
      </c>
      <c r="AO31" s="1">
        <v>11745000</v>
      </c>
    </row>
    <row r="32" spans="1:41" x14ac:dyDescent="0.2">
      <c r="A32" s="1" t="str">
        <f>"9157091"</f>
        <v>9157091</v>
      </c>
      <c r="B32" s="1" t="str">
        <f>"علي ساري"</f>
        <v>علي ساري</v>
      </c>
      <c r="C32" s="1" t="str">
        <f t="shared" si="0"/>
        <v>توليد توسعه - دارخوين</v>
      </c>
      <c r="D32" s="1">
        <v>0</v>
      </c>
      <c r="E32" s="1">
        <v>13640</v>
      </c>
      <c r="F32" s="1">
        <v>712425</v>
      </c>
      <c r="G32" s="1">
        <v>200000</v>
      </c>
      <c r="H32" s="1">
        <v>1100000</v>
      </c>
      <c r="I32" s="1">
        <v>1320000</v>
      </c>
      <c r="J32" s="1">
        <v>1090000</v>
      </c>
      <c r="K32" s="1">
        <v>0</v>
      </c>
      <c r="L32" s="1">
        <v>16996</v>
      </c>
      <c r="M32" s="1">
        <v>9071561</v>
      </c>
      <c r="N32" s="1">
        <v>0</v>
      </c>
      <c r="O32" s="1">
        <v>613750</v>
      </c>
      <c r="P32" s="1">
        <v>0</v>
      </c>
      <c r="Q32" s="1">
        <v>770161</v>
      </c>
      <c r="R32" s="1">
        <v>0</v>
      </c>
      <c r="S32" s="1">
        <v>19734</v>
      </c>
      <c r="T32" s="1">
        <v>1388888</v>
      </c>
      <c r="U32" s="1">
        <v>650000</v>
      </c>
      <c r="V32" s="1">
        <v>2200461</v>
      </c>
      <c r="W32" s="1">
        <v>330069</v>
      </c>
      <c r="X32" s="1">
        <v>13640</v>
      </c>
      <c r="Y32" s="1">
        <v>11295949</v>
      </c>
      <c r="Z32" s="1">
        <v>14124732</v>
      </c>
      <c r="AA32" s="1">
        <v>2828783</v>
      </c>
      <c r="AB32" s="1">
        <v>1388888</v>
      </c>
      <c r="AC32" s="1">
        <v>31944424</v>
      </c>
      <c r="AD32" s="1">
        <v>18055576</v>
      </c>
      <c r="AE32" s="1">
        <v>50000000</v>
      </c>
      <c r="AF32" s="1">
        <v>50000000</v>
      </c>
      <c r="AG32" s="1">
        <v>52800000</v>
      </c>
      <c r="AH32" s="1">
        <v>7200000</v>
      </c>
      <c r="AI32" s="1">
        <v>60000000</v>
      </c>
      <c r="AJ32" s="1">
        <v>60000000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</row>
    <row r="33" spans="4:41" ht="15" x14ac:dyDescent="0.2">
      <c r="D33" s="3">
        <f>SUM(D2:D32)</f>
        <v>0</v>
      </c>
      <c r="E33" s="3">
        <f t="shared" ref="E33:Q33" si="1">SUM(E2:E32)</f>
        <v>422840</v>
      </c>
      <c r="F33" s="3">
        <f t="shared" si="1"/>
        <v>43457925</v>
      </c>
      <c r="G33" s="3">
        <f t="shared" si="1"/>
        <v>6200000</v>
      </c>
      <c r="H33" s="3">
        <f t="shared" si="1"/>
        <v>34100000</v>
      </c>
      <c r="I33" s="3">
        <f t="shared" si="1"/>
        <v>40920000</v>
      </c>
      <c r="J33" s="3">
        <f t="shared" si="1"/>
        <v>33790000</v>
      </c>
      <c r="K33" s="3">
        <f t="shared" si="1"/>
        <v>0</v>
      </c>
      <c r="L33" s="3">
        <f t="shared" si="1"/>
        <v>1867549</v>
      </c>
      <c r="M33" s="3">
        <f t="shared" si="1"/>
        <v>309279715</v>
      </c>
      <c r="N33" s="3">
        <f t="shared" si="1"/>
        <v>1408082</v>
      </c>
      <c r="O33" s="3">
        <f t="shared" si="1"/>
        <v>19364526</v>
      </c>
      <c r="P33" s="3">
        <f t="shared" si="1"/>
        <v>1086240</v>
      </c>
      <c r="Q33" s="3">
        <f t="shared" si="1"/>
        <v>26131430</v>
      </c>
      <c r="R33" s="3">
        <f t="shared" ref="R33:AA33" si="2">SUM(R2:R32)</f>
        <v>0</v>
      </c>
      <c r="S33" s="3">
        <f t="shared" si="2"/>
        <v>3288430</v>
      </c>
      <c r="T33" s="3">
        <f t="shared" si="2"/>
        <v>23766655</v>
      </c>
      <c r="U33" s="3">
        <f t="shared" si="2"/>
        <v>17550000</v>
      </c>
      <c r="V33" s="3">
        <f t="shared" si="2"/>
        <v>74661227</v>
      </c>
      <c r="W33" s="3">
        <f t="shared" si="2"/>
        <v>11199185</v>
      </c>
      <c r="X33" s="3">
        <f t="shared" si="2"/>
        <v>422840</v>
      </c>
      <c r="Y33" s="3">
        <f t="shared" si="2"/>
        <v>420737522</v>
      </c>
      <c r="Z33" s="3">
        <f t="shared" si="2"/>
        <v>491474037</v>
      </c>
      <c r="AA33" s="3">
        <f t="shared" si="2"/>
        <v>70736515</v>
      </c>
      <c r="AB33" s="3">
        <f t="shared" ref="AB33:AH33" si="3">SUM(AB2:AB32)</f>
        <v>19416655</v>
      </c>
      <c r="AC33" s="3">
        <f t="shared" si="3"/>
        <v>398277564</v>
      </c>
      <c r="AD33" s="3">
        <f t="shared" si="3"/>
        <v>300722436</v>
      </c>
      <c r="AE33" s="3">
        <f t="shared" si="3"/>
        <v>699000000</v>
      </c>
      <c r="AF33" s="3">
        <f t="shared" si="3"/>
        <v>699000000</v>
      </c>
      <c r="AG33" s="3">
        <f t="shared" si="3"/>
        <v>1332000000</v>
      </c>
      <c r="AH33" s="3">
        <f t="shared" si="3"/>
        <v>168000000</v>
      </c>
      <c r="AI33" s="3">
        <f t="shared" ref="AI33:AO33" si="4">SUM(AI2:AI32)</f>
        <v>1500000000</v>
      </c>
      <c r="AJ33" s="3">
        <f t="shared" si="4"/>
        <v>1500000000</v>
      </c>
      <c r="AK33" s="3">
        <f t="shared" si="4"/>
        <v>4350000</v>
      </c>
      <c r="AL33" s="3">
        <f t="shared" si="4"/>
        <v>34800000</v>
      </c>
      <c r="AM33" s="3">
        <f t="shared" si="4"/>
        <v>13485000</v>
      </c>
      <c r="AN33" s="3">
        <f t="shared" si="4"/>
        <v>48285000</v>
      </c>
      <c r="AO33" s="3">
        <f t="shared" si="4"/>
        <v>48285000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rightToLeft="1" tabSelected="1" view="pageBreakPreview" zoomScale="60" zoomScaleNormal="55" workbookViewId="0">
      <selection activeCell="E8" sqref="E8"/>
    </sheetView>
  </sheetViews>
  <sheetFormatPr defaultRowHeight="14.25" x14ac:dyDescent="0.2"/>
  <cols>
    <col min="1" max="1" width="5.625" customWidth="1"/>
    <col min="2" max="2" width="12" customWidth="1"/>
    <col min="3" max="3" width="17.75" customWidth="1"/>
    <col min="4" max="4" width="17.625" customWidth="1"/>
    <col min="5" max="5" width="25.25" customWidth="1"/>
    <col min="6" max="6" width="21.25" customWidth="1"/>
    <col min="7" max="7" width="18.375" customWidth="1"/>
    <col min="8" max="8" width="22.5" customWidth="1"/>
    <col min="9" max="9" width="19.25" customWidth="1"/>
    <col min="10" max="10" width="23.75" customWidth="1"/>
    <col min="11" max="11" width="5.625" customWidth="1"/>
  </cols>
  <sheetData>
    <row r="1" spans="1:19" ht="56.25" customHeight="1" x14ac:dyDescent="0.2">
      <c r="A1" s="4"/>
      <c r="B1" s="51" t="s">
        <v>55</v>
      </c>
      <c r="C1" s="51"/>
      <c r="D1" s="51"/>
      <c r="E1" s="51"/>
      <c r="F1" s="51"/>
      <c r="G1" s="51"/>
      <c r="H1" s="51"/>
      <c r="I1" s="51"/>
      <c r="J1" s="51"/>
      <c r="K1" s="4"/>
      <c r="L1" s="5"/>
      <c r="M1" s="5"/>
      <c r="N1" s="4"/>
      <c r="O1" s="4"/>
      <c r="P1" s="4"/>
      <c r="Q1" s="4"/>
      <c r="R1" s="4"/>
      <c r="S1" s="4"/>
    </row>
    <row r="2" spans="1:19" ht="26.25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4"/>
      <c r="L2" s="5"/>
      <c r="M2" s="5"/>
      <c r="N2" s="4"/>
      <c r="O2" s="4"/>
      <c r="P2" s="4"/>
      <c r="Q2" s="4"/>
      <c r="R2" s="4"/>
      <c r="S2" s="4"/>
    </row>
    <row r="3" spans="1:19" ht="25.5" thickBot="1" x14ac:dyDescent="0.25">
      <c r="A3" s="4"/>
      <c r="B3" s="7"/>
      <c r="C3" s="7"/>
      <c r="D3" s="7"/>
      <c r="E3" s="8"/>
      <c r="F3" s="8"/>
      <c r="G3" s="8"/>
      <c r="H3" s="8"/>
      <c r="I3" s="8"/>
      <c r="J3" s="8"/>
      <c r="K3" s="4"/>
      <c r="L3" s="5"/>
      <c r="M3" s="5"/>
      <c r="N3" s="4"/>
      <c r="O3" s="4"/>
      <c r="P3" s="4"/>
      <c r="Q3" s="4"/>
      <c r="R3" s="9"/>
      <c r="S3" s="9"/>
    </row>
    <row r="4" spans="1:19" ht="52.5" x14ac:dyDescent="0.2">
      <c r="A4" s="10"/>
      <c r="B4" s="37" t="s">
        <v>41</v>
      </c>
      <c r="C4" s="38" t="s">
        <v>42</v>
      </c>
      <c r="D4" s="38" t="s">
        <v>43</v>
      </c>
      <c r="E4" s="39" t="s">
        <v>44</v>
      </c>
      <c r="F4" s="40" t="s">
        <v>45</v>
      </c>
      <c r="G4" s="40" t="s">
        <v>46</v>
      </c>
      <c r="H4" s="40" t="s">
        <v>47</v>
      </c>
      <c r="I4" s="39" t="s">
        <v>48</v>
      </c>
      <c r="J4" s="41" t="s">
        <v>49</v>
      </c>
      <c r="K4" s="9"/>
      <c r="L4" s="11"/>
      <c r="M4" s="11"/>
      <c r="N4" s="9"/>
      <c r="O4" s="9"/>
      <c r="P4" s="9"/>
      <c r="Q4" s="9"/>
      <c r="R4" s="4"/>
      <c r="S4" s="4"/>
    </row>
    <row r="5" spans="1:19" ht="45" customHeight="1" x14ac:dyDescent="0.2">
      <c r="A5" s="12"/>
      <c r="B5" s="42">
        <v>1</v>
      </c>
      <c r="C5" s="13" t="s">
        <v>56</v>
      </c>
      <c r="D5" s="13">
        <v>31</v>
      </c>
      <c r="E5" s="14">
        <f>'دارخوين شهريور 94 '!Z33</f>
        <v>491474037</v>
      </c>
      <c r="F5" s="14">
        <f>'دارخوين شهريور 94 '!V33+'دارخوين شهريور 94 '!W33</f>
        <v>85860412</v>
      </c>
      <c r="G5" s="14">
        <f>'سنوات '!O36</f>
        <v>33835159.666666657</v>
      </c>
      <c r="H5" s="14">
        <f>'سنوات '!P36</f>
        <v>55171797.833333328</v>
      </c>
      <c r="I5" s="14">
        <f>SUM(E5:H5)*3%</f>
        <v>19990242.195</v>
      </c>
      <c r="J5" s="43">
        <f>SUM(E5:I5)</f>
        <v>686331648.69500005</v>
      </c>
      <c r="K5" s="15"/>
      <c r="L5" s="16"/>
      <c r="M5" s="16"/>
      <c r="N5" s="15"/>
      <c r="O5" s="15"/>
      <c r="P5" s="15"/>
      <c r="Q5" s="15"/>
      <c r="R5" s="15"/>
      <c r="S5" s="15"/>
    </row>
    <row r="6" spans="1:19" ht="45" customHeight="1" thickBot="1" x14ac:dyDescent="0.25">
      <c r="A6" s="17"/>
      <c r="B6" s="44"/>
      <c r="C6" s="45"/>
      <c r="D6" s="46" t="s">
        <v>49</v>
      </c>
      <c r="E6" s="47">
        <f t="shared" ref="E6:J6" si="0">E5</f>
        <v>491474037</v>
      </c>
      <c r="F6" s="47">
        <f t="shared" si="0"/>
        <v>85860412</v>
      </c>
      <c r="G6" s="47">
        <f t="shared" si="0"/>
        <v>33835159.666666657</v>
      </c>
      <c r="H6" s="47">
        <f t="shared" si="0"/>
        <v>55171797.833333328</v>
      </c>
      <c r="I6" s="47">
        <f t="shared" si="0"/>
        <v>19990242.195</v>
      </c>
      <c r="J6" s="48">
        <f t="shared" si="0"/>
        <v>686331648.69500005</v>
      </c>
      <c r="K6" s="6"/>
      <c r="L6" s="18"/>
      <c r="M6" s="18"/>
      <c r="N6" s="19"/>
      <c r="O6" s="19"/>
      <c r="P6" s="19"/>
      <c r="Q6" s="19"/>
      <c r="R6" s="20"/>
      <c r="S6" s="20"/>
    </row>
    <row r="7" spans="1:19" ht="45" customHeight="1" x14ac:dyDescent="0.2">
      <c r="A7" s="19"/>
      <c r="B7" s="17"/>
      <c r="C7" s="21"/>
      <c r="D7" s="22"/>
      <c r="E7" s="22"/>
      <c r="F7" s="22"/>
      <c r="G7" s="22"/>
      <c r="H7" s="58" t="s">
        <v>50</v>
      </c>
      <c r="I7" s="59"/>
      <c r="J7" s="49">
        <f>J6</f>
        <v>686331648.69500005</v>
      </c>
      <c r="K7" s="6"/>
      <c r="L7" s="23"/>
      <c r="M7" s="23"/>
      <c r="N7" s="19"/>
      <c r="O7" s="19"/>
      <c r="P7" s="19"/>
      <c r="Q7" s="19"/>
      <c r="R7" s="20"/>
      <c r="S7" s="20"/>
    </row>
    <row r="8" spans="1:19" ht="45" customHeight="1" x14ac:dyDescent="0.2">
      <c r="A8" s="19"/>
      <c r="B8" s="17"/>
      <c r="C8" s="21"/>
      <c r="D8" s="22"/>
      <c r="E8" s="22"/>
      <c r="F8" s="22"/>
      <c r="G8" s="22"/>
      <c r="H8" s="60" t="s">
        <v>51</v>
      </c>
      <c r="I8" s="61"/>
      <c r="J8" s="50">
        <f>J7*9%</f>
        <v>61769848.382550001</v>
      </c>
      <c r="K8" s="6"/>
      <c r="L8" s="23"/>
      <c r="M8" s="23"/>
      <c r="N8" s="19"/>
      <c r="O8" s="19"/>
      <c r="P8" s="19"/>
      <c r="Q8" s="19"/>
      <c r="R8" s="20"/>
      <c r="S8" s="20"/>
    </row>
    <row r="9" spans="1:19" ht="45" customHeight="1" thickBot="1" x14ac:dyDescent="0.25">
      <c r="A9" s="24"/>
      <c r="B9" s="25"/>
      <c r="C9" s="25"/>
      <c r="D9" s="25"/>
      <c r="E9" s="26"/>
      <c r="F9" s="25"/>
      <c r="G9" s="26"/>
      <c r="H9" s="62" t="s">
        <v>49</v>
      </c>
      <c r="I9" s="63"/>
      <c r="J9" s="48">
        <f>J8+J7</f>
        <v>748101497.07755005</v>
      </c>
      <c r="K9" s="26"/>
      <c r="L9" s="27"/>
      <c r="M9" s="27"/>
      <c r="N9" s="25"/>
      <c r="O9" s="25"/>
      <c r="P9" s="25"/>
      <c r="Q9" s="25"/>
      <c r="R9" s="25"/>
      <c r="S9" s="25"/>
    </row>
    <row r="10" spans="1:19" ht="24" x14ac:dyDescent="0.2">
      <c r="D10" s="28"/>
      <c r="E10" s="28"/>
      <c r="I10" s="29"/>
      <c r="J10" s="30"/>
    </row>
    <row r="12" spans="1:19" ht="15" thickBot="1" x14ac:dyDescent="0.25"/>
    <row r="13" spans="1:19" ht="129.94999999999999" customHeight="1" thickBot="1" x14ac:dyDescent="0.25">
      <c r="A13" s="31"/>
      <c r="B13" s="52" t="s">
        <v>52</v>
      </c>
      <c r="C13" s="53"/>
      <c r="D13" s="54"/>
      <c r="E13" s="52" t="s">
        <v>53</v>
      </c>
      <c r="F13" s="53"/>
      <c r="G13" s="54"/>
      <c r="H13" s="55" t="s">
        <v>54</v>
      </c>
      <c r="I13" s="56"/>
      <c r="J13" s="57"/>
      <c r="K13" s="32"/>
      <c r="L13" s="32"/>
      <c r="M13" s="33"/>
      <c r="N13" s="33"/>
      <c r="O13" s="33"/>
      <c r="P13" s="33"/>
      <c r="Q13" s="33"/>
      <c r="R13" s="33"/>
      <c r="S13" s="34"/>
    </row>
  </sheetData>
  <mergeCells count="7">
    <mergeCell ref="B1:J1"/>
    <mergeCell ref="B13:D13"/>
    <mergeCell ref="E13:G13"/>
    <mergeCell ref="H13:J13"/>
    <mergeCell ref="H7:I7"/>
    <mergeCell ref="H8:I8"/>
    <mergeCell ref="H9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سنوات </vt:lpstr>
      <vt:lpstr>دارخوين شهريور 94 </vt:lpstr>
      <vt:lpstr>جدول  </vt:lpstr>
      <vt:lpstr>'جدول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2015-10-17T12:55:27Z</cp:lastPrinted>
  <dcterms:created xsi:type="dcterms:W3CDTF">2015-10-17T12:40:45Z</dcterms:created>
  <dcterms:modified xsi:type="dcterms:W3CDTF">2015-10-18T09:05:08Z</dcterms:modified>
</cp:coreProperties>
</file>